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mc:Ignorable="x15 xr xr6 xr10">
  <fileVersion appName="xl" lastEdited="7" lowestEdited="7" rupBuild="10414"/>
  <workbookPr codeName="ThisWorkbook" defaultThemeVersion="166925"/>
  <mc:AlternateContent xmlns:mc="http://schemas.openxmlformats.org/markup-compatibility/2006">
    <mc:Choice Requires="x15">
      <x15ac:absPath xmlns:x15ac="http://schemas.microsoft.com/office/spreadsheetml/2010/11/ac" url="/Users/S_BILGIN6/Downloads/antarctic_data/"/>
    </mc:Choice>
  </mc:AlternateContent>
  <xr:revisionPtr revIDLastSave="0" documentId="8_{9AE731C0-E723-234D-9AB7-65B242F5F9B9}" xr6:coauthVersionLast="47" xr6:coauthVersionMax="47" xr10:uidLastSave="{00000000-0000-0000-0000-000000000000}"/>
  <bookViews>
    <workbookView xWindow="360" yWindow="880" windowWidth="14940" windowHeight="9160"/>
  </bookViews>
  <sheets>
    <sheet name="savedrecs" sheetId="1" r:id="rId1"/>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ARRAYTEXT_WF"/>
      </xcalcf:calcFeatures>
    </ext>
  </extLst>
</workbook>
</file>

<file path=xl/calcChain.xml><?xml version="1.0" encoding="utf-8"?>
<calcChain xmlns="http://schemas.openxmlformats.org/spreadsheetml/2006/main">
  <c r="BF2" i="1" l="1"/>
  <c r="BT2" i="1"/>
  <c r="BF3" i="1"/>
  <c r="BT3" i="1"/>
  <c r="BF4" i="1"/>
  <c r="BT4" i="1"/>
  <c r="BF5" i="1"/>
  <c r="BT5" i="1"/>
  <c r="BF6" i="1"/>
  <c r="BT6" i="1"/>
  <c r="BF7" i="1"/>
  <c r="BT7" i="1"/>
  <c r="BF8" i="1"/>
  <c r="BT8" i="1"/>
  <c r="BF9" i="1"/>
  <c r="BT9" i="1"/>
  <c r="BF10" i="1"/>
  <c r="BT10" i="1"/>
  <c r="BF11" i="1"/>
  <c r="BT11" i="1"/>
  <c r="BF12" i="1"/>
  <c r="BT12" i="1"/>
  <c r="BF13" i="1"/>
  <c r="BT13" i="1"/>
  <c r="BF14" i="1"/>
  <c r="BT14" i="1"/>
  <c r="BF15" i="1"/>
  <c r="BT15" i="1"/>
  <c r="BF16" i="1"/>
  <c r="BT16" i="1"/>
  <c r="BF17" i="1"/>
  <c r="BT17" i="1"/>
  <c r="BF18" i="1"/>
  <c r="BT18" i="1"/>
  <c r="BF19" i="1"/>
  <c r="BT19" i="1"/>
  <c r="BF20" i="1"/>
  <c r="BT20" i="1"/>
  <c r="BT21" i="1"/>
  <c r="BF22" i="1"/>
  <c r="BT22" i="1"/>
  <c r="BF23" i="1"/>
  <c r="BT23" i="1"/>
  <c r="BT24" i="1"/>
  <c r="BF25" i="1"/>
  <c r="BT25" i="1"/>
  <c r="BF26" i="1"/>
  <c r="BT26" i="1"/>
  <c r="BF27" i="1"/>
  <c r="BT27" i="1"/>
  <c r="BF28" i="1"/>
  <c r="BT28" i="1"/>
  <c r="BF29" i="1"/>
  <c r="BT29" i="1"/>
  <c r="BF30" i="1"/>
  <c r="BT30" i="1"/>
  <c r="BF31" i="1"/>
  <c r="BT31" i="1"/>
  <c r="BF32" i="1"/>
  <c r="BT32" i="1"/>
  <c r="BF33" i="1"/>
  <c r="BT33" i="1"/>
  <c r="BF34" i="1"/>
  <c r="BT34" i="1"/>
  <c r="BF35" i="1"/>
  <c r="BT35" i="1"/>
  <c r="BF36" i="1"/>
  <c r="BT36" i="1"/>
  <c r="BF37" i="1"/>
  <c r="BT37" i="1"/>
  <c r="BF38" i="1"/>
  <c r="BT38" i="1"/>
  <c r="BF39" i="1"/>
  <c r="BT39" i="1"/>
  <c r="BF40" i="1"/>
  <c r="BT40" i="1"/>
  <c r="BF41" i="1"/>
  <c r="BT41" i="1"/>
  <c r="BF42" i="1"/>
  <c r="BT42" i="1"/>
  <c r="BF43" i="1"/>
  <c r="BT43" i="1"/>
  <c r="BF44" i="1"/>
  <c r="BT44" i="1"/>
  <c r="BF45" i="1"/>
  <c r="BT45" i="1"/>
  <c r="BF46" i="1"/>
  <c r="BT46" i="1"/>
  <c r="BF47" i="1"/>
  <c r="BT47" i="1"/>
  <c r="BF48" i="1"/>
  <c r="BT48" i="1"/>
  <c r="BF49" i="1"/>
  <c r="BT49" i="1"/>
  <c r="BF50" i="1"/>
  <c r="BT50" i="1"/>
  <c r="BF51" i="1"/>
  <c r="BT51" i="1"/>
  <c r="BF52" i="1"/>
  <c r="BT52" i="1"/>
  <c r="BF53" i="1"/>
  <c r="BT53" i="1"/>
  <c r="BT54" i="1"/>
  <c r="BF55" i="1"/>
  <c r="BT55" i="1"/>
  <c r="BF56" i="1"/>
  <c r="BT56" i="1"/>
  <c r="BF57" i="1"/>
  <c r="BT57" i="1"/>
  <c r="BF58" i="1"/>
  <c r="BT58" i="1"/>
  <c r="BF59" i="1"/>
  <c r="BT59" i="1"/>
  <c r="BT60" i="1"/>
  <c r="BF61" i="1"/>
  <c r="BT61" i="1"/>
  <c r="BF62" i="1"/>
  <c r="BT62" i="1"/>
  <c r="BF63" i="1"/>
  <c r="BT63" i="1"/>
  <c r="BF64" i="1"/>
  <c r="BT64" i="1"/>
  <c r="BF65" i="1"/>
  <c r="BT65" i="1"/>
  <c r="BF66" i="1"/>
  <c r="BT66" i="1"/>
  <c r="BF67" i="1"/>
  <c r="BT67" i="1"/>
  <c r="BF68" i="1"/>
  <c r="BT68" i="1"/>
  <c r="BF69" i="1"/>
  <c r="BT69" i="1"/>
  <c r="BF70" i="1"/>
  <c r="BT70" i="1"/>
  <c r="BF71" i="1"/>
  <c r="BT71" i="1"/>
  <c r="BF72" i="1"/>
  <c r="BT72" i="1"/>
  <c r="BF73" i="1"/>
  <c r="BT73" i="1"/>
  <c r="BF74" i="1"/>
  <c r="BT74" i="1"/>
  <c r="BF75" i="1"/>
  <c r="BT75" i="1"/>
  <c r="BF76" i="1"/>
  <c r="BT76" i="1"/>
  <c r="BF77" i="1"/>
  <c r="BT77" i="1"/>
  <c r="BF78" i="1"/>
  <c r="BT78" i="1"/>
  <c r="BF79" i="1"/>
  <c r="BT79" i="1"/>
  <c r="BF80" i="1"/>
  <c r="BT80" i="1"/>
  <c r="BF81" i="1"/>
  <c r="BT81" i="1"/>
  <c r="BF82" i="1"/>
  <c r="BT82" i="1"/>
  <c r="BF83" i="1"/>
  <c r="BT83" i="1"/>
  <c r="BF84" i="1"/>
  <c r="BT84" i="1"/>
  <c r="BF85" i="1"/>
  <c r="BT85" i="1"/>
  <c r="BF86" i="1"/>
  <c r="BT86" i="1"/>
  <c r="BF87" i="1"/>
  <c r="BT87" i="1"/>
  <c r="BF88" i="1"/>
  <c r="BT88" i="1"/>
  <c r="BF89" i="1"/>
  <c r="BT89" i="1"/>
  <c r="BF90" i="1"/>
  <c r="BT90" i="1"/>
  <c r="BF91" i="1"/>
  <c r="BT91" i="1"/>
  <c r="BF92" i="1"/>
  <c r="BT92" i="1"/>
  <c r="BF93" i="1"/>
  <c r="BT93" i="1"/>
  <c r="BF94" i="1"/>
  <c r="BT94" i="1"/>
  <c r="BF95" i="1"/>
  <c r="BT95" i="1"/>
  <c r="BF96" i="1"/>
  <c r="BT96" i="1"/>
  <c r="BF97" i="1"/>
  <c r="BT97" i="1"/>
  <c r="BF98" i="1"/>
  <c r="BT98" i="1"/>
  <c r="BF99" i="1"/>
  <c r="BT99" i="1"/>
  <c r="BF100" i="1"/>
  <c r="BT100" i="1"/>
  <c r="BF101" i="1"/>
  <c r="BT101" i="1"/>
  <c r="BF102" i="1"/>
  <c r="BT102" i="1"/>
  <c r="BT103" i="1"/>
  <c r="BF104" i="1"/>
  <c r="BT104" i="1"/>
  <c r="BF105" i="1"/>
  <c r="BT105" i="1"/>
  <c r="BF106" i="1"/>
  <c r="BT106" i="1"/>
  <c r="BF107" i="1"/>
  <c r="BT107" i="1"/>
  <c r="BF108" i="1"/>
  <c r="BT108" i="1"/>
  <c r="BF109" i="1"/>
  <c r="BT109" i="1"/>
  <c r="BF110" i="1"/>
  <c r="BT110" i="1"/>
  <c r="BF111" i="1"/>
  <c r="BT111" i="1"/>
  <c r="BF112" i="1"/>
  <c r="BT112" i="1"/>
  <c r="BF113" i="1"/>
  <c r="BT113" i="1"/>
  <c r="BF114" i="1"/>
  <c r="BT114" i="1"/>
  <c r="BF115" i="1"/>
  <c r="BT115" i="1"/>
  <c r="BF116" i="1"/>
  <c r="BT116" i="1"/>
  <c r="BF117" i="1"/>
  <c r="BT117" i="1"/>
  <c r="BF118" i="1"/>
  <c r="BT118" i="1"/>
  <c r="BF119" i="1"/>
  <c r="BT119" i="1"/>
  <c r="BF120" i="1"/>
  <c r="BT120" i="1"/>
  <c r="BF121" i="1"/>
  <c r="BT121" i="1"/>
  <c r="BF122" i="1"/>
  <c r="BT122" i="1"/>
  <c r="BF123" i="1"/>
  <c r="BT123" i="1"/>
  <c r="BF124" i="1"/>
  <c r="BT124" i="1"/>
  <c r="BF125" i="1"/>
  <c r="BT125" i="1"/>
  <c r="BF126" i="1"/>
  <c r="BT126" i="1"/>
  <c r="BF127" i="1"/>
  <c r="BT127" i="1"/>
  <c r="BF128" i="1"/>
  <c r="BT128" i="1"/>
  <c r="BF129" i="1"/>
  <c r="BT129" i="1"/>
  <c r="BF130" i="1"/>
  <c r="BT130" i="1"/>
  <c r="BF131" i="1"/>
  <c r="BT131" i="1"/>
  <c r="BF132" i="1"/>
  <c r="BT132" i="1"/>
  <c r="BF133" i="1"/>
  <c r="BT133" i="1"/>
  <c r="BF134" i="1"/>
  <c r="BT134" i="1"/>
  <c r="BF135" i="1"/>
  <c r="BT135" i="1"/>
  <c r="BF136" i="1"/>
  <c r="BT136" i="1"/>
  <c r="BF137" i="1"/>
  <c r="BT137" i="1"/>
  <c r="BF138" i="1"/>
  <c r="BT138" i="1"/>
  <c r="BF139" i="1"/>
  <c r="BT139" i="1"/>
  <c r="BF140" i="1"/>
  <c r="BT140" i="1"/>
  <c r="BF141" i="1"/>
  <c r="BT141" i="1"/>
  <c r="BF142" i="1"/>
  <c r="BT142" i="1"/>
  <c r="BF143" i="1"/>
  <c r="BT143" i="1"/>
  <c r="BF144" i="1"/>
  <c r="BT144" i="1"/>
  <c r="BF145" i="1"/>
  <c r="BT145" i="1"/>
  <c r="BF146" i="1"/>
  <c r="BT146" i="1"/>
  <c r="BF147" i="1"/>
  <c r="BT147" i="1"/>
  <c r="BF148" i="1"/>
  <c r="BT148" i="1"/>
  <c r="BF149" i="1"/>
  <c r="BT149" i="1"/>
  <c r="BF150" i="1"/>
  <c r="BT150" i="1"/>
  <c r="BF151" i="1"/>
  <c r="BT151" i="1"/>
  <c r="BF152" i="1"/>
  <c r="BT152" i="1"/>
  <c r="BF153" i="1"/>
  <c r="BT153" i="1"/>
  <c r="BF154" i="1"/>
  <c r="BT154" i="1"/>
  <c r="BF155" i="1"/>
  <c r="BT155" i="1"/>
  <c r="BF156" i="1"/>
  <c r="BT156" i="1"/>
  <c r="BF157" i="1"/>
  <c r="BT157" i="1"/>
  <c r="BF158" i="1"/>
  <c r="BT158" i="1"/>
  <c r="BF159" i="1"/>
  <c r="BT159" i="1"/>
  <c r="BF160" i="1"/>
  <c r="BT160" i="1"/>
  <c r="BF161" i="1"/>
  <c r="BT161" i="1"/>
  <c r="BF162" i="1"/>
  <c r="BT162" i="1"/>
  <c r="BF163" i="1"/>
  <c r="BT163" i="1"/>
  <c r="BF164" i="1"/>
  <c r="BT164" i="1"/>
  <c r="BF165" i="1"/>
  <c r="BT165" i="1"/>
  <c r="BF166" i="1"/>
  <c r="BT166" i="1"/>
  <c r="BF167" i="1"/>
  <c r="BT167" i="1"/>
  <c r="BF168" i="1"/>
  <c r="BT168" i="1"/>
  <c r="BF169" i="1"/>
  <c r="BT169" i="1"/>
  <c r="BF170" i="1"/>
  <c r="BT170" i="1"/>
  <c r="BF171" i="1"/>
  <c r="BT171" i="1"/>
  <c r="BF172" i="1"/>
  <c r="BT172" i="1"/>
  <c r="BF173" i="1"/>
  <c r="BT173" i="1"/>
  <c r="BF174" i="1"/>
  <c r="BT174" i="1"/>
  <c r="BF175" i="1"/>
  <c r="BT175" i="1"/>
  <c r="BF176" i="1"/>
  <c r="BT176" i="1"/>
  <c r="BF177" i="1"/>
  <c r="BT177" i="1"/>
  <c r="BF178" i="1"/>
  <c r="BT178" i="1"/>
  <c r="BF179" i="1"/>
  <c r="BT179" i="1"/>
  <c r="BF180" i="1"/>
  <c r="BT180" i="1"/>
  <c r="BF181" i="1"/>
  <c r="BT181" i="1"/>
  <c r="BF182" i="1"/>
  <c r="BT182" i="1"/>
  <c r="BF183" i="1"/>
  <c r="BT183" i="1"/>
  <c r="BF184" i="1"/>
  <c r="BT184" i="1"/>
  <c r="BF185" i="1"/>
  <c r="BT185" i="1"/>
  <c r="BF186" i="1"/>
  <c r="BT186" i="1"/>
  <c r="BF187" i="1"/>
  <c r="BT187" i="1"/>
  <c r="BF188" i="1"/>
  <c r="BT188" i="1"/>
  <c r="BF189" i="1"/>
  <c r="BT189" i="1"/>
  <c r="BF190" i="1"/>
  <c r="BT190" i="1"/>
  <c r="BF191" i="1"/>
  <c r="BT191" i="1"/>
  <c r="BF192" i="1"/>
  <c r="BT192" i="1"/>
  <c r="BF193" i="1"/>
  <c r="BT193" i="1"/>
  <c r="BF194" i="1"/>
  <c r="BT194" i="1"/>
  <c r="BF195" i="1"/>
  <c r="BT195" i="1"/>
  <c r="BF196" i="1"/>
  <c r="BT196" i="1"/>
  <c r="BF197" i="1"/>
  <c r="BT197" i="1"/>
  <c r="BF198" i="1"/>
  <c r="BT198" i="1"/>
  <c r="BF199" i="1"/>
  <c r="BT199" i="1"/>
  <c r="BF200" i="1"/>
  <c r="BT200" i="1"/>
  <c r="BF201" i="1"/>
  <c r="BT201" i="1"/>
  <c r="BF202" i="1"/>
  <c r="BT202" i="1"/>
  <c r="BF203" i="1"/>
  <c r="BT203" i="1"/>
  <c r="BF204" i="1"/>
  <c r="BT204" i="1"/>
  <c r="BF205" i="1"/>
  <c r="BT205" i="1"/>
  <c r="BF206" i="1"/>
  <c r="BT206" i="1"/>
  <c r="BF207" i="1"/>
  <c r="BT207" i="1"/>
  <c r="BF208" i="1"/>
  <c r="BT208" i="1"/>
  <c r="BF209" i="1"/>
  <c r="BT209" i="1"/>
  <c r="BF210" i="1"/>
  <c r="BT210" i="1"/>
  <c r="BF211" i="1"/>
  <c r="BT211" i="1"/>
  <c r="BF212" i="1"/>
  <c r="BT212" i="1"/>
  <c r="BF213" i="1"/>
  <c r="BT213" i="1"/>
  <c r="BF214" i="1"/>
  <c r="BT214" i="1"/>
  <c r="BF215" i="1"/>
  <c r="BT215" i="1"/>
  <c r="BF216" i="1"/>
  <c r="BT216" i="1"/>
  <c r="BF217" i="1"/>
  <c r="BT217" i="1"/>
  <c r="BF218" i="1"/>
  <c r="BT218" i="1"/>
  <c r="BF219" i="1"/>
  <c r="BT219" i="1"/>
  <c r="BF220" i="1"/>
  <c r="BT220" i="1"/>
  <c r="BF221" i="1"/>
  <c r="BT221" i="1"/>
  <c r="BF222" i="1"/>
  <c r="BT222" i="1"/>
  <c r="BF223" i="1"/>
  <c r="BT223" i="1"/>
  <c r="BF224" i="1"/>
  <c r="BT224" i="1"/>
  <c r="BF225" i="1"/>
  <c r="BT225" i="1"/>
  <c r="BF226" i="1"/>
  <c r="BT226" i="1"/>
  <c r="BF227" i="1"/>
  <c r="BT227" i="1"/>
  <c r="BF228" i="1"/>
  <c r="BT228" i="1"/>
  <c r="BF229" i="1"/>
  <c r="BT229" i="1"/>
  <c r="BT230" i="1"/>
  <c r="BF231" i="1"/>
  <c r="BT231" i="1"/>
  <c r="BF232" i="1"/>
  <c r="BT232" i="1"/>
  <c r="BF233" i="1"/>
  <c r="BT233" i="1"/>
  <c r="BF234" i="1"/>
  <c r="BT234" i="1"/>
  <c r="BF235" i="1"/>
  <c r="BT235" i="1"/>
  <c r="BF236" i="1"/>
  <c r="BT236" i="1"/>
  <c r="BF237" i="1"/>
  <c r="BT237" i="1"/>
  <c r="BF238" i="1"/>
  <c r="BT238" i="1"/>
  <c r="BF239" i="1"/>
  <c r="BT239" i="1"/>
  <c r="BF240" i="1"/>
  <c r="BT240" i="1"/>
  <c r="BF241" i="1"/>
  <c r="BT241" i="1"/>
  <c r="BF242" i="1"/>
  <c r="BT242" i="1"/>
  <c r="BF243" i="1"/>
  <c r="BT243" i="1"/>
  <c r="BF244" i="1"/>
  <c r="BT244" i="1"/>
  <c r="BF245" i="1"/>
  <c r="BT245" i="1"/>
  <c r="BF246" i="1"/>
  <c r="BT246" i="1"/>
  <c r="BF247" i="1"/>
  <c r="BT247" i="1"/>
  <c r="BF248" i="1"/>
  <c r="BT248" i="1"/>
  <c r="BF249" i="1"/>
  <c r="BT249" i="1"/>
  <c r="BF250" i="1"/>
  <c r="BT250" i="1"/>
  <c r="BF251" i="1"/>
  <c r="BT251" i="1"/>
  <c r="BF252" i="1"/>
  <c r="BT252" i="1"/>
  <c r="BT253" i="1"/>
  <c r="BT254" i="1"/>
  <c r="BT255" i="1"/>
  <c r="BT256" i="1"/>
  <c r="BF257" i="1"/>
  <c r="BT257" i="1"/>
  <c r="BF258" i="1"/>
  <c r="BT258" i="1"/>
  <c r="BF259" i="1"/>
  <c r="BT259" i="1"/>
  <c r="BF260" i="1"/>
  <c r="BT260" i="1"/>
  <c r="BF261" i="1"/>
  <c r="BT261" i="1"/>
  <c r="BF262" i="1"/>
  <c r="BT262" i="1"/>
  <c r="BF263" i="1"/>
  <c r="BT263" i="1"/>
  <c r="BT264" i="1"/>
  <c r="BF265" i="1"/>
  <c r="BT265" i="1"/>
  <c r="BF266" i="1"/>
  <c r="BT266" i="1"/>
  <c r="BF267" i="1"/>
  <c r="BT267" i="1"/>
  <c r="BF268" i="1"/>
  <c r="BT268" i="1"/>
  <c r="BF269" i="1"/>
  <c r="BT269" i="1"/>
  <c r="BF270" i="1"/>
  <c r="BT270" i="1"/>
  <c r="BF271" i="1"/>
  <c r="BT271" i="1"/>
  <c r="BF272" i="1"/>
  <c r="BT272" i="1"/>
  <c r="BF273" i="1"/>
  <c r="BT273" i="1"/>
  <c r="BF274" i="1"/>
  <c r="BT274" i="1"/>
  <c r="BF275" i="1"/>
  <c r="BT275" i="1"/>
  <c r="BF276" i="1"/>
  <c r="BT276" i="1"/>
  <c r="BF277" i="1"/>
  <c r="BT277" i="1"/>
  <c r="BF278" i="1"/>
  <c r="BT278" i="1"/>
  <c r="BF279" i="1"/>
  <c r="BT279" i="1"/>
  <c r="BF280" i="1"/>
  <c r="BT280" i="1"/>
  <c r="BF281" i="1"/>
  <c r="BT281" i="1"/>
  <c r="BF282" i="1"/>
  <c r="BT282" i="1"/>
  <c r="BF283" i="1"/>
  <c r="BT283" i="1"/>
  <c r="BF284" i="1"/>
  <c r="BT284" i="1"/>
  <c r="BT285" i="1"/>
  <c r="BF286" i="1"/>
  <c r="BT286" i="1"/>
  <c r="BF287" i="1"/>
  <c r="BT287" i="1"/>
  <c r="BF288" i="1"/>
  <c r="BT288" i="1"/>
  <c r="BF289" i="1"/>
  <c r="BT289" i="1"/>
  <c r="BF290" i="1"/>
  <c r="BT290" i="1"/>
  <c r="BF291" i="1"/>
  <c r="BT291" i="1"/>
  <c r="BF292" i="1"/>
  <c r="BT292" i="1"/>
  <c r="BF293" i="1"/>
  <c r="BT293" i="1"/>
  <c r="BF294" i="1"/>
  <c r="BT294" i="1"/>
  <c r="BF295" i="1"/>
  <c r="BT295" i="1"/>
  <c r="BF296" i="1"/>
  <c r="BT296" i="1"/>
  <c r="BF297" i="1"/>
  <c r="BT297" i="1"/>
  <c r="BF298" i="1"/>
  <c r="BT298" i="1"/>
  <c r="BF299" i="1"/>
  <c r="BT299" i="1"/>
  <c r="BF300" i="1"/>
  <c r="BT300" i="1"/>
  <c r="BT301" i="1"/>
  <c r="BT302" i="1"/>
  <c r="BT303" i="1"/>
  <c r="BT304" i="1"/>
  <c r="BT305" i="1"/>
  <c r="BT306" i="1"/>
  <c r="BT307" i="1"/>
  <c r="BT308" i="1"/>
  <c r="BT309" i="1"/>
  <c r="BT310" i="1"/>
  <c r="BF311" i="1"/>
  <c r="BT311" i="1"/>
  <c r="BF312" i="1"/>
  <c r="BT312" i="1"/>
  <c r="BF313" i="1"/>
  <c r="BT313" i="1"/>
  <c r="BF314" i="1"/>
  <c r="BT314" i="1"/>
  <c r="BF315" i="1"/>
  <c r="BT315" i="1"/>
  <c r="BF316" i="1"/>
  <c r="BT316" i="1"/>
  <c r="BF317" i="1"/>
  <c r="BT317" i="1"/>
  <c r="BF318" i="1"/>
  <c r="BT318" i="1"/>
  <c r="BF319" i="1"/>
  <c r="BT319" i="1"/>
  <c r="BF320" i="1"/>
  <c r="BT320" i="1"/>
  <c r="BF321" i="1"/>
  <c r="BT321" i="1"/>
  <c r="BF322" i="1"/>
  <c r="BT322" i="1"/>
  <c r="BF323" i="1"/>
  <c r="BT323" i="1"/>
  <c r="BF324" i="1"/>
  <c r="BT324" i="1"/>
  <c r="BF325" i="1"/>
  <c r="BT325" i="1"/>
  <c r="BF326" i="1"/>
  <c r="BT326" i="1"/>
  <c r="BF327" i="1"/>
  <c r="BT327" i="1"/>
  <c r="BF328" i="1"/>
  <c r="BT328" i="1"/>
  <c r="BF329" i="1"/>
  <c r="BT329" i="1"/>
  <c r="BF330" i="1"/>
  <c r="BT330" i="1"/>
  <c r="BF331" i="1"/>
  <c r="BT331" i="1"/>
  <c r="BF332" i="1"/>
  <c r="BT332" i="1"/>
  <c r="BF333" i="1"/>
  <c r="BT333" i="1"/>
  <c r="BF334" i="1"/>
  <c r="BT334" i="1"/>
  <c r="BF335" i="1"/>
  <c r="BT335" i="1"/>
  <c r="BF336" i="1"/>
  <c r="BT336" i="1"/>
  <c r="BF337" i="1"/>
  <c r="BT337" i="1"/>
  <c r="BF338" i="1"/>
  <c r="BT338" i="1"/>
  <c r="BF339" i="1"/>
  <c r="BT339" i="1"/>
  <c r="BF340" i="1"/>
  <c r="BT340" i="1"/>
  <c r="BF341" i="1"/>
  <c r="BT341" i="1"/>
  <c r="BF342" i="1"/>
  <c r="BT342" i="1"/>
  <c r="BF343" i="1"/>
  <c r="BT343" i="1"/>
  <c r="BF344" i="1"/>
  <c r="BT344" i="1"/>
  <c r="BF345" i="1"/>
  <c r="BT345" i="1"/>
  <c r="BF346" i="1"/>
  <c r="BT346" i="1"/>
  <c r="BF347" i="1"/>
  <c r="BT347" i="1"/>
  <c r="BF348" i="1"/>
  <c r="BT348" i="1"/>
  <c r="BF349" i="1"/>
  <c r="BT349" i="1"/>
  <c r="BF350" i="1"/>
  <c r="BT350" i="1"/>
  <c r="BF351" i="1"/>
  <c r="BT351" i="1"/>
  <c r="BF352" i="1"/>
  <c r="BT352" i="1"/>
  <c r="BF353" i="1"/>
  <c r="BT353" i="1"/>
  <c r="BF354" i="1"/>
  <c r="BT354" i="1"/>
  <c r="BF355" i="1"/>
  <c r="BT355" i="1"/>
  <c r="BF356" i="1"/>
  <c r="BT356" i="1"/>
  <c r="BF357" i="1"/>
  <c r="BT357" i="1"/>
  <c r="BF358" i="1"/>
  <c r="BT358" i="1"/>
  <c r="BF359" i="1"/>
  <c r="BT359" i="1"/>
  <c r="BF360" i="1"/>
  <c r="BT360" i="1"/>
  <c r="BF361" i="1"/>
  <c r="BT361" i="1"/>
  <c r="BF362" i="1"/>
  <c r="BT362" i="1"/>
  <c r="BF363" i="1"/>
  <c r="BT363" i="1"/>
  <c r="BF364" i="1"/>
  <c r="BT364" i="1"/>
  <c r="BF365" i="1"/>
  <c r="BT365" i="1"/>
  <c r="BF366" i="1"/>
  <c r="BT366" i="1"/>
  <c r="BF367" i="1"/>
  <c r="BT367" i="1"/>
  <c r="BF368" i="1"/>
  <c r="BT368" i="1"/>
  <c r="BF369" i="1"/>
  <c r="BT369" i="1"/>
  <c r="BF370" i="1"/>
  <c r="BT370" i="1"/>
  <c r="BF371" i="1"/>
  <c r="BT371" i="1"/>
  <c r="BF372" i="1"/>
  <c r="BT372" i="1"/>
  <c r="BF373" i="1"/>
  <c r="BT373" i="1"/>
  <c r="BF374" i="1"/>
  <c r="BT374" i="1"/>
  <c r="BF375" i="1"/>
  <c r="BT375" i="1"/>
  <c r="BF376" i="1"/>
  <c r="BT376" i="1"/>
  <c r="BF377" i="1"/>
  <c r="BT377" i="1"/>
  <c r="BF378" i="1"/>
  <c r="BT378" i="1"/>
  <c r="BF379" i="1"/>
  <c r="BT379" i="1"/>
  <c r="BF380" i="1"/>
  <c r="BT380" i="1"/>
  <c r="BF381" i="1"/>
  <c r="BT381" i="1"/>
  <c r="BF382" i="1"/>
  <c r="BT382" i="1"/>
  <c r="BF383" i="1"/>
  <c r="BT383" i="1"/>
  <c r="BF384" i="1"/>
  <c r="BT384" i="1"/>
  <c r="BF385" i="1"/>
  <c r="BT385" i="1"/>
  <c r="BF386" i="1"/>
  <c r="BT386" i="1"/>
  <c r="BF387" i="1"/>
  <c r="BT387" i="1"/>
  <c r="BF388" i="1"/>
  <c r="BT388" i="1"/>
  <c r="BF389" i="1"/>
  <c r="BT389" i="1"/>
  <c r="BF390" i="1"/>
  <c r="BT390" i="1"/>
  <c r="BF391" i="1"/>
  <c r="BT391" i="1"/>
  <c r="BF392" i="1"/>
  <c r="BT392" i="1"/>
  <c r="BF393" i="1"/>
  <c r="BT393" i="1"/>
  <c r="BF394" i="1"/>
  <c r="BT394" i="1"/>
  <c r="BF395" i="1"/>
  <c r="BT395" i="1"/>
  <c r="BF396" i="1"/>
  <c r="BT396" i="1"/>
  <c r="BF397" i="1"/>
  <c r="BT397" i="1"/>
  <c r="BF398" i="1"/>
  <c r="BT398" i="1"/>
  <c r="BF399" i="1"/>
  <c r="BT399" i="1"/>
  <c r="BF400" i="1"/>
  <c r="BT400" i="1"/>
  <c r="BF401" i="1"/>
  <c r="BT401" i="1"/>
  <c r="BF402" i="1"/>
  <c r="BT402" i="1"/>
  <c r="BF403" i="1"/>
  <c r="BT403" i="1"/>
  <c r="BF404" i="1"/>
  <c r="BT404" i="1"/>
  <c r="BF405" i="1"/>
  <c r="BT405" i="1"/>
  <c r="BF406" i="1"/>
  <c r="BT406" i="1"/>
  <c r="BF407" i="1"/>
  <c r="BT407" i="1"/>
  <c r="BF408" i="1"/>
  <c r="BT408" i="1"/>
  <c r="BF409" i="1"/>
  <c r="BT409" i="1"/>
  <c r="BF410" i="1"/>
  <c r="BT410" i="1"/>
  <c r="BF411" i="1"/>
  <c r="BT411" i="1"/>
  <c r="BF412" i="1"/>
  <c r="BT412" i="1"/>
  <c r="BF413" i="1"/>
  <c r="BT413" i="1"/>
  <c r="BF414" i="1"/>
  <c r="BT414" i="1"/>
  <c r="BF415" i="1"/>
  <c r="BT415" i="1"/>
  <c r="BF416" i="1"/>
  <c r="BT416" i="1"/>
  <c r="BF417" i="1"/>
  <c r="BT417" i="1"/>
  <c r="BF418" i="1"/>
  <c r="BT418" i="1"/>
  <c r="BT419" i="1"/>
  <c r="BT420" i="1"/>
  <c r="BT421" i="1"/>
  <c r="BF422" i="1"/>
  <c r="BT422" i="1"/>
  <c r="BF423" i="1"/>
  <c r="BT423" i="1"/>
  <c r="BF424" i="1"/>
  <c r="BT424" i="1"/>
  <c r="BF425" i="1"/>
  <c r="BT425" i="1"/>
  <c r="BF426" i="1"/>
  <c r="BT426" i="1"/>
  <c r="BF427" i="1"/>
  <c r="BT427" i="1"/>
  <c r="BF428" i="1"/>
  <c r="BT428" i="1"/>
  <c r="BF429" i="1"/>
  <c r="BT429" i="1"/>
  <c r="BF430" i="1"/>
  <c r="BT430" i="1"/>
  <c r="BF431" i="1"/>
  <c r="BT431" i="1"/>
  <c r="BF432" i="1"/>
  <c r="BT432" i="1"/>
  <c r="BF433" i="1"/>
  <c r="BT433" i="1"/>
  <c r="BF434" i="1"/>
  <c r="BT434" i="1"/>
  <c r="BF435" i="1"/>
  <c r="BT435" i="1"/>
  <c r="BF436" i="1"/>
  <c r="BT436" i="1"/>
  <c r="BF437" i="1"/>
  <c r="BT437" i="1"/>
  <c r="BF438" i="1"/>
  <c r="BT438" i="1"/>
  <c r="BF439" i="1"/>
  <c r="BT439" i="1"/>
  <c r="BF440" i="1"/>
  <c r="BT440" i="1"/>
  <c r="BF441" i="1"/>
  <c r="BT441" i="1"/>
  <c r="BF442" i="1"/>
  <c r="BT442" i="1"/>
  <c r="BF443" i="1"/>
  <c r="BT443" i="1"/>
  <c r="BF444" i="1"/>
  <c r="BT444" i="1"/>
  <c r="BF445" i="1"/>
  <c r="BT445" i="1"/>
  <c r="BF446" i="1"/>
  <c r="BT446" i="1"/>
  <c r="BF447" i="1"/>
  <c r="BT447" i="1"/>
  <c r="BF448" i="1"/>
  <c r="BT448" i="1"/>
  <c r="BF449" i="1"/>
  <c r="BT449" i="1"/>
  <c r="BF450" i="1"/>
  <c r="BT450" i="1"/>
  <c r="BT451" i="1"/>
  <c r="BF452" i="1"/>
  <c r="BT452" i="1"/>
  <c r="BF453" i="1"/>
  <c r="BT453" i="1"/>
  <c r="BF454" i="1"/>
  <c r="BT454" i="1"/>
  <c r="BF455" i="1"/>
  <c r="BT455" i="1"/>
  <c r="BF456" i="1"/>
  <c r="BT456" i="1"/>
  <c r="BF457" i="1"/>
  <c r="BT457" i="1"/>
  <c r="BF458" i="1"/>
  <c r="BT458" i="1"/>
  <c r="BF459" i="1"/>
  <c r="BT459" i="1"/>
  <c r="BF460" i="1"/>
  <c r="BT460" i="1"/>
  <c r="BF461" i="1"/>
  <c r="BT461" i="1"/>
  <c r="BF462" i="1"/>
  <c r="BT462" i="1"/>
  <c r="BF463" i="1"/>
  <c r="BT463" i="1"/>
  <c r="BF464" i="1"/>
  <c r="BT464" i="1"/>
  <c r="BF465" i="1"/>
  <c r="BT465" i="1"/>
  <c r="BF466" i="1"/>
  <c r="BT466" i="1"/>
  <c r="BF467" i="1"/>
  <c r="BT467" i="1"/>
  <c r="BF468" i="1"/>
  <c r="BT468" i="1"/>
  <c r="BF469" i="1"/>
  <c r="BT469" i="1"/>
  <c r="BF470" i="1"/>
  <c r="BT470" i="1"/>
  <c r="BF471" i="1"/>
  <c r="BT471" i="1"/>
  <c r="BF472" i="1"/>
  <c r="BT472" i="1"/>
  <c r="BF473" i="1"/>
  <c r="BT473" i="1"/>
  <c r="BF474" i="1"/>
  <c r="BT474" i="1"/>
  <c r="BF475" i="1"/>
  <c r="BT475" i="1"/>
  <c r="BF476" i="1"/>
  <c r="BT476" i="1"/>
  <c r="BF477" i="1"/>
  <c r="BT477" i="1"/>
  <c r="BF478" i="1"/>
  <c r="BT478" i="1"/>
  <c r="BF479" i="1"/>
  <c r="BT479" i="1"/>
  <c r="BF480" i="1"/>
  <c r="BT480" i="1"/>
  <c r="BF481" i="1"/>
  <c r="BT481" i="1"/>
  <c r="BF482" i="1"/>
  <c r="BT482" i="1"/>
  <c r="BF483" i="1"/>
  <c r="BT483" i="1"/>
  <c r="BF484" i="1"/>
  <c r="BT484" i="1"/>
  <c r="BF485" i="1"/>
  <c r="BT485" i="1"/>
  <c r="BF486" i="1"/>
  <c r="BT486" i="1"/>
  <c r="BF487" i="1"/>
  <c r="BT487" i="1"/>
  <c r="BF488" i="1"/>
  <c r="BT488" i="1"/>
  <c r="BF489" i="1"/>
  <c r="BT489" i="1"/>
  <c r="BF490" i="1"/>
  <c r="BT490" i="1"/>
  <c r="BF491" i="1"/>
  <c r="BT491" i="1"/>
  <c r="BT492" i="1"/>
  <c r="BF493" i="1"/>
  <c r="BT493" i="1"/>
  <c r="BF494" i="1"/>
  <c r="BT494" i="1"/>
  <c r="BF495" i="1"/>
  <c r="BT495" i="1"/>
  <c r="BF496" i="1"/>
  <c r="BT496" i="1"/>
  <c r="BF497" i="1"/>
  <c r="BT497" i="1"/>
  <c r="BF498" i="1"/>
  <c r="BT498" i="1"/>
  <c r="BF499" i="1"/>
  <c r="BT499" i="1"/>
  <c r="BF500" i="1"/>
  <c r="BT500" i="1"/>
  <c r="BF501" i="1"/>
  <c r="BT501" i="1"/>
  <c r="BF502" i="1"/>
  <c r="BT502" i="1"/>
  <c r="BF503" i="1"/>
  <c r="BT503" i="1"/>
  <c r="BF504" i="1"/>
  <c r="BT504" i="1"/>
  <c r="BF505" i="1"/>
  <c r="BT505" i="1"/>
  <c r="BF506" i="1"/>
  <c r="BT506" i="1"/>
  <c r="BF507" i="1"/>
  <c r="BT507" i="1"/>
  <c r="BF508" i="1"/>
  <c r="BT508" i="1"/>
  <c r="BF509" i="1"/>
  <c r="BT509" i="1"/>
  <c r="BF510" i="1"/>
  <c r="BT510" i="1"/>
  <c r="BF511" i="1"/>
  <c r="BT511" i="1"/>
  <c r="BF512" i="1"/>
  <c r="BT512" i="1"/>
  <c r="BF513" i="1"/>
  <c r="BT513" i="1"/>
  <c r="BF514" i="1"/>
  <c r="BT514" i="1"/>
  <c r="BF515" i="1"/>
  <c r="BT515" i="1"/>
  <c r="BF516" i="1"/>
  <c r="BT516" i="1"/>
  <c r="BF517" i="1"/>
  <c r="BT517" i="1"/>
  <c r="BF518" i="1"/>
  <c r="BT518" i="1"/>
  <c r="BF519" i="1"/>
  <c r="BT519" i="1"/>
  <c r="BF520" i="1"/>
  <c r="BT520" i="1"/>
  <c r="BF521" i="1"/>
  <c r="BT521" i="1"/>
  <c r="BF522" i="1"/>
  <c r="BT522" i="1"/>
  <c r="BF523" i="1"/>
  <c r="BT523" i="1"/>
  <c r="BF524" i="1"/>
  <c r="BT524" i="1"/>
  <c r="BF525" i="1"/>
  <c r="BT525" i="1"/>
  <c r="BF526" i="1"/>
  <c r="BT526" i="1"/>
  <c r="BF527" i="1"/>
  <c r="BT527" i="1"/>
  <c r="BF528" i="1"/>
  <c r="BT528" i="1"/>
  <c r="BF529" i="1"/>
  <c r="BT529" i="1"/>
  <c r="BF530" i="1"/>
  <c r="BT530" i="1"/>
  <c r="BF531" i="1"/>
  <c r="BT531" i="1"/>
  <c r="BF532" i="1"/>
  <c r="BT532" i="1"/>
  <c r="BF533" i="1"/>
  <c r="BT533" i="1"/>
  <c r="BF534" i="1"/>
  <c r="BT534" i="1"/>
  <c r="BF535" i="1"/>
  <c r="BT535" i="1"/>
  <c r="BF536" i="1"/>
  <c r="BT536" i="1"/>
  <c r="BF537" i="1"/>
  <c r="BT537" i="1"/>
  <c r="BF538" i="1"/>
  <c r="BT538" i="1"/>
  <c r="BF539" i="1"/>
  <c r="BT539" i="1"/>
  <c r="BF540" i="1"/>
  <c r="BT540" i="1"/>
  <c r="BF541" i="1"/>
  <c r="BT541" i="1"/>
  <c r="BF542" i="1"/>
  <c r="BT542" i="1"/>
  <c r="BF543" i="1"/>
  <c r="BT543" i="1"/>
  <c r="BF544" i="1"/>
  <c r="BT544" i="1"/>
  <c r="BF545" i="1"/>
  <c r="BT545" i="1"/>
  <c r="BF546" i="1"/>
  <c r="BT546" i="1"/>
  <c r="BF547" i="1"/>
  <c r="BT547" i="1"/>
  <c r="BF548" i="1"/>
  <c r="BT548" i="1"/>
  <c r="BF549" i="1"/>
  <c r="BT549" i="1"/>
  <c r="BF550" i="1"/>
  <c r="BT550" i="1"/>
  <c r="BF551" i="1"/>
  <c r="BT551" i="1"/>
  <c r="BF552" i="1"/>
  <c r="BT552" i="1"/>
  <c r="BF553" i="1"/>
  <c r="BT553" i="1"/>
  <c r="BF554" i="1"/>
  <c r="BT554" i="1"/>
  <c r="BF555" i="1"/>
  <c r="BT555" i="1"/>
  <c r="BF556" i="1"/>
  <c r="BT556" i="1"/>
  <c r="BF557" i="1"/>
  <c r="BT557" i="1"/>
  <c r="BT558" i="1"/>
  <c r="BF559" i="1"/>
  <c r="BT559" i="1"/>
  <c r="BF560" i="1"/>
  <c r="BT560" i="1"/>
  <c r="BF561" i="1"/>
  <c r="BT561" i="1"/>
  <c r="BF562" i="1"/>
  <c r="BT562" i="1"/>
  <c r="BF563" i="1"/>
  <c r="BT563" i="1"/>
  <c r="BF564" i="1"/>
  <c r="BT564" i="1"/>
  <c r="BF565" i="1"/>
  <c r="BT565" i="1"/>
  <c r="BF566" i="1"/>
  <c r="BT566" i="1"/>
  <c r="BF567" i="1"/>
  <c r="BT567" i="1"/>
  <c r="BF568" i="1"/>
  <c r="BT568" i="1"/>
  <c r="BF569" i="1"/>
  <c r="BT569" i="1"/>
  <c r="BF570" i="1"/>
  <c r="BT570" i="1"/>
  <c r="BF571" i="1"/>
  <c r="BT571" i="1"/>
  <c r="BF572" i="1"/>
  <c r="BT572" i="1"/>
  <c r="BT573" i="1"/>
  <c r="BF574" i="1"/>
  <c r="BT574" i="1"/>
  <c r="BF575" i="1"/>
  <c r="BT575" i="1"/>
  <c r="BF576" i="1"/>
  <c r="BT576" i="1"/>
  <c r="BF577" i="1"/>
  <c r="BT577" i="1"/>
  <c r="BF578" i="1"/>
  <c r="BT578" i="1"/>
  <c r="BF579" i="1"/>
  <c r="BT579" i="1"/>
  <c r="BF580" i="1"/>
  <c r="BT580" i="1"/>
  <c r="BF581" i="1"/>
  <c r="BT581" i="1"/>
  <c r="BF582" i="1"/>
  <c r="BT582" i="1"/>
  <c r="BF583" i="1"/>
  <c r="BT583" i="1"/>
  <c r="BF584" i="1"/>
  <c r="BT584" i="1"/>
  <c r="BF585" i="1"/>
  <c r="BT585" i="1"/>
  <c r="BF586" i="1"/>
  <c r="BT586" i="1"/>
  <c r="BF587" i="1"/>
  <c r="BT587" i="1"/>
  <c r="BF588" i="1"/>
  <c r="BT588" i="1"/>
  <c r="BF589" i="1"/>
  <c r="BT589" i="1"/>
  <c r="BF590" i="1"/>
  <c r="BT590" i="1"/>
  <c r="BF591" i="1"/>
  <c r="BT591" i="1"/>
  <c r="BF592" i="1"/>
  <c r="BT592" i="1"/>
  <c r="BF593" i="1"/>
  <c r="BT593" i="1"/>
  <c r="BF594" i="1"/>
  <c r="BT594" i="1"/>
  <c r="BF595" i="1"/>
  <c r="BT595" i="1"/>
  <c r="BF596" i="1"/>
  <c r="BT596" i="1"/>
  <c r="BF597" i="1"/>
  <c r="BT597" i="1"/>
  <c r="BF598" i="1"/>
  <c r="BT598" i="1"/>
  <c r="BF599" i="1"/>
  <c r="BT599" i="1"/>
  <c r="BF600" i="1"/>
  <c r="BT600" i="1"/>
  <c r="BF601" i="1"/>
  <c r="BT601" i="1"/>
  <c r="BF602" i="1"/>
  <c r="BT602" i="1"/>
  <c r="BT603" i="1"/>
  <c r="BF604" i="1"/>
  <c r="BT604" i="1"/>
  <c r="BT605" i="1"/>
  <c r="BF606" i="1"/>
  <c r="BT606" i="1"/>
  <c r="BF607" i="1"/>
  <c r="BT607" i="1"/>
  <c r="BF608" i="1"/>
  <c r="BT608" i="1"/>
  <c r="BF609" i="1"/>
  <c r="BT609" i="1"/>
  <c r="BF610" i="1"/>
  <c r="BT610" i="1"/>
  <c r="BF611" i="1"/>
  <c r="BT611" i="1"/>
  <c r="BF612" i="1"/>
  <c r="BT612" i="1"/>
  <c r="BF613" i="1"/>
  <c r="BT613" i="1"/>
  <c r="BF614" i="1"/>
  <c r="BT614" i="1"/>
  <c r="BF615" i="1"/>
  <c r="BT615" i="1"/>
  <c r="BF616" i="1"/>
  <c r="BT616" i="1"/>
  <c r="BF617" i="1"/>
  <c r="BT617" i="1"/>
  <c r="BF618" i="1"/>
  <c r="BT618" i="1"/>
  <c r="BF619" i="1"/>
  <c r="BT619" i="1"/>
  <c r="BF620" i="1"/>
  <c r="BT620" i="1"/>
  <c r="BF621" i="1"/>
  <c r="BT621" i="1"/>
  <c r="BF622" i="1"/>
  <c r="BT622" i="1"/>
  <c r="BF623" i="1"/>
  <c r="BT623" i="1"/>
  <c r="BT624" i="1"/>
  <c r="BF625" i="1"/>
  <c r="BT625" i="1"/>
  <c r="BF626" i="1"/>
  <c r="BT626" i="1"/>
  <c r="BF627" i="1"/>
  <c r="BT627" i="1"/>
  <c r="BF628" i="1"/>
  <c r="BT628" i="1"/>
  <c r="BF629" i="1"/>
  <c r="BT629" i="1"/>
  <c r="BF630" i="1"/>
  <c r="BT630" i="1"/>
  <c r="BF631" i="1"/>
  <c r="BT631" i="1"/>
  <c r="BF632" i="1"/>
  <c r="BT632" i="1"/>
  <c r="BF633" i="1"/>
  <c r="BT633" i="1"/>
  <c r="BF634" i="1"/>
  <c r="BT634" i="1"/>
  <c r="BT635" i="1"/>
  <c r="BF636" i="1"/>
  <c r="BT636" i="1"/>
  <c r="BF637" i="1"/>
  <c r="BT637" i="1"/>
  <c r="BF638" i="1"/>
  <c r="BT638" i="1"/>
  <c r="BF639" i="1"/>
  <c r="BT639" i="1"/>
  <c r="BF640" i="1"/>
  <c r="BT640" i="1"/>
  <c r="BF641" i="1"/>
  <c r="BT641" i="1"/>
  <c r="BF642" i="1"/>
  <c r="BT642" i="1"/>
  <c r="BF643" i="1"/>
  <c r="BT643" i="1"/>
  <c r="BF644" i="1"/>
  <c r="BT644" i="1"/>
  <c r="BF645" i="1"/>
  <c r="BT645" i="1"/>
  <c r="BF646" i="1"/>
  <c r="BT646" i="1"/>
  <c r="BF647" i="1"/>
  <c r="BT647" i="1"/>
  <c r="BF648" i="1"/>
  <c r="BT648" i="1"/>
  <c r="BF649" i="1"/>
  <c r="BT649" i="1"/>
  <c r="BF650" i="1"/>
  <c r="BT650" i="1"/>
  <c r="BF651" i="1"/>
  <c r="BT651" i="1"/>
  <c r="BF652" i="1"/>
  <c r="BT652" i="1"/>
  <c r="BF653" i="1"/>
  <c r="BT653" i="1"/>
  <c r="BF654" i="1"/>
  <c r="BT654" i="1"/>
  <c r="BF655" i="1"/>
  <c r="BT655" i="1"/>
  <c r="BF656" i="1"/>
  <c r="BT656" i="1"/>
  <c r="BF657" i="1"/>
  <c r="BT657" i="1"/>
  <c r="BF658" i="1"/>
  <c r="BT658" i="1"/>
  <c r="BF659" i="1"/>
  <c r="BT659" i="1"/>
  <c r="BF660" i="1"/>
  <c r="BT660" i="1"/>
  <c r="BF661" i="1"/>
  <c r="BT661" i="1"/>
  <c r="BF662" i="1"/>
  <c r="BT662" i="1"/>
  <c r="BF663" i="1"/>
  <c r="BT663" i="1"/>
  <c r="BF664" i="1"/>
  <c r="BT664" i="1"/>
  <c r="BF665" i="1"/>
  <c r="BT665" i="1"/>
  <c r="BF666" i="1"/>
  <c r="BT666" i="1"/>
  <c r="BF667" i="1"/>
  <c r="BT667" i="1"/>
  <c r="BF668" i="1"/>
  <c r="BT668" i="1"/>
  <c r="BF669" i="1"/>
  <c r="BT669" i="1"/>
  <c r="BF670" i="1"/>
  <c r="BT670" i="1"/>
  <c r="BF671" i="1"/>
  <c r="BT671" i="1"/>
  <c r="BF672" i="1"/>
  <c r="BT672" i="1"/>
  <c r="BF673" i="1"/>
  <c r="BT673" i="1"/>
  <c r="BF674" i="1"/>
  <c r="BT674" i="1"/>
  <c r="BF675" i="1"/>
  <c r="BT675" i="1"/>
  <c r="BF676" i="1"/>
  <c r="BT676" i="1"/>
  <c r="BF677" i="1"/>
  <c r="BT677" i="1"/>
  <c r="BF678" i="1"/>
  <c r="BT678" i="1"/>
  <c r="BF679" i="1"/>
  <c r="BT679" i="1"/>
  <c r="BF680" i="1"/>
  <c r="BT680" i="1"/>
  <c r="BF681" i="1"/>
  <c r="BT681" i="1"/>
  <c r="BF682" i="1"/>
  <c r="BT682" i="1"/>
  <c r="BF683" i="1"/>
  <c r="BT683" i="1"/>
  <c r="BF684" i="1"/>
  <c r="BT684" i="1"/>
  <c r="BF685" i="1"/>
  <c r="BT685" i="1"/>
  <c r="BF686" i="1"/>
  <c r="BT686" i="1"/>
  <c r="BF687" i="1"/>
  <c r="BT687" i="1"/>
  <c r="BF688" i="1"/>
  <c r="BT688" i="1"/>
  <c r="BF689" i="1"/>
  <c r="BT689" i="1"/>
  <c r="BF690" i="1"/>
  <c r="BT690" i="1"/>
  <c r="BF691" i="1"/>
  <c r="BT691" i="1"/>
  <c r="BF692" i="1"/>
  <c r="BT692" i="1"/>
  <c r="BF693" i="1"/>
  <c r="BT693" i="1"/>
  <c r="BF694" i="1"/>
  <c r="BT694" i="1"/>
  <c r="BF695" i="1"/>
  <c r="BT695" i="1"/>
  <c r="BF696" i="1"/>
  <c r="BT696" i="1"/>
  <c r="BF697" i="1"/>
  <c r="BT697" i="1"/>
  <c r="BF698" i="1"/>
  <c r="BT698" i="1"/>
  <c r="BF699" i="1"/>
  <c r="BT699" i="1"/>
  <c r="BF700" i="1"/>
  <c r="BT700" i="1"/>
  <c r="BF701" i="1"/>
  <c r="BT701" i="1"/>
  <c r="BF702" i="1"/>
  <c r="BT702" i="1"/>
  <c r="BF703" i="1"/>
  <c r="BT703" i="1"/>
  <c r="BF704" i="1"/>
  <c r="BT704" i="1"/>
  <c r="BF705" i="1"/>
  <c r="BT705" i="1"/>
  <c r="BF706" i="1"/>
  <c r="BT706" i="1"/>
  <c r="BF707" i="1"/>
  <c r="BT707" i="1"/>
  <c r="BF708" i="1"/>
  <c r="BT708" i="1"/>
  <c r="BF709" i="1"/>
  <c r="BT709" i="1"/>
  <c r="BF710" i="1"/>
  <c r="BT710" i="1"/>
  <c r="BF711" i="1"/>
  <c r="BT711" i="1"/>
  <c r="BF712" i="1"/>
  <c r="BT712" i="1"/>
  <c r="BF713" i="1"/>
  <c r="BT713" i="1"/>
  <c r="BF714" i="1"/>
  <c r="BT714" i="1"/>
  <c r="BF715" i="1"/>
  <c r="BT715" i="1"/>
  <c r="BF716" i="1"/>
  <c r="BT716" i="1"/>
  <c r="BF717" i="1"/>
  <c r="BT717" i="1"/>
  <c r="BF718" i="1"/>
  <c r="BT718" i="1"/>
  <c r="BF719" i="1"/>
  <c r="BT719" i="1"/>
  <c r="BF720" i="1"/>
  <c r="BT720" i="1"/>
  <c r="BF721" i="1"/>
  <c r="BT721" i="1"/>
  <c r="BF722" i="1"/>
  <c r="BT722" i="1"/>
  <c r="BF723" i="1"/>
  <c r="BT723" i="1"/>
  <c r="BF724" i="1"/>
  <c r="BT724" i="1"/>
  <c r="BF725" i="1"/>
  <c r="BT725" i="1"/>
  <c r="BF726" i="1"/>
  <c r="BT726" i="1"/>
  <c r="BF727" i="1"/>
  <c r="BT727" i="1"/>
  <c r="BF728" i="1"/>
  <c r="BT728" i="1"/>
  <c r="BF729" i="1"/>
  <c r="BT729" i="1"/>
  <c r="BF730" i="1"/>
  <c r="BT730" i="1"/>
  <c r="BT731" i="1"/>
  <c r="BF732" i="1"/>
  <c r="BT732" i="1"/>
  <c r="BF733" i="1"/>
  <c r="BT733" i="1"/>
  <c r="BF734" i="1"/>
  <c r="BT734" i="1"/>
  <c r="BF735" i="1"/>
  <c r="BT735" i="1"/>
  <c r="BF736" i="1"/>
  <c r="BT736" i="1"/>
  <c r="BF737" i="1"/>
  <c r="BT737" i="1"/>
  <c r="BF738" i="1"/>
  <c r="BT738" i="1"/>
  <c r="BF739" i="1"/>
  <c r="BT739" i="1"/>
  <c r="BF740" i="1"/>
  <c r="BT740" i="1"/>
  <c r="BF741" i="1"/>
  <c r="BT741" i="1"/>
  <c r="BF742" i="1"/>
  <c r="BT742" i="1"/>
  <c r="BF743" i="1"/>
  <c r="BT743" i="1"/>
  <c r="BF744" i="1"/>
  <c r="BT744" i="1"/>
  <c r="BF745" i="1"/>
  <c r="BT745" i="1"/>
  <c r="BF746" i="1"/>
  <c r="BT746" i="1"/>
  <c r="BF747" i="1"/>
  <c r="BT747" i="1"/>
  <c r="BF748" i="1"/>
  <c r="BT748" i="1"/>
  <c r="BF749" i="1"/>
  <c r="BT749" i="1"/>
  <c r="BF750" i="1"/>
  <c r="BT750" i="1"/>
  <c r="BF751" i="1"/>
  <c r="BT751" i="1"/>
  <c r="BF752" i="1"/>
  <c r="BT752" i="1"/>
  <c r="BF753" i="1"/>
  <c r="BT753" i="1"/>
  <c r="BF754" i="1"/>
  <c r="BT754" i="1"/>
  <c r="BF755" i="1"/>
  <c r="BT755" i="1"/>
  <c r="BF756" i="1"/>
  <c r="BT756" i="1"/>
  <c r="BF757" i="1"/>
  <c r="BT757" i="1"/>
  <c r="BF758" i="1"/>
  <c r="BT758" i="1"/>
  <c r="BF759" i="1"/>
  <c r="BT759" i="1"/>
  <c r="BF760" i="1"/>
  <c r="BT760" i="1"/>
  <c r="BF761" i="1"/>
  <c r="BT761" i="1"/>
  <c r="BF762" i="1"/>
  <c r="BT762" i="1"/>
  <c r="BT763" i="1"/>
  <c r="BF764" i="1"/>
  <c r="BT764" i="1"/>
  <c r="BF765" i="1"/>
  <c r="BT765" i="1"/>
  <c r="BF766" i="1"/>
  <c r="BT766" i="1"/>
  <c r="BF767" i="1"/>
  <c r="BT767" i="1"/>
  <c r="BF768" i="1"/>
  <c r="BT768" i="1"/>
  <c r="BF769" i="1"/>
  <c r="BT769" i="1"/>
  <c r="BF770" i="1"/>
  <c r="BT770" i="1"/>
  <c r="BF771" i="1"/>
  <c r="BT771" i="1"/>
  <c r="BF772" i="1"/>
  <c r="BT772" i="1"/>
  <c r="BF773" i="1"/>
  <c r="BT773" i="1"/>
  <c r="BF774" i="1"/>
  <c r="BT774" i="1"/>
  <c r="BF775" i="1"/>
  <c r="BT775" i="1"/>
  <c r="BF776" i="1"/>
  <c r="BT776" i="1"/>
  <c r="BF777" i="1"/>
  <c r="BT777" i="1"/>
  <c r="BF778" i="1"/>
  <c r="BT778" i="1"/>
  <c r="BF779" i="1"/>
  <c r="BT779" i="1"/>
  <c r="BF780" i="1"/>
  <c r="BT780" i="1"/>
  <c r="BF781" i="1"/>
  <c r="BT781" i="1"/>
  <c r="BF782" i="1"/>
  <c r="BT782" i="1"/>
  <c r="BF783" i="1"/>
  <c r="BT783" i="1"/>
  <c r="BF784" i="1"/>
  <c r="BT784" i="1"/>
  <c r="BF785" i="1"/>
  <c r="BT785" i="1"/>
  <c r="BF786" i="1"/>
  <c r="BT786" i="1"/>
  <c r="BF787" i="1"/>
  <c r="BT787" i="1"/>
  <c r="BF788" i="1"/>
  <c r="BT788" i="1"/>
  <c r="BF789" i="1"/>
  <c r="BT789" i="1"/>
  <c r="BF790" i="1"/>
  <c r="BT790" i="1"/>
  <c r="BF791" i="1"/>
  <c r="BT791" i="1"/>
  <c r="BT792" i="1"/>
  <c r="BF793" i="1"/>
  <c r="BT793" i="1"/>
  <c r="BT794" i="1"/>
  <c r="BF795" i="1"/>
  <c r="BT795" i="1"/>
  <c r="BF796" i="1"/>
  <c r="BT796" i="1"/>
  <c r="BF797" i="1"/>
  <c r="BT797" i="1"/>
  <c r="BF798" i="1"/>
  <c r="BT798" i="1"/>
  <c r="BF799" i="1"/>
  <c r="BT799" i="1"/>
  <c r="BF800" i="1"/>
  <c r="BT800" i="1"/>
  <c r="BF801" i="1"/>
  <c r="BT801" i="1"/>
  <c r="BF802" i="1"/>
  <c r="BT802" i="1"/>
  <c r="BF803" i="1"/>
  <c r="BT803" i="1"/>
  <c r="BF804" i="1"/>
  <c r="BT804" i="1"/>
  <c r="BF805" i="1"/>
  <c r="BT805" i="1"/>
  <c r="BF806" i="1"/>
  <c r="BT806" i="1"/>
  <c r="BF807" i="1"/>
  <c r="BT807" i="1"/>
  <c r="BF808" i="1"/>
  <c r="BT808" i="1"/>
  <c r="BF809" i="1"/>
  <c r="BT809" i="1"/>
  <c r="BT810" i="1"/>
  <c r="BT811" i="1"/>
  <c r="BT812" i="1"/>
  <c r="BT813" i="1"/>
  <c r="BT814" i="1"/>
  <c r="BT815" i="1"/>
  <c r="BT816" i="1"/>
  <c r="BT817" i="1"/>
  <c r="BT818" i="1"/>
  <c r="BT819" i="1"/>
  <c r="BT820" i="1"/>
  <c r="BT821" i="1"/>
  <c r="BT822" i="1"/>
  <c r="BT823" i="1"/>
  <c r="BT824" i="1"/>
  <c r="BT825" i="1"/>
  <c r="BT826" i="1"/>
  <c r="BT827" i="1"/>
  <c r="BF828" i="1"/>
  <c r="BT828" i="1"/>
  <c r="BF829" i="1"/>
  <c r="BT829" i="1"/>
  <c r="BF830" i="1"/>
  <c r="BT830" i="1"/>
  <c r="BT831" i="1"/>
  <c r="BT832" i="1"/>
  <c r="BF833" i="1"/>
  <c r="BT833" i="1"/>
  <c r="BT834" i="1"/>
  <c r="BT835" i="1"/>
  <c r="BF836" i="1"/>
  <c r="BT836" i="1"/>
  <c r="BF837" i="1"/>
  <c r="BT837" i="1"/>
  <c r="BT838" i="1"/>
  <c r="BT839" i="1"/>
  <c r="BF840" i="1"/>
  <c r="BT840" i="1"/>
  <c r="BF841" i="1"/>
  <c r="BT841" i="1"/>
  <c r="BT842" i="1"/>
  <c r="BF843" i="1"/>
  <c r="BT843" i="1"/>
  <c r="BF844" i="1"/>
  <c r="BT844" i="1"/>
  <c r="BF845" i="1"/>
  <c r="BT845" i="1"/>
  <c r="BT846" i="1"/>
  <c r="BF847" i="1"/>
  <c r="BT847" i="1"/>
  <c r="BT848" i="1"/>
  <c r="BT849" i="1"/>
  <c r="BT850" i="1"/>
  <c r="BF851" i="1"/>
  <c r="BT851" i="1"/>
  <c r="BF852" i="1"/>
  <c r="BT852" i="1"/>
  <c r="BT853" i="1"/>
  <c r="BT854" i="1"/>
  <c r="BT855" i="1"/>
  <c r="BT856" i="1"/>
  <c r="BT857" i="1"/>
  <c r="BT858" i="1"/>
  <c r="BT859" i="1"/>
  <c r="BF860" i="1"/>
  <c r="BT860" i="1"/>
  <c r="BF861" i="1"/>
  <c r="BT861" i="1"/>
  <c r="BF862" i="1"/>
  <c r="BT862" i="1"/>
  <c r="BF863" i="1"/>
  <c r="BT863" i="1"/>
  <c r="BF864" i="1"/>
  <c r="BT864" i="1"/>
  <c r="BT865" i="1"/>
  <c r="BT866" i="1"/>
  <c r="BF867" i="1"/>
  <c r="BT867" i="1"/>
  <c r="BF868" i="1"/>
  <c r="BT868" i="1"/>
  <c r="BT869" i="1"/>
  <c r="BF870" i="1"/>
  <c r="BT870" i="1"/>
  <c r="BF871" i="1"/>
  <c r="BT871" i="1"/>
  <c r="BF872" i="1"/>
  <c r="BT872" i="1"/>
  <c r="BF873" i="1"/>
  <c r="BT873" i="1"/>
  <c r="BF874" i="1"/>
  <c r="BT874" i="1"/>
  <c r="BF875" i="1"/>
  <c r="BT875" i="1"/>
  <c r="BF876" i="1"/>
  <c r="BT876" i="1"/>
  <c r="BF877" i="1"/>
  <c r="BT877" i="1"/>
  <c r="BF878" i="1"/>
  <c r="BT878" i="1"/>
  <c r="BF879" i="1"/>
  <c r="BT879" i="1"/>
  <c r="BF880" i="1"/>
  <c r="BT880" i="1"/>
  <c r="BF881" i="1"/>
  <c r="BT881" i="1"/>
  <c r="BF882" i="1"/>
  <c r="BT882" i="1"/>
  <c r="BF883" i="1"/>
  <c r="BT883" i="1"/>
  <c r="BF884" i="1"/>
  <c r="BT884" i="1"/>
  <c r="BF885" i="1"/>
  <c r="BT885" i="1"/>
  <c r="BF886" i="1"/>
  <c r="BT886" i="1"/>
  <c r="BF887" i="1"/>
  <c r="BT887" i="1"/>
  <c r="BF888" i="1"/>
  <c r="BT888" i="1"/>
  <c r="BF889" i="1"/>
  <c r="BT889" i="1"/>
  <c r="BF890" i="1"/>
  <c r="BT890" i="1"/>
  <c r="BF891" i="1"/>
  <c r="BT891" i="1"/>
  <c r="BF892" i="1"/>
  <c r="BT892" i="1"/>
  <c r="BT893" i="1"/>
  <c r="BT894" i="1"/>
  <c r="BF895" i="1"/>
  <c r="BT895" i="1"/>
  <c r="BF896" i="1"/>
  <c r="BT896" i="1"/>
  <c r="BF897" i="1"/>
  <c r="BT897" i="1"/>
  <c r="BF898" i="1"/>
  <c r="BT898" i="1"/>
  <c r="BF899" i="1"/>
  <c r="BT899" i="1"/>
  <c r="BF900" i="1"/>
  <c r="BT900" i="1"/>
  <c r="BF901" i="1"/>
  <c r="BT901" i="1"/>
  <c r="BF902" i="1"/>
  <c r="BT902" i="1"/>
  <c r="BF903" i="1"/>
  <c r="BT903" i="1"/>
  <c r="BF904" i="1"/>
  <c r="BT904" i="1"/>
  <c r="BF905" i="1"/>
  <c r="BT905" i="1"/>
  <c r="BF906" i="1"/>
  <c r="BT906" i="1"/>
  <c r="BF907" i="1"/>
  <c r="BT907" i="1"/>
  <c r="BF908" i="1"/>
  <c r="BT908" i="1"/>
  <c r="BT909" i="1"/>
  <c r="BF910" i="1"/>
  <c r="BT910" i="1"/>
  <c r="BF911" i="1"/>
  <c r="BT911" i="1"/>
  <c r="BF912" i="1"/>
  <c r="BT912" i="1"/>
  <c r="BF913" i="1"/>
  <c r="BT913" i="1"/>
  <c r="BF914" i="1"/>
  <c r="BT914" i="1"/>
  <c r="BF915" i="1"/>
  <c r="BT915" i="1"/>
  <c r="BF916" i="1"/>
  <c r="BT916" i="1"/>
  <c r="BF917" i="1"/>
  <c r="BT917" i="1"/>
  <c r="BF918" i="1"/>
  <c r="BT918" i="1"/>
  <c r="BF919" i="1"/>
  <c r="BT919" i="1"/>
  <c r="BT920" i="1"/>
  <c r="BT921" i="1"/>
  <c r="BT922" i="1"/>
  <c r="BT923" i="1"/>
  <c r="BT924" i="1"/>
  <c r="BT925" i="1"/>
  <c r="BT926" i="1"/>
  <c r="BT927" i="1"/>
  <c r="BT928" i="1"/>
  <c r="BT929" i="1"/>
  <c r="BF930" i="1"/>
  <c r="BT930" i="1"/>
  <c r="BF931" i="1"/>
  <c r="BT931" i="1"/>
  <c r="BT932" i="1"/>
  <c r="BT933" i="1"/>
  <c r="BF934" i="1"/>
  <c r="BT934" i="1"/>
  <c r="BF935" i="1"/>
  <c r="BT935" i="1"/>
  <c r="BF936" i="1"/>
  <c r="BT936" i="1"/>
  <c r="BF937" i="1"/>
  <c r="BT937" i="1"/>
  <c r="BF938" i="1"/>
  <c r="BT938" i="1"/>
  <c r="BF939" i="1"/>
  <c r="BT939" i="1"/>
  <c r="BF940" i="1"/>
  <c r="BT940" i="1"/>
  <c r="BF941" i="1"/>
  <c r="BT941" i="1"/>
  <c r="BF942" i="1"/>
  <c r="BT942" i="1"/>
  <c r="BF943" i="1"/>
  <c r="BT943" i="1"/>
  <c r="BF944" i="1"/>
  <c r="BT944" i="1"/>
  <c r="BF945" i="1"/>
  <c r="BT945" i="1"/>
  <c r="BF946" i="1"/>
  <c r="BT946" i="1"/>
  <c r="BF947" i="1"/>
  <c r="BT947" i="1"/>
  <c r="BF948" i="1"/>
  <c r="BT948" i="1"/>
  <c r="BF949" i="1"/>
  <c r="BT949" i="1"/>
  <c r="BF950" i="1"/>
  <c r="BT950" i="1"/>
  <c r="BF951" i="1"/>
  <c r="BT951" i="1"/>
  <c r="BF952" i="1"/>
  <c r="BT952" i="1"/>
  <c r="BF953" i="1"/>
  <c r="BT953" i="1"/>
  <c r="BF954" i="1"/>
  <c r="BT954" i="1"/>
  <c r="BF955" i="1"/>
  <c r="BT955" i="1"/>
  <c r="BF956" i="1"/>
  <c r="BT956" i="1"/>
  <c r="BF957" i="1"/>
  <c r="BT957" i="1"/>
  <c r="BF958" i="1"/>
  <c r="BT958" i="1"/>
  <c r="BF959" i="1"/>
  <c r="BT959" i="1"/>
  <c r="BF960" i="1"/>
  <c r="BT960" i="1"/>
  <c r="BT961" i="1"/>
  <c r="BF962" i="1"/>
  <c r="BT962" i="1"/>
  <c r="BF963" i="1"/>
  <c r="BT963" i="1"/>
  <c r="BF964" i="1"/>
  <c r="BT964" i="1"/>
  <c r="BF965" i="1"/>
  <c r="BT965" i="1"/>
  <c r="BF966" i="1"/>
  <c r="BT966" i="1"/>
  <c r="BF967" i="1"/>
  <c r="BT967" i="1"/>
  <c r="BF968" i="1"/>
  <c r="BT968" i="1"/>
  <c r="BF969" i="1"/>
  <c r="BT969" i="1"/>
  <c r="BF970" i="1"/>
  <c r="BT970" i="1"/>
  <c r="BF971" i="1"/>
  <c r="BT971" i="1"/>
  <c r="BF972" i="1"/>
  <c r="BT972" i="1"/>
  <c r="BF973" i="1"/>
  <c r="BT973" i="1"/>
  <c r="BF974" i="1"/>
  <c r="BT974" i="1"/>
  <c r="BF975" i="1"/>
  <c r="BT975" i="1"/>
  <c r="BF976" i="1"/>
  <c r="BT976" i="1"/>
  <c r="BF977" i="1"/>
  <c r="BT977" i="1"/>
  <c r="BF978" i="1"/>
  <c r="BT978" i="1"/>
  <c r="BF979" i="1"/>
  <c r="BT979" i="1"/>
  <c r="BF980" i="1"/>
  <c r="BT980" i="1"/>
  <c r="BF981" i="1"/>
  <c r="BT981" i="1"/>
  <c r="BF982" i="1"/>
  <c r="BT982" i="1"/>
  <c r="BF983" i="1"/>
  <c r="BT983" i="1"/>
  <c r="BF984" i="1"/>
  <c r="BT984" i="1"/>
  <c r="BF985" i="1"/>
  <c r="BT985" i="1"/>
  <c r="BF986" i="1"/>
  <c r="BT986" i="1"/>
  <c r="BF987" i="1"/>
  <c r="BT987" i="1"/>
  <c r="BF988" i="1"/>
  <c r="BT988" i="1"/>
  <c r="BF989" i="1"/>
  <c r="BT989" i="1"/>
  <c r="BT990" i="1"/>
  <c r="BT991" i="1"/>
  <c r="BT992" i="1"/>
  <c r="BT993" i="1"/>
  <c r="BT994" i="1"/>
  <c r="BT995" i="1"/>
  <c r="BT996" i="1"/>
  <c r="BT997" i="1"/>
  <c r="BT998" i="1"/>
  <c r="BT999" i="1"/>
  <c r="BT1000" i="1"/>
  <c r="BT1001" i="1"/>
</calcChain>
</file>

<file path=xl/sharedStrings.xml><?xml version="1.0" encoding="utf-8"?>
<sst xmlns="http://schemas.openxmlformats.org/spreadsheetml/2006/main" count="59476" uniqueCount="18687">
  <si>
    <t>Publication Type</t>
  </si>
  <si>
    <t>Authors</t>
  </si>
  <si>
    <t>Book Authors</t>
  </si>
  <si>
    <t>Book Editors</t>
  </si>
  <si>
    <t>Book Group Authors</t>
  </si>
  <si>
    <t>Author Full Names</t>
  </si>
  <si>
    <t>Book Author Full Names</t>
  </si>
  <si>
    <t>Group Authors</t>
  </si>
  <si>
    <t>Article Title</t>
  </si>
  <si>
    <t>Source Title</t>
  </si>
  <si>
    <t>Book Series Title</t>
  </si>
  <si>
    <t>Book Series Subtitle</t>
  </si>
  <si>
    <t>Language</t>
  </si>
  <si>
    <t>Document Type</t>
  </si>
  <si>
    <t>Conference Title</t>
  </si>
  <si>
    <t>Conference Date</t>
  </si>
  <si>
    <t>Conference Location</t>
  </si>
  <si>
    <t>Conference Sponsor</t>
  </si>
  <si>
    <t>Conference Host</t>
  </si>
  <si>
    <t>Author Keywords</t>
  </si>
  <si>
    <t>Keywords Plus</t>
  </si>
  <si>
    <t>Abstract</t>
  </si>
  <si>
    <t>Addresses</t>
  </si>
  <si>
    <t>Affiliations</t>
  </si>
  <si>
    <t>Reprint Addresses</t>
  </si>
  <si>
    <t>Email Addresses</t>
  </si>
  <si>
    <t>Researcher Ids</t>
  </si>
  <si>
    <t>ORCIDs</t>
  </si>
  <si>
    <t>Funding Orgs</t>
  </si>
  <si>
    <t>Funding Name Preferred</t>
  </si>
  <si>
    <t>Funding Text</t>
  </si>
  <si>
    <t>Cited References</t>
  </si>
  <si>
    <t>Cited Reference Count</t>
  </si>
  <si>
    <t>Times Cited, WoS Core</t>
  </si>
  <si>
    <t>Times Cited, All Databases</t>
  </si>
  <si>
    <t>180 Day Usage Count</t>
  </si>
  <si>
    <t>Since 2013 Usage Count</t>
  </si>
  <si>
    <t>Publisher</t>
  </si>
  <si>
    <t>Publisher City</t>
  </si>
  <si>
    <t>Publisher Address</t>
  </si>
  <si>
    <t>ISSN</t>
  </si>
  <si>
    <t>eISSN</t>
  </si>
  <si>
    <t>ISBN</t>
  </si>
  <si>
    <t>Journal Abbreviation</t>
  </si>
  <si>
    <t>Journal ISO Abbreviation</t>
  </si>
  <si>
    <t>Publication Date</t>
  </si>
  <si>
    <t>Publication Year</t>
  </si>
  <si>
    <t>Volume</t>
  </si>
  <si>
    <t>Issue</t>
  </si>
  <si>
    <t>Part Number</t>
  </si>
  <si>
    <t>Supplement</t>
  </si>
  <si>
    <t>Special Issue</t>
  </si>
  <si>
    <t>Meeting Abstract</t>
  </si>
  <si>
    <t>Start Page</t>
  </si>
  <si>
    <t>End Page</t>
  </si>
  <si>
    <t>Article Number</t>
  </si>
  <si>
    <t>DOI</t>
  </si>
  <si>
    <t>DOI Link</t>
  </si>
  <si>
    <t>Book DOI</t>
  </si>
  <si>
    <t>Early Access Date</t>
  </si>
  <si>
    <t>Number of Pages</t>
  </si>
  <si>
    <t>WoS Categories</t>
  </si>
  <si>
    <t>Web of Science Index</t>
  </si>
  <si>
    <t>Research Areas</t>
  </si>
  <si>
    <t>IDS Number</t>
  </si>
  <si>
    <t>Pubmed Id</t>
  </si>
  <si>
    <t>Open Access Designations</t>
  </si>
  <si>
    <t>Highly Cited Status</t>
  </si>
  <si>
    <t>Hot Paper Status</t>
  </si>
  <si>
    <t>Date of Export</t>
  </si>
  <si>
    <t>UT (Unique WOS ID)</t>
  </si>
  <si>
    <t>Web of Science Record</t>
  </si>
  <si>
    <t>J</t>
  </si>
  <si>
    <t>Quiroga, MV; Valverde, A; Mataloni, G; Cowan, D</t>
  </si>
  <si>
    <t/>
  </si>
  <si>
    <t>Victoria Quiroga, Maria; Valverde, Angel; Mataloni, Gabriela; Cowan, Don</t>
  </si>
  <si>
    <t>Understanding diversity patterns in bacterioplankton communities from a sub-Antarctic peatland</t>
  </si>
  <si>
    <t>ENVIRONMENTAL MICROBIOLOGY REPORTS</t>
  </si>
  <si>
    <t>English</t>
  </si>
  <si>
    <t>Article</t>
  </si>
  <si>
    <t>WATER-LEVEL DRAWDOWN; BACTERIAL COMMUNITIES; BETA DIVERSITY; BOG; POPULATIONS; GRASSLAND; GRADIENTS; MICROBES; LAKES; TERM</t>
  </si>
  <si>
    <t>Bacterioplankton communities inhabiting peatlands have the potential to influence local ecosystem functions. However, most microbial ecology research in such wetlands has been done in ecosystems (mostly peat soils) of the Northern Hemisphere, and very little is known of the factors that drive bacterial community assembly in other regions of the world. In this study, we used high-throughput sequencing to analyse the structure of the bacterial communities in five pools located in a sub-Antarctic peat bog (Tierra del Fuego, Argentina), and tested for relationships between bacterial communities and environmental conditions. Bacterioplankton communities in peat bog pools were diverse and dominated by members of the Proteobacteria, Actinobacteria, Bacteroidetes and Verrucomicrobia. Community structure was largely explained by differences in hydrological connectivity, pH and nutrient status (ombrotrophic versus minerotrophic pools). Bacterioplankton communities in ombrotrophic pools showed phylogenetic clustering, suggesting a dominant role of deterministic processes in shaping these assemblages. These correlations between habitat characteristics and bacterial diversity patterns provide new insights into the factors regulating microbial populations in peatland ecosystems.</t>
  </si>
  <si>
    <t>[Victoria Quiroga, Maria; Mataloni, Gabriela] Univ Nacl San Martin, Inst Invest &amp; Ingn Ambiental 3iA, Buenos Aires, DF, Argentina; [Valverde, Angel; Cowan, Don] Univ Pretoria, GRI, CMEG, Dept Genet, ZA-0002 Pretoria, South Africa</t>
  </si>
  <si>
    <t>University of Pretoria</t>
  </si>
  <si>
    <t>Valverde, A (corresponding author), Univ Pretoria, GRI, CMEG, Dept Genet, ZA-0002 Pretoria, South Africa.</t>
  </si>
  <si>
    <t>angel.valverde@up.ac.za</t>
  </si>
  <si>
    <t>Cowan, Donald A/E-3991-2012; Quiroga, Maria Victoria/JUV-5976-2023; Valverde, Angel/C-1308-2009</t>
  </si>
  <si>
    <t>Cowan, Donald A/0000-0001-8059-861X; Quiroga, Maria Victoria/0000-0002-6223-334X; Valverde, Angel/0000-0003-0439-9605; Mataloni, Gabriela/0000-0002-6852-6143</t>
  </si>
  <si>
    <t>CONICET [PIP 11220090100050]; National Research Foundation (South Africa); Ministerio de Ciencia, Tecnologia e Innovacion Productiva (South Africa-Argentina International Science and Technology)</t>
  </si>
  <si>
    <t>CONICET(Consejo Nacional de Investigaciones Cientificas y Tecnicas (CONICET)); National Research Foundation (South Africa)(National Research Foundation - South AfricaSouth African Medical Research Council); Ministerio de Ciencia, Tecnologia e Innovacion Productiva (South Africa-Argentina International Science and Technology)</t>
  </si>
  <si>
    <t>Financial support was provided by CONICET (Research grant PIP 11220090100050), the National Research Foundation (South Africa) and the Ministerio de Ciencia, Tecnologia e Innovacion Productiva (South Africa-Argentina International Science and Technology agreements). We are grateful to the Secretaria de Desarrollo Sustentable y Ambiente, Direccion General de Recursos Hidricos, Provincia de Tierra del Fuego and the Centro Austral de Investigaciones Cientificas (CADIC)-CONICET for valuable logistical support. The help of Sergio Camargo and Gabriela Gonzalez Garraza during sampling was much appreciated.</t>
  </si>
  <si>
    <t>WILEY</t>
  </si>
  <si>
    <t>HOBOKEN</t>
  </si>
  <si>
    <t>111 RIVER ST, HOBOKEN 07030-5774, NJ USA</t>
  </si>
  <si>
    <t>1758-2229</t>
  </si>
  <si>
    <t>ENV MICROBIOL REP</t>
  </si>
  <si>
    <t>Environ. Microbiol. Rep.</t>
  </si>
  <si>
    <t>JUN</t>
  </si>
  <si>
    <t>10.1111/1758-2229.12287</t>
  </si>
  <si>
    <t>Environmental Sciences; Microbiology</t>
  </si>
  <si>
    <t>Science Citation Index Expanded (SCI-EXPANDED)</t>
  </si>
  <si>
    <t>Environmental Sciences &amp; Ecology; Microbiology</t>
  </si>
  <si>
    <t>CH9RY</t>
  </si>
  <si>
    <t>Green Submitted, Green Published</t>
  </si>
  <si>
    <t>2024-04-21</t>
  </si>
  <si>
    <t>WOS:000354375100020</t>
  </si>
  <si>
    <t>Kalangutkar, NG; Iyer, SD; Mascarenhas-Pereira, MBL; Nath, B</t>
  </si>
  <si>
    <t>Kalangutkar, Niyati G.; Iyer, Sridhar D.; Mascarenhas-Pereira, Maria B. L.; Nath, B. Nagender</t>
  </si>
  <si>
    <t>Hydrothermal signature in ferromanganese oxide coatings on pumice from the Central Indian Ocean Basin</t>
  </si>
  <si>
    <t>GEO-MARINE LETTERS</t>
  </si>
  <si>
    <t>EARTH-ELEMENT GEOCHEMISTRY; MANGANESE NODULES; RARE-EARTH; GROWTH-RATES; VOLCANIC ASH; CRUSTS; SEDIMENTS; MORPHOLOGY; DEPOSITS; RICH</t>
  </si>
  <si>
    <t>Mineralogical and elemental analyses of 20 ferromanganese (FeMn)-coated pumice samples from the Central Indian Ocean Basin (CIOB) indicate that todorokite is the major mineral phase, whereas vernadite occurs only rarely. Based on major, trace and rare earth elements (REEs) as well as Ce anomalies, the sources of the FeMn oxides were identified to be either hydrogenous, hydrothermal-plume fallout, diagenetic or a combination of these. Plots of Fe/Mn vs. Ce or Co reveal a distinct demarcation of the diagenetic, hydrogenous and plume fallout samples. Five samples are interpreted to be of hydrothermal origin because these show negative Ce anomalies and low Co/Zn ratios (0.5 to 1.1), and are masked by diagenesis. The relative contributions of hydrogenous, hydrothermal and diagenetic inputs were assessed in terms of ternary mixing patterns using REE mass balance equations. Furthermore, the hypothetical Ce anomaly (Ce/Ce*) was calculated using ternary mixing calculations for hydrogenous, hydrothermal and diagenetic end-members to ascertain the input to FeMn oxides on the pumice samples. This revealed a distinction between hydrogenous and hydrothermal components but diagenetic and plume fallout components could not be distinguished because this scheme comprises a three end-member calculation. A conservative estimate indicates the hydrothermal component to vary between 24% and 72%. The growth rates of the oxides, as estimated from published empirical methods, range between 3 and 47 mm/10(6) years. Fe/Mn ratios yielded a maximum age of 5-7 Ma and a minimum of 0.04-0.1 Ma. This suggests that the commencement of accretion of the FeMn oxides generally precedes the age of the Krakatau 1883 eruption, which is commonly considered as being the prime source of pumice to the CIOB. This is the first evidence of hydrothermal influence in the formation of FeMn oxides on CIOB pumice.</t>
  </si>
  <si>
    <t>[Kalangutkar, Niyati G.; Iyer, Sridhar D.; Mascarenhas-Pereira, Maria B. L.; Nath, B. Nagender] Natl Inst Oceanog, Council Sci &amp; Ind Res, Panaji 403004, Goa, India</t>
  </si>
  <si>
    <t>Council of Scientific &amp; Industrial Research (CSIR) - India; CSIR - National Institute of Oceanography (NIO)</t>
  </si>
  <si>
    <t>Kalangutkar, NG (corresponding author), Natl Ctr Antarctic &amp; Ocean Res MoES, Vasco Da Gama 403804, Goa, India.</t>
  </si>
  <si>
    <t>niyati.kalangutkar@gmail.com</t>
  </si>
  <si>
    <t>Iyer, Sridhar/0000-0001-7744-3027</t>
  </si>
  <si>
    <t>CSIR (New Delhi)</t>
  </si>
  <si>
    <t>CSIR (New Delhi)(Council of Scientific &amp; Industrial Research (CSIR) - India)</t>
  </si>
  <si>
    <t>We thank the Directors for permission to publish this paper. We acknowledge the help received from V.K. Banakar and G. Parthiban (ICP-OES), V. Khedekar (SEM-EDS), G. Prabhu (XRD), B. Vijay Kumar (access to sample repository), S. Jai Sankar (sample locations), and T.G. Rao and M. Satyanarayanan (ICP-MS; National Geophysical Research Institute, Hyderabad). We are obliged to two anonymous reviewers for thoughtful comments that helped to substantially improve the article, and to the editors for their useful feedback. This work is a part of N.K.'s Ph.D. thesis, with financial assistance via the CSIR (New Delhi) Fellowship scheme. This is NIO's contribution No. 5717.</t>
  </si>
  <si>
    <t>SPRINGER</t>
  </si>
  <si>
    <t>NEW YORK</t>
  </si>
  <si>
    <t>233 SPRING ST, NEW YORK, NY 10013 USA</t>
  </si>
  <si>
    <t>0276-0460</t>
  </si>
  <si>
    <t>1432-1157</t>
  </si>
  <si>
    <t>GEO-MAR LETT</t>
  </si>
  <si>
    <t>Geo-Mar. Lett.</t>
  </si>
  <si>
    <t>10.1007/s00367-015-0402-x</t>
  </si>
  <si>
    <t>Geosciences, Multidisciplinary; Oceanography</t>
  </si>
  <si>
    <t>Geology; Oceanography</t>
  </si>
  <si>
    <t>CH7DB</t>
  </si>
  <si>
    <t>WOS:000354194700005</t>
  </si>
  <si>
    <t>Moreau, S; Mostajir, B; Bélanger, S; Schloss, IR; Vancoppenolle, M; Demers, S; Ferreyra, GA</t>
  </si>
  <si>
    <t>Moreau, Sebastien; Mostajir, Behzad; Belanger, Simon; Schloss, Irene R.; Vancoppenolle, Martin; Demers, Serge; Ferreyra, Gustavo A.</t>
  </si>
  <si>
    <t>Climate change enhances primary production in the western Antarctic Peninsula</t>
  </si>
  <si>
    <t>GLOBAL CHANGE BIOLOGY</t>
  </si>
  <si>
    <t>ozone hole; photoinhibition; primary production; regional warming; sea ice; seawater temperature; ultraviolet radiation</t>
  </si>
  <si>
    <t>ULTRAVIOLET-B RADIATION; ICE ZONE WEST; SEA-ICE; SOUTHERN-OCEAN; MARINE ECOSYSTEM; OZONE DEPLETION; PHYTOPLANKTON PHOTOSYNTHESIS; INTERANNUAL VARIABILITY; BIOOPTICAL PROPERTIES; DNA-DAMAGE</t>
  </si>
  <si>
    <t>Intense regional warming was observed in the western Antarctic Peninsula (WAP) over the last 50years. Here, we investigate the impact of climate change on primary production (PP) in this highly productive region. This study is based on temporal data series of ozone thickness (1972-2010), sea ice concentration (1978-2010), sea-surface temperature (1990-2010), incident irradiance (1988-2010) and satellite-derived chlorophyll a concentration (Chl-a, 1997-2010) for the coastal WAP. In addition, we apply a photosynthesis/photoinhibition spectral model to satellite-derived data (1997-2010) to compute PP and examine the separate impacts of environmental forcings. Since 1978, sea ice retreat has been occurring earlier in the season (in March in 1978 and in late October during the 2000s) while the ozone hole is present in early spring (i.e. August to November) since the early 1990s, increasing the intensity of ultraviolet-B radiation (UVBR, 280-320nm). The WAP waters have also warmed over 1990-2010. The modelled PP rates are in the lower range of previously reported PP rates in the WAP. The annual open water PP in the study area increased from 1997 to 2010 (from 0.73 to 1.03TgCyr(-1)) concomitantly with the increase in the production season length. The coincidence between the earlier sea ice retreat and the presence of the ozone hole increased the exposure to incoming radiation (UVBR, UVAR and PAR) and, thus, increased photoinhibition during austral spring (September to November) in the study area (from 0.014 to 0.025TgCyr(-1)). This increase in photoinhibition was minor compared to the overall increase in PP, however. Climate change hence had an overall positive impact on PP in the WAP waters.</t>
  </si>
  <si>
    <t>[Moreau, Sebastien] Catholic Univ Louvain, Earth &amp; Life Inst, Georges Lemaitre Ctr Earth &amp; Climate Res, Louvain, Belgium; [Moreau, Sebastien; Schloss, Irene R.; Demers, Serge; Ferreyra, Gustavo A.] UQAR, Inst Sci Mer Rimouski ISMER, Rimouski, PQ G5L 3A1, Canada; [Mostajir, Behzad] Univ Montpellier 2, UMR 5119, Lab ECOl SYst Marins Cotiers ECOSYM, F-34095 Montpellier 05, France; [Mostajir, Behzad] Univ Montpellier I, CNRS, IFREMER, IRD, F-34095 Montpellier 05, France; [Belanger, Simon] UQAR, Dept Biol Chim &amp; Geog, Grp BOREAS, Rimouski, PQ G5L 3A1, Canada; [Schloss, Irene R.] Inst Antartico Argentino, Buenos Aires, DF, Argentina; [Schloss, Irene R.] Consejo Nacl Invest Cient &amp; Tecn, RA-1033 Buenos Aires, DF, Argentina; [Vancoppenolle, Martin] Univ Paris 06, CNRS, Sorbonne Univ, LOCEAN,IPSL,IRD,MNHN, Paris, France</t>
  </si>
  <si>
    <t>Universite Catholique Louvain; University of Quebec; Universite du Quebec a Rimouski; Universite de Montpellier; Institut de Recherche pour le Developpement (IRD); Universite de Montpellier; Centre National de la Recherche Scientifique (CNRS); Ifremer; University of Quebec; Universite du Quebec a Rimouski; Instituto Antartico Argentino; Consejo Nacional de Investigaciones Cientificas y Tecnicas (CONICET); Centre National de la Recherche Scientifique (CNRS); Universite Paris Cite; Museum National d'Histoire Naturelle (MNHN); Institut de Recherche pour le Developpement (IRD); Sorbonne Universite</t>
  </si>
  <si>
    <t>Moreau, S (corresponding author), Catholic Univ Louvain, Earth &amp; Life Inst, Georges Lemaitre Ctr Earth &amp; Climate Res, Louvain, Belgium.</t>
  </si>
  <si>
    <t>s.moreau@uclouvain.be</t>
  </si>
  <si>
    <t>Schloss, Irene R./U-5411-2018; Vancoppenolle, Martin/AAA-7711-2022; Bélanger, Simon/ABH-0121-2022; Vancoppenolle, Martin/B-3750-2011</t>
  </si>
  <si>
    <t>Schloss, Irene R./0000-0002-5917-8925; Vancoppenolle, Martin/0000-0002-7573-8582; Bélanger, Simon/0000-0002-9172-8376; Vancoppenolle, Martin/0000-0002-7573-8582; Moreau, Sebastien/0000-0001-9446-812X; Ferreyra, Gustavo Adolfo/0000-0003-1953-5067</t>
  </si>
  <si>
    <t>NSERC Special Research Opportunity Program [334876-2005]; NSERC Discovery grant; Belgian Science Federal Policy Office (BIGSOUTH project); BEPSII (Biogeochemical Exchange Processes at the Sea Ice Interfaces, SCOR Working Group 140); Office of Polar Programs, NSF [OPP-9011927, OPP-9632763, OPP-0217282]</t>
  </si>
  <si>
    <t>NSERC Special Research Opportunity Program(Natural Sciences and Engineering Research Council of Canada (NSERC)); NSERC Discovery grant(Natural Sciences and Engineering Research Council of Canada (NSERC)); Belgian Science Federal Policy Office (BIGSOUTH project); BEPSII (Biogeochemical Exchange Processes at the Sea Ice Interfaces, SCOR Working Group 140); Office of Polar Programs, NSF</t>
  </si>
  <si>
    <t>We want to thank our funding sources and partners: the NSERC Special Research Opportunity Program Grant No. 334876-2005 conceded to S. Demers and a NSERC Discovery grant to G. Ferreyra, the Belgian Science Federal Policy Office (BIGSOUTH project), and BEPSII (Biogeochemical Exchange Processes at the Sea Ice Interfaces, SCOR Working Group 140). UV data from Palmer station were provided by the NSF UV Monitoring Network, operated by Biospherical Instruments Inc. under a contract from the United States National Science Foundation's Office of Polar Programs via Raytheon Polar Services Company. Data from the Palmer LTER data archive were supported by Office of Polar Programs, NSF Grants OPP-9011927, OPP-9632763 and OPP-0217282. The 1978-2007 SMMR-SSM/I sea ice cover data were from the EOS Distributed Active Archive Center (DAAC) at the National Snow and Ice Data Center, University of Colorado in Boulder, Colorado (http://nsidc.org). The 1972-2010 ozone thickness above Faraday/Vernadsky was compiled by J. D. Shanklin, British Antarctic Survey, Madingley Road, Cambridge, England CB3 0ET. Gareth Marshall provided the SAM index data (http://www.nerc-bas.ac.uk/icd/gjma/sam.html). The Nino 3.4 index was provided by the Earth System Research Laboratory (ERSL) from the National Oceanic and Atmospheric Administration (NOAA; http://www.esrl.noaa.gov/psd/data/climateindices/). We thank the NASA for providing SeaWiFS data. We thank E. Aldana-Jague for his help with R and Sally Close for proof reading the article. This work is a contribution to the Institut des sciences de la mer de Rimouski (ISMER) and to the Universite catholique of Louvain. S.M. is postdoctoral researcher with the FRS-FNRS. Finally, we thank Patrick Neale and two anonymous reviewers for their very constructive comments that truly helped improved this study.</t>
  </si>
  <si>
    <t>1354-1013</t>
  </si>
  <si>
    <t>1365-2486</t>
  </si>
  <si>
    <t>GLOBAL CHANGE BIOL</t>
  </si>
  <si>
    <t>Glob. Change Biol.</t>
  </si>
  <si>
    <t>10.1111/gcb.12878</t>
  </si>
  <si>
    <t>Biodiversity Conservation; Ecology; Environmental Sciences</t>
  </si>
  <si>
    <t>Biodiversity &amp; Conservation; Environmental Sciences &amp; Ecology</t>
  </si>
  <si>
    <t>CH4BZ</t>
  </si>
  <si>
    <t>Bronze</t>
  </si>
  <si>
    <t>WOS:000353977500008</t>
  </si>
  <si>
    <t>Bramley-Alves, J; Wanek, W; French, K; Robinson, SA</t>
  </si>
  <si>
    <t>Bramley-Alves, Jessica; Wanek, Wolfgang; French, Kristine; Robinson, Sharon A.</t>
  </si>
  <si>
    <t>Moss δ13C: an accurate proxy for past water environments in polar regions</t>
  </si>
  <si>
    <t>Antarctica; bioavailable water; cell wall thickness; cellulose; climate change; proxies; C-13</t>
  </si>
  <si>
    <t>CARBON-ISOTOPE DISCRIMINATION; STABLE CARBON; RADIOCARBON CALIBRATION; LEAF MORPHOLOGY; USE EFFICIENCY; CLIMATE-CHANGE; PLANTS; PHOTOSYNTHESIS; CELLULOSE; TRENDS</t>
  </si>
  <si>
    <t>Increased aridity is of global concern. Polar regions provide an opportunity to monitor changes in bioavailable water free of local anthropogenic influences. However, sophisticated proxy measures are needed. We explored the possibility of using stable carbon isotopes in segments of moss as a fine-scale proxy for past bioavailable water. Variation in C-13 with water availability was measured in three species across three peninsulas in the Windmill Islands, East Antarctica and verified using controlled chamber experiments. The C-13 from Antarctic mosses accurately recorded long-term variations in water availability in the field, regardless of location, but significant disparities in C-13 between species indicated some make more sensitive proxies. C-13(SUGAR) derived from living tissues can change significantly within the span of an Antarctic season (5weeks) in chambers, but under field conditions, slow growth means that this technique likely represents multiple seasons. C-13(CELLULOSE) provides a precise and direct proxy for bioavailable water, allowing reconstructions for coastal Antarctica and potentially other cold regions over past centuries.</t>
  </si>
  <si>
    <t>[Bramley-Alves, Jessica; French, Kristine; Robinson, Sharon A.] Univ Wollongong, Sch Biol Sci, Inst Conservat Biol, Wollongong, NSW 2522, Australia; [Wanek, Wolfgang] Univ Vienna, Fac Life Sci, Dept Microbiol &amp; Ecosyst Sci, Vienna, Austria</t>
  </si>
  <si>
    <t>University of Wollongong; University of Vienna</t>
  </si>
  <si>
    <t>Bramley-Alves, J (corresponding author), Univ Wollongong, Sch Biol Sci, Inst Conservat Biol, Wollongong, NSW 2522, Australia.</t>
  </si>
  <si>
    <t>jba605@gmail.com</t>
  </si>
  <si>
    <t>French, Kris/I-8202-2012; Robinson, Sharon/B-2683-2008; Wanek, Wolfgang/E-7001-2012</t>
  </si>
  <si>
    <t>French, Kris/0000-0001-6938-2017; Robinson, Sharon/0000-0002-7130-9617; Wanek, Wolfgang/0000-0003-2178-8258</t>
  </si>
  <si>
    <t>Australia Postgraduate Award; [AINSE05142P/06155]; [ARC DP110101714]; [AAS 3129/4046]</t>
  </si>
  <si>
    <t>Australia Postgraduate Award; ; ;</t>
  </si>
  <si>
    <t>This research was funded through AINSE05142P/06155, ARC DP110101714 and AAS 3129/4046 grants. JBA held an Australia Postgraduate Award during the time of the study. We thank Melinda Waterman for remodeling 14C ages, Margarete Watzka for assistance with isotope analysis, the Robinson Research Group, Guy Norton and anonymous reviewers for improving the manuscript and Andrew Netherwood for preparing Figs 1 and 7.</t>
  </si>
  <si>
    <t>10.1111/gcb.12848</t>
  </si>
  <si>
    <t>WOS:000353977500029</t>
  </si>
  <si>
    <t>Agostini, C; Patarnello, T; Ashford, JR; Torres, JJ; Zane, L; Papetti, C</t>
  </si>
  <si>
    <t>Agostini, Cecilia; Patarnello, Tomaso; Ashford, Julian R.; Torres, Joseph J.; Zane, Lorenzo; Papetti, Chiara</t>
  </si>
  <si>
    <t>Genetic differentiation in the ice-dependent fish Pleuragramma antarctica along the Antarctic Peninsula</t>
  </si>
  <si>
    <t>JOURNAL OF BIOGEOGRAPHY</t>
  </si>
  <si>
    <t>Antarctic Peninsula; Antarctic silverfish; EST-linked microsatellites; genetic drift; genetic patchiness; Notothenioidei; population genetic structure; Weddell Sea</t>
  </si>
  <si>
    <t>KRILL EUPHAUSIA-SUPERBA; TERRA-NOVA BAY; MOLECULAR ECOLOGY; WEDDELL SEA; POPULATION-STRUCTURE; OTOLITH CHEMISTRY; CLIMATE-CHANGE; SILVERFISH; LARVAL; FLOW</t>
  </si>
  <si>
    <t>AimPleuragramma antarctica is an Antarctic notothenioid fish with a pelagic life-cycle. It plays a major trophic role in coastal Antarctic waters as a predator of krill and as prey for penguins and seals. A previous study, using mtDNA to investigate Pleuragramma population structure at multiple Antarctic sites was unable to discriminate between hypotheses of panmixia, with occasional fluctuations of allelic frequencies, and population structure. The aim of the present study was to investigate the population structure of P.antarctica along the Antarctic Peninsula (AP) shelf by microsatellite genotyping. LocationFour areas along the AP shelf: Charcot Island, Marguerite Bay, Joinville Island and the Larsen Ice Shelf. MethodsA total of 562 individuals from nine population samples were genotyped at 16 expressed sequence tag (EST)-linked microsatellites. Genetic variability, Hardy-Weinberg probabilities and F-statistics were calculated, and a hierarchical analysis of molecular variance was carried out. A Bayesian method was applied to estimate the migration rates between geographical localities. ResultsWe found one genetically homogeneous population with no interannual variability in the south-western AP and one off the northern tip of the AP. Significant differences were recorded between the two geographical regions, which also differed from the eastern AP. The extent of differentiation changed between years and significant genetic differentiation was found between clusters of individuals of different length modes collected at Joinville Island in 2010. Bayesian analysis suggested weak gene flow along the western AP, with a prevailing direction from north to south, following the anticlockwise-flowing Coastal Current. Main conclusionsPopulation genetic structure can be detected in AP shelf samples of P.antarctica. Thus, even in this area characterized by strong oceanographic currents, genetic mixing is not complete. Temporal fluctuations of allelic frequencies and genetic differentiation between individuals of different length collected at the same location suggest the importance of genetic drift in this highly abundant species.</t>
  </si>
  <si>
    <t>[Agostini, Cecilia; Zane, Lorenzo; Papetti, Chiara] Univ Padua, Dept Biol, Via G Colombo 3, I-35121 Padua, Italy; [Patarnello, Tomaso] Univ Padua, Dept Comparat Biomed &amp; Food Sci, I-35121 Padua, Italy; [Ashford, Julian R.] Old Dominion Univ, Ctr Quantitat Fisheries Ecol, Norfolk, VA USA; [Torres, Joseph J.] Univ S Florida, Coll Marine Sci, St Petersburg, FL 33701 USA; [Papetti, Chiara] Helmholtz Ctr Polar &amp; Marine Res, Alfred Wegener Inst, Bremerhaven, Germany</t>
  </si>
  <si>
    <t>University of Padua; University of Padua; Old Dominion University; State University System of Florida; University of South Florida; Helmholtz Association; Alfred Wegener Institute, Helmholtz Centre for Polar &amp; Marine Research</t>
  </si>
  <si>
    <t>Zane, L (corresponding author), Univ Padua, Dept Biol, Via G Colombo 3, I-35121 Padua, Italy.</t>
  </si>
  <si>
    <t>lorenzo.zane@gmail.com</t>
  </si>
  <si>
    <t>Zane, Lorenzo/G-6249-2010</t>
  </si>
  <si>
    <t>Zane, Lorenzo/0000-0002-6963-2132; Papetti, Chiara/0000-0002-4567-459X; PATARNELLO, Tomaso/0000-0003-1794-5791</t>
  </si>
  <si>
    <t>National Program for Antarctic Research (PNRA); National Science Foundation (NSF) [0741348]; University of Padova [GRIC110B82]; Hanse-Wissenschaftskolleg, Institute for Advanced Study in Delmenhorst, Germany</t>
  </si>
  <si>
    <t>National Program for Antarctic Research (PNRA); National Science Foundation (NSF)(National Science Foundation (NSF)); University of Padova; Hanse-Wissenschaftskolleg, Institute for Advanced Study in Delmenhorst, Germany</t>
  </si>
  <si>
    <t>This work was supported by the National Program for Antarctic Research (PNRA) to T.P. and L.Z.; C.A. is a PhD student in evolutionary biology at the University of Padova, with a program partly supported under National Science Foundation (NSF) grant 0741348 to J.J. Torres. C.P. acknowledges financial support of University of Padova (salary grant no. GRIC110B82) and of the Hanse-Wissenschaftskolleg, Institute for Advanced Study in Delmenhorst, Germany. Funding for J.J.T. and J.R.A. was provided by the NSF (grant no. 0741348).</t>
  </si>
  <si>
    <t>0305-0270</t>
  </si>
  <si>
    <t>1365-2699</t>
  </si>
  <si>
    <t>J BIOGEOGR</t>
  </si>
  <si>
    <t>J. Biogeogr.</t>
  </si>
  <si>
    <t>10.1111/jbi.12497</t>
  </si>
  <si>
    <t>Ecology; Geography, Physical</t>
  </si>
  <si>
    <t>Environmental Sciences &amp; Ecology; Physical Geography</t>
  </si>
  <si>
    <t>CH8LY</t>
  </si>
  <si>
    <t>WOS:000354289100010</t>
  </si>
  <si>
    <t>Olivetti, V; Balestrieri, ML; Rossetti, F; Thomson, SN; Talarico, FM; Zattin, M</t>
  </si>
  <si>
    <t>Olivetti, Valerio; Balestrieri, Maria Laura; Rossetti, Federico; Thomson, Stuart N.; Talarico, Franco M.; Zattin, Massimiliano</t>
  </si>
  <si>
    <t>Evidence of a full West Antarctic Ice Sheet back to the early Oligocene: insight from double dating of detrital apatites in Ross Sea sediments.</t>
  </si>
  <si>
    <t>TERRA NOVA</t>
  </si>
  <si>
    <t>CENTRAL TRANSANTARCTIC MOUNTAINS; ORBITALLY-INDUCED OSCILLATIONS; SOUTHERN VICTORIA LAND; FISSION-TRACK ANALYSIS; CAPE ROBERTS PROJECT; AND-2A DRILL CORE; LEVEL RISE; PROVENANCE; RECORD; COLLAPSE</t>
  </si>
  <si>
    <t>The West Antarctic Ice Sheet is the most unstable component of the Antarctic cryosphere. Its fluctuations are well documented since the Pliocene, but its behaviour over the last 35Ma is more controversial, particularly during periods of past high global pCO(2) values similar to those predicted in future global climate scenarios. Here, we present new U-Pb dating of detrital apatite grains (previously dated by the fission-track method) from Cape Roberts Project Oligocene to Pliocene marine sediments in the Ross Sea. Two past ice-flow patterns were identified: one formed by outlet glaciers sourcing short-travelled apatites and one, northerly directed, bringing far-travelled apatite grains. The latter provides the first robust physical evidence for the presence and repeated expansion of an Oligocene West Antarctic Ice Sheet.</t>
  </si>
  <si>
    <t>[Olivetti, Valerio] Aix Marseille Univ, CNRS, IRD, CEREGE UM34, F-13545 Aix En Provence, France; [Balestrieri, Maria Laura] CNR, Ist Geosci &amp; Georisorse, UOS Firenze, I-50121 Florence, Italy; [Rossetti, Federico] Univ Rome Tre, Dept Sci, Geol Sci, I-00176 Rome, Italy; [Thomson, Stuart N.] Univ Arizona, Dept Geosci, Tucson, AZ 85721 USA; [Talarico, Franco M.] Univ Siena, Dept Phys Earth &amp; Environm Sci, I-53100 Siena, Italy; [Zattin, Massimiliano] Univ Padua, Dept Geosci, I-35131 Padua, Italy</t>
  </si>
  <si>
    <t>Universite PSL; College de France; Aix-Marseille Universite; Centre National de la Recherche Scientifique (CNRS); Institut de Recherche pour le Developpement (IRD); Consiglio Nazionale delle Ricerche (CNR); Istituto di Geoscienze e Georisorse (IGG-CNR); Italfarmaco; Roma Tre University; University of Arizona; University of Siena; University of Padua</t>
  </si>
  <si>
    <t>Olivetti, V (corresponding author), Univ Rome Tre, Dept Sci, Lgo S Leonardo Murialdo 1, I-00146 Rome, Italy.</t>
  </si>
  <si>
    <t>valerio.olivetti@uniroma3.it</t>
  </si>
  <si>
    <t>Thomson, Stuart N/A-1222-2009; Balestrieri, Maria Laura/AAX-3560-2020; olivetti, valerio/IAQ-1471-2023; Thomson, Stuart N/IZE-4354-2023; Zattin, Massimiliano/A-8943-2012; talarico, franco/G-9472-2012</t>
  </si>
  <si>
    <t>Thomson, Stuart N/0000-0003-4331-5654; talarico, franco/0000-0002-7254-4301; olivetti, valerio/0000-0001-8173-3860; Zattin, Massimiliano/0000-0002-2265-3921; ROSSETTI, Federico/0000-0001-8071-7252</t>
  </si>
  <si>
    <t>PNRA (Italian Research Program in Antarctica) [PDR2013/AZ2.07, PDR2009/A2.19]</t>
  </si>
  <si>
    <t>PNRA (Italian Research Program in Antarctica)</t>
  </si>
  <si>
    <t>We thank the Alfred Wegener Institute for Polar and Marine Research (Bremer-haven, Germany) for access to the CRP core repository and operational support. The research was carried in the framework of the research projects PDR2013/AZ2.07 and PDR2009/A2.19 founded by PNRA (Italian Research Program in Antarctica). The manuscript benefitted from constructive reviews provided by David Chew and two anonymous reviewers.</t>
  </si>
  <si>
    <t>0954-4879</t>
  </si>
  <si>
    <t>1365-3121</t>
  </si>
  <si>
    <t>Terr. Nova</t>
  </si>
  <si>
    <t>10.1111/ter.12153</t>
  </si>
  <si>
    <t>Geosciences, Multidisciplinary</t>
  </si>
  <si>
    <t>Geology</t>
  </si>
  <si>
    <t>CH7FP</t>
  </si>
  <si>
    <t>WOS:000354201400010</t>
  </si>
  <si>
    <t>Dohm, JM; Hare, TM; Robbins, SJ; Williams, JP; Soare, RJ; El-Maarry, MR; Conway, SJ; Buczkowski, DL; Kargel, JS; Banks, ME; Fairén, AG; Schulze-Makuch, D; Komatsu, G; Miyamoto, H; Anderson, RC; Davila, AF; Mahaney, WC; Fink, W; Cleaves, KJ; Yan, J; Hynek, B; Maruyama, S</t>
  </si>
  <si>
    <t>Dohm, J. M.; Hare, T. M.; Robbins, S. J.; Williams, J. -P.; Soare, R. J.; El-Maarry, M. R.; Conway, S. J.; Buczkowski, D. L.; Kargel, J. S.; Banks, M. E.; Fairen, A. G.; Schulze-Makuch, D.; Komatsu, G.; Miyamoto, H.; Anderson, R. C.; Davila, A. F.; Mahaney, W. C.; Fink, W.; Cleaves, K. J.; Yan, J.; Hynek, B.; Maruyama, S.</t>
  </si>
  <si>
    <t>Geological and hydrological histories of the Argyre province, Mars</t>
  </si>
  <si>
    <t>ICARUS</t>
  </si>
  <si>
    <t>Mars; Geological processes; Astrobiology; Tectonics</t>
  </si>
  <si>
    <t>MAGNETIC-FIELD; ANTARCTIC PALEOSOLS; VALLES MARINERIS; SLOPE STREAKS; IMPACT BASIN; EVOLUTION; SURFACE; SYSTEM; REGION; CRATER</t>
  </si>
  <si>
    <t>The geologic history of the multi-ringed Argyre impact basin and surroundings has been reconstructed on the basis of geologic mapping and relative-age dating of rock materials and structures. The impact formed a primary basin, rim materials, and a complex basement structural fabric including faults and valleys that are radial and concentric about the primary basin, as well as structurally-controlled local basins. Since its formation, the basin has been a regional catchment for volatiles and sedimentary materials as well as a dominant influence on the flow of surface ice, debris flows, and groundwater through and over its basement structures. The basin is interpreted to have been occupied by lakes, including a possible Mediterranean-sized sea that formed in the aftermath of the Argyre impact event The hypothesized lakes froze and diminished through time, though liquid water may have remained beneath the ice cover and sedimentation may have continued for some time. At its deepest, the main Argyre lake may have taken more than a hundred thousand years to freeze to the bottom even absent any heat source besides the Sun, but with impact-induced hydrothermal heat, geothermal heat flow due to long-lived radioactivities in early martian history, and concentration of solutes in sub-ice brine, liquid water may have persisted beneath thick ice for many millions of years. Existence of an ice-covered sea perhaps was long enough for life to originate and evolve with gradually colder and more hypersaline conditions. The Argyre rock materials, diverse in origin and emplacement mechanisms, have been modified by impact, magmatic, eolian, fluvial, lacustrine, glacial, periglacial, alluvial, colluvial, and tectonic processes. Post-impact adjustment of part of the impact-generated basement structural fabric such as concentric faults is apparent. Distinct basin-stratigraphic units are interpreted to be linked to large-scale geologic activity far from the basin, including growth of the Tharsis magmatic-tectonic complex and the growth into southern middle latitudes of south polar ice sheets. Along with the migration of surface and sub-surface volatiles towards the central part of the primaiy basin, the substantial difference in elevation with respect to the surrounding highlands and Tharsis and the Thaumasia highlands result in the trapping of atmospheric volatiles within the basin in the form of fog and regional or local precipitation, even today. In addition, the impact event caused long-term (millions of years) hydrothermal activity, as well as deep-seated basement structures that have tapped the internal heat of Mars, as conduits, for far greater time, possibly even today. This possibility is raised by the observation of putative open-system pingos and nearby gullies that occur in linear depressions with accompanying systems of faults and fractures. Long-term water and heat energy enrichment, complemented by the interaction of the nutrient-enriched primordial crustal and mantle materials favorable to life excavated to the surface and near-surface environs through the Argyre impact event, has not only resulted in distinct geomorphology, but also makes the Argyre basin a potential site of exceptional astrobiological significance. (C) 2015 Elsevier Inc. All rights reserved.</t>
  </si>
  <si>
    <t>[Dohm, J. M.; Miyamoto, H.] Univ Tokyo, Univ Museum, Bunkyo Ku, Tokyo 1130033, Japan; [Hare, T. M.] US Geol Survey, Flagstaff, AZ 86001 USA; [Robbins, S. J.] SW Res Inst, Boulder, CO 80302 USA; [Williams, J. -P.] Univ Calif Los Angeles, Dept Earth Planetary &amp; Space Sci, Los Angeles, CA 90095 USA; [Soare, R. J.] Dawson Coll, Dept Geog, Montreal, PQ H3Z 1A4, Canada; [El-Maarry, M. R.] Univ Bern, Inst Phys, CH-3012 Bern, Switzerland; [Conway, S. J.] Open Univ, Dept Phys Sci, Milton Keynes MK7 6AA, Bucks, England; [Buczkowski, D. L.] Johns Hopkins Univ, Appl Phys Lab, Laurel, MD 20723 USA; [Kargel, J. S.] Univ Arizona, Dept Hydrol &amp; Water Resources, Tucson, AZ 85721 USA; [Banks, M. E.] Smithsonian Inst, Natl Air &amp; Space Museum, Ctr Earth &amp; Planetary Studies, Washington, DC 20013 USA; [Banks, M. E.] Planetary Sci Inst, Tucson, AZ 85719 USA; [Fairen, A. G.] Ctr Astrobiol, Dept Planetol &amp; Habitabil, Madrid 28850, Spain; [Fairen, A. G.] Cornell Univ, Dept Astron, Ithaca, NY 14853 USA; [Schulze-Makuch, D.] Tech Univ Berlin, Ctr Astron &amp; Astrophys, D-10623 Berlin, Germany; [Komatsu, G.] Univ Annunzio, Int Res Sch Planetary Sci, I-65421 Pescara, Italy; [Anderson, R. C.] CALTECH, Jet Prop Lab, Pasadena, CA 91109 USA; [Davila, A. F.] SETI Inst, Mountain View, CA 94043 USA; [Mahaney, W. C.] Quaternary Surveys, Thornhill, ON L4J 1J4, Canada; [Fink, W.] Univ Arizona, Dept Elect &amp; Comp Engn, Coll Engn, Tucson, AZ 85721 USA; [Cleaves, K. J.; Maruyama, S.] Tokyo Inst Technol, Earth Life Sci Inst, Tokyo 1528551, Japan; [Cleaves, K. J.] Inst Adv Study, Princeton, NJ 08540 USA; [Yan, J.] Natl Astron Observ Japan, RISE Project Off, Oshu 0230861, Japan; [Hynek, B.] Univ Colorado, Lab Atmospher &amp; Space Phys &amp; Geol Sci, Boulder, CO 80309 USA</t>
  </si>
  <si>
    <t>University of Tokyo; United States Department of the Interior; United States Geological Survey; University of California System; University of California Los Angeles; University of Bern; Open University - UK; Johns Hopkins University; Johns Hopkins University Applied Physics Laboratory; University of Arizona; Smithsonian Institution; Consejo Superior de Investigaciones Cientificas (CSIC); CSIC - Centro de Astrobiologia (INTA); Cornell University; Technical University of Berlin; G d'Annunzio University of Chieti-Pescara; National Aeronautics &amp; Space Administration (NASA); NASA Jet Propulsion Laboratory (JPL); California Institute of Technology; University of Arizona; Tokyo Institute of Technology; Institute for Advanced Study - USA; National Institutes of Natural Sciences (NINS) - Japan; National Astronomical Observatory of Japan (NAOJ); University of Colorado System; University of Colorado Boulder</t>
  </si>
  <si>
    <t>Dohm, JM (corresponding author), Univ Tokyo, Univ Museum, Bunkyo Ku, Hongo 7-3-1, Tokyo 1130033, Japan.</t>
  </si>
  <si>
    <t>jmd@um.u-tokyo.ac.jp</t>
  </si>
  <si>
    <t>Williams, Jean-Pierre/C-3531-2009; Buczkowski, Debra L/I-7842-2015; Dohm, James M/A-3831-2014; Komatsu, Goro/I-7822-2012; Miyamoto, Hideaki/B-9666-2008; El-Maarry, M. Ramy/K-1360-2018; Davila, Alfonso F/A-2198-2013; Maruyama, Shigenori/C-8288-2009; Conway, Susan/C-4354-2018; Fairen, Alberto/T-9374-2017</t>
  </si>
  <si>
    <t>Williams, Jean-Pierre/0000-0003-4163-2760; Komatsu, Goro/0000-0003-4155-108X; Miyamoto, Hideaki/0000-0001-8013-6124; El-Maarry, M. Ramy/0000-0002-8262-0320; Schulze-Makuch, Dirk/0000-0002-1923-9746; Cleaves, Henderson/0000-0003-4101-0654; Soare, Richard/0000-0002-5148-0038; Hare, Trent/0000-0001-8842-389X; Conway, Susan/0000-0002-0577-2312; Fairen, Alberto/0000-0002-2938-6010</t>
  </si>
  <si>
    <t>National Aeronautics and Space Administration (NASA) Planetary Geology &amp; Geophysics Program; Tokyo Dome Corporation; European Research Council under the European Union's Seventh Framework Programme (FP7), ERC [307496]; Grants-in-Aid for Scientific Research [26106002, 26106003, 23340126] Funding Source: KAKEN</t>
  </si>
  <si>
    <t>National Aeronautics and Space Administration (NASA) Planetary Geology &amp; Geophysics Program; Tokyo Dome Corporation; European Research Council under the European Union's Seventh Framework Programme (FP7), ERC(European Research Council (ERC)); Grants-in-Aid for Scientific Research(Ministry of Education, Culture, Sports, Science and Technology, Japan (MEXT)Japan Society for the Promotion of ScienceGrants-in-Aid for Scientific Research (KAKENHI))</t>
  </si>
  <si>
    <t>J.M. Dohm was supported by the National Aeronautics and Space Administration (NASA) Planetary Geology &amp; Geophysics Program. Professors Dohm and Miyamoto express their gratitude to the Tokyo Dome Corporation for their support of the TeNQ exhibit and the branch of Space Exploration Education &amp; Discovery, the University Museum, the University of Tokyo. Work by A.G. Fairen was supported by the European Research Council under the European Union's Seventh Framework Programme (FP7/2007-2013), ERC Grant agreement No. 307496. We are grateful for the thoughtful reviews by T. Ohman and an anonymous reviewer which ultimately resulted in an improved manuscript.</t>
  </si>
  <si>
    <t>ACADEMIC PRESS INC ELSEVIER SCIENCE</t>
  </si>
  <si>
    <t>SAN DIEGO</t>
  </si>
  <si>
    <t>525 B ST, STE 1900, SAN DIEGO, CA 92101-4495 USA</t>
  </si>
  <si>
    <t>0019-1035</t>
  </si>
  <si>
    <t>1090-2643</t>
  </si>
  <si>
    <t>Icarus</t>
  </si>
  <si>
    <t>10.1016/j.icarus.2015.02.017</t>
  </si>
  <si>
    <t>Astronomy &amp; Astrophysics</t>
  </si>
  <si>
    <t>CH1BD</t>
  </si>
  <si>
    <t>Green Submitted</t>
  </si>
  <si>
    <t>WOS:000353755200007</t>
  </si>
  <si>
    <t>Tsuda, TT; Chu, X; Nakamura, T; Ejiri, MK; Kawahara, TD; Yukimatu, AS; Hosokawa, K</t>
  </si>
  <si>
    <t>Tsuda, T. T.; Chu, X.; Nakamura, T.; Ejiri, M. K.; Kawahara, T. D.; Yukimatu, A. S.; Hosokawa, K.</t>
  </si>
  <si>
    <t>A thermospheric Na layer event observed up to 140km over Syowa Station (69.0°S, 39.6°E) in Antarctica</t>
  </si>
  <si>
    <t>GEOPHYSICAL RESEARCH LETTERS</t>
  </si>
  <si>
    <t>lidar; Na layer; thermosphere; high latitude; Syowa</t>
  </si>
  <si>
    <t>HIGH-LATITUDE CONVECTION; SODIUM LAYERS; LIDAR; IONOSPHERE; SUPERDARN; TOPSIDE; CHINA; MODEL</t>
  </si>
  <si>
    <t>We report a thermospheric Na layer event (up to 140km) observed by lidar in the night of 23-24 September 2000 at Syowa (69.0 degrees S, 39.6 degrees E), Antarctica. The thermospheric Na number densities were 2-9cm(-3) at 110-140km, 3 orders of magnitude smaller than the peak density of the normal layer at 80-110km. The thermospheric Na layers exhibited a wave-like structure with a period of 1-2h. The colocated ionospheric/auroral observations showed sporadic E layers over Syowa through the night and an enhancement of the ionospheric/auroral activity around south side of Syowa at the event beginning. Adopting the theory by Chu et al. (2011), we hypothesize that the thermospheric Na layers are neutralized from converged Na+ layers. An envelope calculation shows good consistency with the observations.</t>
  </si>
  <si>
    <t>[Tsuda, T. T.; Nakamura, T.; Ejiri, M. K.; Yukimatu, A. S.] Natl Inst Polar Res, Tachikawa, Tokyo, Japan; [Tsuda, T. T.] Japan Soc Promot Sci, Tokyo, Japan; [Tsuda, T. T.; Hosokawa, K.] Univ Electrocommun, Dept Commun Engn &amp; Informat, Chofu, Tokyo 182, Japan; [Chu, X.] Univ Colorado, Cooperat Inst Res Environm Sci, Boulder, CO 80309 USA; [Chu, X.] Univ Colorado, Dept Aerosp Engn Sci, Boulder, CO 80309 USA; [Nakamura, T.; Ejiri, M. K.; Yukimatu, A. S.] Grad Univ Adv Studies SOKENDAI, Dept Polar Sci, Tachikawa, Tokyo, Japan; [Kawahara, T. D.] Shinshu Univ, Fac Engn, Nagano 380, Japan</t>
  </si>
  <si>
    <t>Research Organization of Information &amp; Systems (ROIS); National Institute of Polar Research (NIPR) - Japan; Japan Society for the Promotion of Science; University of Electro-Communications - Japan; University of Colorado System; University of Colorado Boulder; University of Colorado System; University of Colorado Boulder; Graduate University for Advanced Studies - Japan; Shinshu University</t>
  </si>
  <si>
    <t>Tsuda, TT (corresponding author), Natl Inst Polar Res, Tachikawa, Tokyo, Japan.</t>
  </si>
  <si>
    <t>takuo.tsuda@uec.ac.jp</t>
  </si>
  <si>
    <t>CHU, XINZHAO/I-5670-2015</t>
  </si>
  <si>
    <t>CHU, XINZHAO/0000-0001-6147-1963; Nakamura, Takuji/0000-0002-3876-2946</t>
  </si>
  <si>
    <t>national scientific funding agency of Australia; national scientific funding agency of Canada; national scientific funding agency of China; national scientific funding agency of France; national scientific funding agency of Japan; national scientific funding agency of South Africa; national scientific funding agency of United Kingdom; national scientific funding agency of United States of America; Japan Society for the Promotion of Science (JSPS) KAKENHI [25.526, 24340121, 26610157]; Solar-Terrestrial Environment Laboratory (STEL), Nagoya University; USA National Science Foundation [ANT-0839091, PLR-1246405, AGS-1136272]; Grants-in-Aid for Scientific Research [26610157, 25287129] Funding Source: KAKEN; Directorate For Geosciences; Div Atmospheric &amp; Geospace Sciences [1136272] Funding Source: National Science Foundation; Office of Polar Programs (OPP); Directorate For Geosciences [1246405] Funding Source: National Science Foundation</t>
  </si>
  <si>
    <t>national scientific funding agency of Australia; national scientific funding agency of Canada; national scientific funding agency of China; national scientific funding agency of France; national scientific funding agency of Japan; national scientific funding agency of South Africa; national scientific funding agency of United Kingdom; national scientific funding agency of United States of America; Japan Society for the Promotion of Science (JSPS) KAKENHI(Ministry of Education, Culture, Sports, Science and Technology, Japan (MEXT)Japan Society for the Promotion of ScienceGrants-in-Aid for Scientific Research (KAKENHI)); Solar-Terrestrial Environment Laboratory (STEL), Nagoya University; USA National Science Foundation(National Science Foundation (NSF)); Grants-in-Aid for Scientific Research(Ministry of Education, Culture, Sports, Science and Technology, Japan (MEXT)Japan Society for the Promotion of ScienceGrants-in-Aid for Scientific Research (KAKENHI)); Directorate For Geosciences; Div Atmospheric &amp; Geospace Sciences(National Science Foundation (NSF)NSF - Directorate for Geosciences (GEO)); Office of Polar Programs (OPP); Directorate For Geosciences(National Science Foundation (NSF)NSF - Directorate for Geosciences (GEO))</t>
  </si>
  <si>
    <t>The Na lidar observations from 2000 to 2002 were carried out as part of the Japanese Antarctic Research Expedition (JARE) observations. The auroral image data and the magnetometer data at Syowa Station were provided by the World Data Center (WDC) for Aurora in National Institute of Polar Research (NIPR). The ionosonde data were provided by WDC for Ionosphere, National Institute of Information and Communications Technology (NICT). The authors acknowledge the use of Super Dual Auroral Radar Network (SuperDARN) data. SuperDARN is a collection of radars funded by national scientific funding agencies of Australia, Canada, China, France, Japan, South Africa, United Kingdom, and United States of America. We thank A. Kadokura, NIPR, for supporting in the aurora image data and the magnetometer data and also thank T. Tsugawa, NICT, for supporting in the ionosonde data at Syowa Station. This research was supported by Japan Society for the Promotion of Science (JSPS) KAKENHI grants 25.526, 24340121, and 26610157, and partly supported by the joint research program of Solar-Terrestrial Environment Laboratory (STEL), Nagoya University. X. Chu was supported in part by the USA National Science Foundation grants ANT-0839091, PLR-1246405, and AGS-1136272.</t>
  </si>
  <si>
    <t>AMER GEOPHYSICAL UNION</t>
  </si>
  <si>
    <t>WASHINGTON</t>
  </si>
  <si>
    <t>2000 FLORIDA AVE NW, WASHINGTON, DC 20009 USA</t>
  </si>
  <si>
    <t>0094-8276</t>
  </si>
  <si>
    <t>1944-8007</t>
  </si>
  <si>
    <t>GEOPHYS RES LETT</t>
  </si>
  <si>
    <t>Geophys. Res. Lett.</t>
  </si>
  <si>
    <t>MAY 28</t>
  </si>
  <si>
    <t>10.1002/2015GL064101</t>
  </si>
  <si>
    <t>CL0KJ</t>
  </si>
  <si>
    <t>WOS:000356631300003</t>
  </si>
  <si>
    <t>Hammer, C; Ohrnberger, M; Schlindwein, V</t>
  </si>
  <si>
    <t>Hammer, Conny; Ohrnberger, Matthias; Schlindwein, Vera</t>
  </si>
  <si>
    <t>Pattern of cryospheric seismic events observed at Ekstrom Ice Shelf, Antarctica</t>
  </si>
  <si>
    <t>icequakes; detection</t>
  </si>
  <si>
    <t>GLACIER; ICEQUAKES; MODEL; CLASSIFICATION; ICEBERGS; MOTION; AREA</t>
  </si>
  <si>
    <t>Mobility of glaciers such as rapid retreat or disintegration of large ice volumes produces a large variety of different seismic signals. Thus, evaluating cryospheric seismic events (e.g., changes of their occurrence in space and time) allows to monitor glacier dynamics. We analyze a 1year data span recorded at the Neumayer seismic network in Antarctica. Events are automatically recognized using hidden Markov models. In this study we focused on a specific event type occurring close to the grounding line of the Ekstrom ice shelf. Observed waveform characteristics are consistent with an initial fracturing followed by the resonance of a water-filled cavity resulting in a so-called hybrid event. The number of events detected strongly correlates with dominant tide periods. We assume the cracking to be driven by existing glacier stresses trough bending. Voids are then filled by seawater, exciting the observed resonance. In agreement with this model, events occur almost exclusively during rising tides where cavities are opened at the bottom of the glacier, i.e., at the sea/ice interface.</t>
  </si>
  <si>
    <t>[Hammer, Conny; Ohrnberger, Matthias] Swiss Fed Inst Technol, Swiss Seismol Serv SED, Zurich, Switzerland; [Schlindwein, Vera] Alfred Wegener Inst Polar &amp; Marine Res, Bremerhaven, Germany</t>
  </si>
  <si>
    <t>Swiss Federal Institutes of Technology Domain; ETH Zurich; Helmholtz Association; Alfred Wegener Institute, Helmholtz Centre for Polar &amp; Marine Research</t>
  </si>
  <si>
    <t>Hammer, C (corresponding author), Swiss Fed Inst Technol, Swiss Seismol Serv SED, Zurich, Switzerland.</t>
  </si>
  <si>
    <t>conny.hammer@sed.ethz.ch</t>
  </si>
  <si>
    <t>Hammer, Conny/JJG-2216-2023</t>
  </si>
  <si>
    <t>Hammer, Conny/0000-0002-7761-5535; Ohrnberger, Matthias/0000-0003-1068-0401; Schlindwein, Vera/0000-0001-5570-2753</t>
  </si>
  <si>
    <t>Deutsche Forschungsgemeinschaft (DFG) [OH 90/2-1, SCHL 853/2-1]</t>
  </si>
  <si>
    <t>Deutsche Forschungsgemeinschaft (DFG)(German Research Foundation (DFG))</t>
  </si>
  <si>
    <t>This work was supported by the Deutsche Forschungsgemeinschaft (DFG) in the framework of the priority programme Antarctic Research with comparative investigations in Arctic ice areas by a grant (project ICE-quakes, contracts OH 90/2-1 and SCHL 853/2-1). Constructive reviews by two anonymous reviewers greatly improved this manuscript. Data are freely available and can be obtained via GFZ Potsdam (www.geofon.gfz-potsdam.de).</t>
  </si>
  <si>
    <t>10.1002/2015GL064029</t>
  </si>
  <si>
    <t>Green Published, Bronze</t>
  </si>
  <si>
    <t>WOS:000356631300039</t>
  </si>
  <si>
    <t>Rivera, A; Uribe, J; Zamora, R; Oberreuter, J</t>
  </si>
  <si>
    <t>Rivera, Andres; Uribe, Jose; Zamora, Rodrigo; Oberreuter, Jonathan</t>
  </si>
  <si>
    <t>Subglacial Lake CECs: Discovery and in situ survey of a privileged research site in West Antarctica</t>
  </si>
  <si>
    <t>subglacial lakes; West Antarctic Ice Sheet; radar</t>
  </si>
  <si>
    <t>ICE-SHEET; EAST ANTARCTICA; GROUNDING LINE; MASS-BALANCE; BENEATH; BED; SURFACE; RADAR; INVENTORY; THICKNESS</t>
  </si>
  <si>
    <t>We report the discovery and on-the-ground radar mapping of a subglacial lake in Antarctica, that we have named Lake CECs (Centro de Estudios Cientificos) in honor of the institute we belong to. It is located in the central part of the West Antarctic Ice Sheet, right underneath the Institute Ice Stream and Minnesota Glacier ice divide, and has not experienced surface elevation changes during the last 10 years. The ratio between the area of the subglacial lake and that of its feeding basin is larger than those for either subglacial lakes Ellsworth or Whillans, and it has a depth comparable to that of Ellsworth and greater than that of Whillans. Its ice thickness is approximate to 600 m less than that over Ellsworth. The lake is very likely a system with long water residence time. The recent finding of microbial life in Lake Whillans emphasizes the potential of Subglacial Lake CECs for biological exploration.</t>
  </si>
  <si>
    <t>[Rivera, Andres; Uribe, Jose; Zamora, Rodrigo; Oberreuter, Jonathan] Ctr Estudios Cient, Valdivia, Chile; [Rivera, Andres] Univ Chile, Dept Geog, Santiago, Chile</t>
  </si>
  <si>
    <t>Universidad de Chile</t>
  </si>
  <si>
    <t>Rivera, A (corresponding author), Ctr Estudios Cient, Valdivia, Chile.</t>
  </si>
  <si>
    <t>arivera@cecs.cl</t>
  </si>
  <si>
    <t>Oberreuter, Jonathan/JMQ-2244-2023</t>
  </si>
  <si>
    <t>Oberreuter, Jonathan/0000-0003-3294-9010; Uribe Parada, Jose Andres/0000-0002-5281-2719; Rivera, Andres/0000-0002-2779-4192</t>
  </si>
  <si>
    <t>CONICYT; Antarctic Logistics and Expeditions (ALE)</t>
  </si>
  <si>
    <t>CONICYT(Comision Nacional de Investigacion Cientifica y Tecnologica (CONICYT)); Antarctic Logistics and Expeditions (ALE)</t>
  </si>
  <si>
    <t>The radar data used to generate the diagrams and graphs for this paper are available at http://www.cecs.cl/files/RadarDataSLC.html. CECs is funded by the Base Finance program of CONICYT. The support of Antarctic Logistics and Expeditions (ALE) is gratefully acknowledged. Tobias Kohoutek and Ryan Wilson helped with GPS and ICESat data processing, and Francisco V. Sepulveda with manuscript preparation. Thanks to Mike Sharp, Mike and Peter McDowell, Chris Jacobs, Boris Mihovilovic, Thomas Nonis, and all ALE personnel at Union Glacier. This research would have not been possible without the permanent support of Claudio Bunster, CECs director.</t>
  </si>
  <si>
    <t>10.1002/2015GL063390</t>
  </si>
  <si>
    <t>WOS:000356631300040</t>
  </si>
  <si>
    <t>Cole, ST; Wortham, C; Kunze, E; Owens, WB</t>
  </si>
  <si>
    <t>Cole, Sylvia T.; Wortham, Cimarron; Kunze, Eric; Owens, W. Brechner</t>
  </si>
  <si>
    <t>Eddy stirring and horizontal diffusivity from Argo float observations: Geographic and depth variability</t>
  </si>
  <si>
    <t>eddy stirring; diffusivity; mixing length; spice; Argo</t>
  </si>
  <si>
    <t>GENERAL-CIRCULATION MODEL; EASTERN NORTH-ATLANTIC; GLOBAL OCEAN; THICKNESS DIFFUSIVITY; TRACER; SUPPRESSION; TRANSPORTS; ADJOINT; JETS; GYRE</t>
  </si>
  <si>
    <t>Stirring along isopycnals is a significant factor in determining the distribution of tracers within the ocean. Salinity anomalies on density surfaces from Argo float profiles are used to investigate horizontal stirring and estimate eddy mixing lengths. Eddy mixing length and velocity fluctuations from the ECCO2 global state estimate are used to estimate horizontal diffusivity at a 300km scale in the upper 2000m with near-global coverage. Diffusivity varies by over two orders of magnitude with latitude, longitude, and depth. In all basins, diffusivity is elevated in zonal bands corresponding to strong current regions, including western boundary current extension regions, the Antarctic Circumpolar Current, and equatorial current systems. The estimated mixing lengths and diffusivities provide an observationally based data set that can be used to test and constrain predictions and parameterizations of eddy stirring.</t>
  </si>
  <si>
    <t>[Cole, Sylvia T.; Owens, W. Brechner] Woods Hole Oceanog Inst, Woods Hole, MA 02543 USA; [Wortham, Cimarron] Univ Washington, Appl Phys Lab, Seattle, WA 98105 USA; [Kunze, Eric] Northwest Res Associates, Redmond, WA USA</t>
  </si>
  <si>
    <t>Woods Hole Oceanographic Institution; University of Washington; University of Washington Seattle; NorthWest Research Associates</t>
  </si>
  <si>
    <t>Cole, ST (corresponding author), Woods Hole Oceanog Inst, Woods Hole, MA 02543 USA.</t>
  </si>
  <si>
    <t>scole@whoi.edu</t>
  </si>
  <si>
    <t>Cole, Sylvia/K-6388-2013</t>
  </si>
  <si>
    <t>Cole, Sylvia/0000-0001-6579-142X</t>
  </si>
  <si>
    <t>National Science Foundation [OCE-13-55668, OCE-95-21468]; Office of Naval Research [N00014-12-1-0336, N00014-13-1-0484]; Division Of Ocean Sciences; Directorate For Geosciences [1355668] Funding Source: National Science Foundation</t>
  </si>
  <si>
    <t>National Science Foundation(National Science Foundation (NSF)); Office of Naval Research(Office of Naval Research); Division Of Ocean Sciences; Directorate For Geosciences(National Science Foundation (NSF)NSF - Directorate for Geosciences (GEO))</t>
  </si>
  <si>
    <t>Argo data were collected and made freely available by the international Argo project and the national programs that contribute to it. Argo float data and metadata are from the Global Data Assembly Center (ARGO GDAC; doi: 10.12770/1282383d-9b35-4eaa-a9d6-4b0c24c0cfc9). We are also grateful to the ECCO2 project for making their data freely available via ecco2.jpl.nasa.gov/products. This work was supported by the National Science Foundation under grants OCE-13-55668 and OCE-95-21468 and the Office of Naval Research under grants N00014-12-1-0336 and N00014-13-1-0484.</t>
  </si>
  <si>
    <t>10.1002/2015GL063827</t>
  </si>
  <si>
    <t>WOS:000356631300045</t>
  </si>
  <si>
    <t>Klotzbach, PJ; Oliver, ECJ</t>
  </si>
  <si>
    <t>Klotzbach, Philip J.; Oliver, Eric C. J.</t>
  </si>
  <si>
    <t>Variations in global tropical cyclone activity and the Madden-Julian Oscillation since the midtwentieth century</t>
  </si>
  <si>
    <t>MJO; tropical cyclone; ENSO</t>
  </si>
  <si>
    <t>VARIABILITY; MODULATION; INTENSITY; IMPACTS; WIND; MJO</t>
  </si>
  <si>
    <t>The Madden-Julian oscillation (MJO) has been documented in previous studies to significantly impact tropical cyclone activity in all ocean basins. Most of these studies have utilized the Wheeler-Hendon index. This index is only available since 1974, the period over which remotely sensed outgoing longwave radiation data has been available. Our study utilizes a long reconstructed MJO index, based on surface pressures, which extends back to 1905. We document consistent modulation of tropical cyclone activity by the MJO in all basins over this time period. These modulations are shown to be remarkably stable over the entire analysis period. We also examine the combined impacts of El Nino-Southern Oscillation and the MJO on tropical cyclone activity in each basin over multidecadal time scales.</t>
  </si>
  <si>
    <t>[Klotzbach, Philip J.] Colorado State Univ, Dept Atmospher Sci, Ft Collins, CO 80523 USA; [Oliver, Eric C. J.] Univ Tasmania, Inst Marine &amp; Antarctic Studies, Hobart, Tas, Australia; [Oliver, Eric C. J.] Univ Tasmania, Australian Res Council, Ctr Excellence Climate Syst Sci, Hobart, Tas, Australia</t>
  </si>
  <si>
    <t>Colorado State University; University of Tasmania; University of Tasmania</t>
  </si>
  <si>
    <t>Klotzbach, PJ (corresponding author), Colorado State Univ, Dept Atmospher Sci, Ft Collins, CO 80523 USA.</t>
  </si>
  <si>
    <t>philk@atmos.colostate.edu</t>
  </si>
  <si>
    <t>Klotzbach, Philip J/P-1911-2014; Oliver, Eric/G-5118-2014</t>
  </si>
  <si>
    <t>Oliver, Eric/0000-0002-4006-2826</t>
  </si>
  <si>
    <t>G. Unger Vetlesen Foundation</t>
  </si>
  <si>
    <t>The first author would like to acknowledge the G. Unger Vetlesen Foundation for financial support that helped fund this research. This paper makes a contribution to the objectives of the Australian Research Council Centre of Excellence for Climate System Science (ARCCSS). We would like to thank Hamish Ramsay and an anonymous reviewer for helpful comments that improved the manuscript. Data specific to this paper are available at http://tropical.atmos.colostate.edu.</t>
  </si>
  <si>
    <t>10.1002/2015GL063966</t>
  </si>
  <si>
    <t>WOS:000356631300071</t>
  </si>
  <si>
    <t>Strahan, SE; Oman, LD; Douglass, AR; Coy, L</t>
  </si>
  <si>
    <t>Strahan, S. E.; Oman, L. D.; Douglass, A. R.; Coy, L.</t>
  </si>
  <si>
    <t>Modulation of Antarctic vortex composition by the quasi-biennial oscillation</t>
  </si>
  <si>
    <t>stratospheric chlorine; stratospheric transport; quasi-biennial oscillation; Antarctic ozone</t>
  </si>
  <si>
    <t>INTERANNUAL VARIABILITY; OZONESONDE MEASUREMENTS; TRACE GASES; CIRCULATION; QBO; TRANSPORT; DESCENT; WAVES; CYCLE; MODEL</t>
  </si>
  <si>
    <t>Using a decade of Aura Microwave Limb Sounder observations, we show distinctly different N2O distributions in Southern Hemisphere winter that depend on the phase of the quasi-biennial oscillation (QBO). Composites of the nitrous oxide (N2O) anomalies calculated for westerly and easterly phases show that QBO-generated variability originating in the subtropical middle stratosphere fills the midlatitude surf zone by late winter. After the spring vortex breakup, the anomaly is transported to the Antarctic where it remains until the next vortex forms in fall. Trapped in the newly formed vortex, the anomaly descends in isolation through fall and winter, arriving in the Antarctic lower stratosphere in Septemberabout 1year after it formed. This transport pathway explains previously reported variability of N2O and inorganic chlorine (Cl-y) inside the Antarctic vortex and demonstrates that the middle stratosphere QBO affects ozone depletion by modulating Antarctic Cl-y.</t>
  </si>
  <si>
    <t>[Strahan, S. E.] Univ Space Res Assoc, Columbia, MD 21046 USA; [Strahan, S. E.; Oman, L. D.; Douglass, A. R.; Coy, L.] NASA, Goddard Space Flight Ctr, Atmospher Chem &amp; Dynam Lab, Greenbelt, MD 20771 USA; [Coy, L.] Sci Syst &amp; Applicat Inc, Lanham, MD USA</t>
  </si>
  <si>
    <t>Universities Space Research Association (USRA); National Aeronautics &amp; Space Administration (NASA); NASA Goddard Space Flight Center; Science Systems and Applications Inc</t>
  </si>
  <si>
    <t>Strahan, SE (corresponding author), Univ Space Res Assoc, Columbia, MD 21046 USA.</t>
  </si>
  <si>
    <t>susan.e.strahan@nasa.gov</t>
  </si>
  <si>
    <t>Douglass, Anne R/D-4655-2012; Strahan, Susan E/H-1965-2012; Oman, Luke/C-2778-2009</t>
  </si>
  <si>
    <t>Oman, Luke/0000-0002-5487-2598; Coy, Lawrence/0000-0002-0414-0882</t>
  </si>
  <si>
    <t>NASA Atmospheric Composition Modeling and Analysis Program</t>
  </si>
  <si>
    <t>NASA Atmospheric Composition Modeling and Analysis Program(National Aeronautics &amp; Space Administration (NASA))</t>
  </si>
  <si>
    <t>This work was supported by the NASA Atmospheric Composition Modeling and Analysis Program. MLS data are available at http://mls.jpl.nasa.gov. The MERRA reanalysis can be obtained from the Goddard Earth Science Data and Information Services Center, http://disc.sci.gsfc.nasa.gov/daac-bin/DataHoldings.pl. We thank Darryn Waugh and Paul Newman for their helpful discussions.</t>
  </si>
  <si>
    <t>10.1002/2015GL063759</t>
  </si>
  <si>
    <t>WOS:000356631300073</t>
  </si>
  <si>
    <t>Kohli, GS; John, U; Figueroa, RI; Rhodes, LL; Harwood, DT; Groth, M; Bolch, CJS; Murray, SA</t>
  </si>
  <si>
    <t>Kohli, Gurjeet S.; John, Uwe; Figueroa, Rosa I.; Rhodes, Lesley L.; Harwood, D. Tim; Groth, Marco; Bolch, Christopher J. S.; Murray, Shauna A.</t>
  </si>
  <si>
    <t>Polyketide synthesis genes associated with toxin production in two species of Gambierdiscus (Dinophyceae)</t>
  </si>
  <si>
    <t>BMC GENOMICS</t>
  </si>
  <si>
    <t>GENOME SIZE; DNA-CONTENT; BIOSYNTHESIS; ORGANIZATION; SYNTHASES; MONENSIN; TRANSCRIPTOME; BREVETOXINS; PERFORMANCE; INSIGHTS</t>
  </si>
  <si>
    <t>Background: Marine microbial protists, in particular, dinoflagellates, produce polyketide toxins with ecosystem-wide and human health impacts. Species of Gambierdiscus produce the polyether ladder compounds ciguatoxins and maitotoxins, which can lead to ciguatera fish poisoning, a serious human illness associated with reef fish consumption. Genes associated with the biosynthesis of polyether ladder compounds are yet to be elucidated, however, stable isotope feeding studies of such compounds consistently support their polyketide origin indicating that polyketide synthases are involved in their biosynthesis. Results: Here, we report the toxicity, genome size, gene content and transcriptome of Gambierdiscus australes and G. belizeanus. G. australes produced maitotoxin-1 and maitotoxin-3, while G. belizeanus produced maitotoxin-3, for which cell extracts were toxic to mice by IP injection (LD50 = 3.8 mg kg(-1)). The gene catalogues comprised 83,353 and 84,870 unique contigs, with genome sizes of 32.5 +/- 3.7 Gbp and 35 +/- 0.88 Gbp, respectively, and are amongst the most comprehensive yet reported from a dinoflagellate. We found three hundred and six genes involved in polyketide biosynthesis, including one hundred and ninty-two ketoacyl synthase transcripts, which formed five unique phylogenetic clusters. Conclusions: Two clusters were unique to these maitotoxin-producing dinoflagellate species, suggesting that they may be associated with maitotoxin biosynthesis. This work represents a significant step forward in our understanding of the genetic basis of polyketide production in dinoflagellates, in particular, species responsible for ciguatera fish poisoning.</t>
  </si>
  <si>
    <t>[Kohli, Gurjeet S.; Murray, Shauna A.] Univ Technol Sydney, Plant Funct Biol &amp; Climate Change Cluster, Broadway, NSW 2007, Australia; [Kohli, Gurjeet S.] Univ New S Wales, Sch Biotechnol &amp; Biomol Sci, Kensington, NSW 2052, Australia; [John, Uwe] Alfred Wegener Inst Polar &amp; Marine Res, D-27515 Bremerhaven, Germany; [Figueroa, Rosa I.] Lund Univ, Dept Biol, Aquat Ecol, S-22362 Lund, Sweden; [Rhodes, Lesley L.; Harwood, D. Tim] Cawthron Inst, Nelson 7010, New Zealand; [Groth, Marco] Fritz Lipmann Inst, Leibniz Inst Age Res, D-07745 Jena, Germany; [Bolch, Christopher J. S.] Univ Tasmania, Inst Marine &amp; Antarctic Studies, Launceston, Tas 7248, Australia; [Murray, Shauna A.] Sydney Inst Marine Sci, Mosman, NSW 2088, Australia</t>
  </si>
  <si>
    <t>University of Technology Sydney; University of New South Wales Sydney; Helmholtz Association; Alfred Wegener Institute, Helmholtz Centre for Polar &amp; Marine Research; Lund University; Cawthron Institute; Leibniz Institut fur Alternsforschung - Fritz-Lipmann-Institut (FLI); University of Tasmania; Sydney Institute of Marine Science</t>
  </si>
  <si>
    <t>Kohli, GS (corresponding author), Univ Technol Sydney, Plant Funct Biol &amp; Climate Change Cluster, Broadway, NSW 2007, Australia.</t>
  </si>
  <si>
    <t>Gurjeet.kohli@uts.edu.au</t>
  </si>
  <si>
    <t>Figueroa, Rosa Isabel/M-7598-2015; Murray, Shauna/JAN-6668-2023; Harwood, Tim/H-3636-2012; Murray, Shauna/K-5781-2015; Kohli, Gurjeet Singh/G-7296-2016; Bolch, Christopher J/J-7619-2014; John, Uwe/S-3009-2016</t>
  </si>
  <si>
    <t>Figueroa, Rosa Isabel/0000-0001-9944-7993; Murray, Shauna/0000-0001-7096-1307; Kohli, Gurjeet Singh/0000-0002-4578-2355; Groth, Marco/0000-0002-9199-8990; John, Uwe/0000-0002-1297-4086</t>
  </si>
  <si>
    <t>Australian Research Council [FT120100704, DP0880264]; Safe New Zealand Seafood programme, Formas (Sweden); PACES research program of the Alfred Wegener Institute for Polar and Marine Research; Australian Postgraduate Award from University of New South Wales (Australia); Australian Research Council [DP0880264, FT120100704] Funding Source: Australian Research Council</t>
  </si>
  <si>
    <t>Australian Research Council(Australian Research Council); Safe New Zealand Seafood programme, Formas (Sweden)(Swedish Research Council Formas); PACES research program of the Alfred Wegener Institute for Polar and Marine Research; Australian Postgraduate Award from University of New South Wales (Australia); Australian Research Council(Australian Research Council)</t>
  </si>
  <si>
    <t>Funding for this project was provided by an Australian Research Council grant to SM (FT120100704), the Safe New Zealand Seafood programme, Formas (Sweden), and the PACES research program of the Alfred Wegener Institute for Polar and Marine Research. GK was partly funded by an Australian Postgraduate Award from University of New South Wales (Australia). CB was funded by an Australian Research Council Discovery grant (DP0880264). Transcriptomic sequencing was carried out at the Leibniz-Institute for Age Research, Fritz Lipmann Institute Jena, Germany. We thank Dr. Rex Munday of AgResearch (Hamilton, New Zealand) for performing the mouse bioassays and Prof. Naresh Kumar of the University of New South Wales (Australia) for help with the proposed biosynthesis of MTX-1. We thank Prof. Brett A. Neilan of University of New South Wales (Australia) for initial discussions and proof reading the manuscript.</t>
  </si>
  <si>
    <t>BMC</t>
  </si>
  <si>
    <t>LONDON</t>
  </si>
  <si>
    <t>CAMPUS, 4 CRINAN ST, LONDON N1 9XW, ENGLAND</t>
  </si>
  <si>
    <t>1471-2164</t>
  </si>
  <si>
    <t>BMC Genomics</t>
  </si>
  <si>
    <t>10.1186/s12864-015-1625-y</t>
  </si>
  <si>
    <t>Biotechnology &amp; Applied Microbiology; Genetics &amp; Heredity</t>
  </si>
  <si>
    <t>CJ0ED</t>
  </si>
  <si>
    <t>Green Accepted, Green Published, gold</t>
  </si>
  <si>
    <t>WOS:000355146100002</t>
  </si>
  <si>
    <t>Kaifler, B; Lübken, FJ; Höffner, J; Morris, RJ; Viehl, TP</t>
  </si>
  <si>
    <t>Kaifler, B.; Luebken, F. -J.; Hoeffner, J.; Morris, R. J.; Viehl, T. P.</t>
  </si>
  <si>
    <t>Lidar observations of gravity wave activity in the middle atmosphere over Davis (69°S, 78°E), Antarctica</t>
  </si>
  <si>
    <t>JOURNAL OF GEOPHYSICAL RESEARCH-ATMOSPHERES</t>
  </si>
  <si>
    <t>gravity waves; mesosphere; stratosphere; middle atmosphere; lidar; Antarctica</t>
  </si>
  <si>
    <t>RAYLEIGH LIDAR; MESOSPHERE; CLIMATOLOGY; RADAR</t>
  </si>
  <si>
    <t>A 16month series of lidar measurements in the stratosphere and mesosphere-lower thermosphere (MLT) region over Davis Station (69 degrees S, 78 degrees E) in Antarctica is used to study gravity waves. The unprecedentedly large number of observations totaling 2310h allows us to investigate seasonal variations in gravity wave activity in great detail. In the stratosphere the gravity wave potential energy density (GWPED) is shown to have a large seasonal variation with a double peak in winter and minimum in summer. We find conservative wave propagation to occur between 29 and 41km altitude in winter as well as in summer, whereas smaller energy growth rates were observed in spring and autumn. These results are consistent with selective critical-level filtering of gravity waves in the lower stratosphere. In the MLT region the GWPED is found to have a semiannual oscillation with maxima in winter and summer. The structure of the winter peak is identical to that in the stratosphere, suggesting that the gravity wave flux reaching the MLT region is controlled by the wind field near the tropopause level.</t>
  </si>
  <si>
    <t>[Kaifler, B.] Inst Atmospher Phys, German Aerosp Ctr, Oberpfaffenhofen, Germany; [Kaifler, B.; Luebken, F. -J.; Hoeffner, J.; Viehl, T. P.] Univ Rostock, Leibniz Inst Atmospher Phys, Kuhlungsborn, Germany; [Morris, R. J.] Australian Antarctic Div, Kingston, Tas, Australia</t>
  </si>
  <si>
    <t>Helmholtz Association; German Aerospace Centre (DLR); University of Rostock; Leibniz Institut fur Atmospharenphysik e.V. an der Universitat Rostock (IAP); Australian Antarctic Division</t>
  </si>
  <si>
    <t>Kaifler, B (corresponding author), Inst Atmospher Phys, German Aerosp Ctr, Oberpfaffenhofen, Germany.</t>
  </si>
  <si>
    <t>bernd.kaifler@dlr.de</t>
  </si>
  <si>
    <t>Kaifler, Bernd/AAK-7237-2021</t>
  </si>
  <si>
    <t>Kaifler, Bernd/0000-0002-5891-242X; Viehl, Timo/0000-0002-7948-5666</t>
  </si>
  <si>
    <t>2169-897X</t>
  </si>
  <si>
    <t>2169-8996</t>
  </si>
  <si>
    <t>J GEOPHYS RES-ATMOS</t>
  </si>
  <si>
    <t>J. Geophys. Res.-Atmos.</t>
  </si>
  <si>
    <t>MAY 27</t>
  </si>
  <si>
    <t>10.1002/2014JD022879</t>
  </si>
  <si>
    <t>Meteorology &amp; Atmospheric Sciences</t>
  </si>
  <si>
    <t>CL1IT</t>
  </si>
  <si>
    <t>Green Accepted</t>
  </si>
  <si>
    <t>WOS:000356696800005</t>
  </si>
  <si>
    <t>Gherardi, M; Lagomarsino, MC</t>
  </si>
  <si>
    <t>Gherardi, Marco; Lagomarsino, Marco Cosentino</t>
  </si>
  <si>
    <t>Characterizing the size and shape of sea ice floes</t>
  </si>
  <si>
    <t>SCIENTIFIC REPORTS</t>
  </si>
  <si>
    <t>BRITTLE SOLIDS; SCALING THEORY; FRACTURE; FRAGMENTATION; DISTRIBUTIONS; MODELS; ANTARCTICA</t>
  </si>
  <si>
    <t>Monitoring drift ice in the Arctic and Antarctic regions directly and by remote sensing is important for the study of climate, but a unified modeling framework is lacking. Hence, interpretation of the data, as well as the decision of what to measure, represent a challenge for different fields of science. To address this point, we analyzed, using statistical physics tools, satellite images of sea ice from four different locations in both the northern and southern hemispheres, and measured the size and the elongation of ice floes (floating pieces of ice). We find that (i) floe size follows a distribution that can be characterized with good approximation by a single length scale delta l, which we discuss in the framework of stochastic fragmentation models, and (ii) the deviation of their shape from circularity is reproduced with remarkable precision by a geometric model of coalescence by freezing, based on random Voronoi tessellations, with a single free parameter sigma expressing the shape disorder. Although the physical interpretations remain open, this advocates the parameters delta l and sigma as two independent indicators of the environment in the polar regions, which are easily accessible by remote sensing.</t>
  </si>
  <si>
    <t>[Gherardi, Marco] Univ Milan, Dipartimento Fis, I-20133 Milan, Italy; [Gherardi, Marco] Ist Nazl Fis Nucl, I-20133 Milan, Italy; [Lagomarsino, Marco Cosentino] CNRS, UMR 7238, F-75700 Paris, France; [Lagomarsino, Marco Cosentino] Univ Paris 06, F-75252 Paris 05, France</t>
  </si>
  <si>
    <t>University of Milan; Istituto Nazionale di Fisica Nucleare (INFN); Centre National de la Recherche Scientifique (CNRS); CNRS - National Institute for Biology (INSB); Sorbonne Universite</t>
  </si>
  <si>
    <t>Gherardi, M (corresponding author), Univ Milan, Dipartimento Fis, Via Celoria 16, I-20133 Milan, Italy.</t>
  </si>
  <si>
    <t>marco.gherardi@mi.infn.it</t>
  </si>
  <si>
    <t>Lagomarsino, Marco Cosentino/B-7233-2012; Gherardi, Marco/KCZ-2547-2024</t>
  </si>
  <si>
    <t>Lagomarsino, Marco Cosentino/0000-0003-0235-0445; Gherardi, Marco/0000-0002-7745-8269</t>
  </si>
  <si>
    <t>NATURE PORTFOLIO</t>
  </si>
  <si>
    <t>BERLIN</t>
  </si>
  <si>
    <t>HEIDELBERGER PLATZ 3, BERLIN, 14197, GERMANY</t>
  </si>
  <si>
    <t>2045-2322</t>
  </si>
  <si>
    <t>SCI REP-UK</t>
  </si>
  <si>
    <t>Sci Rep</t>
  </si>
  <si>
    <t>10.1038/srep10226</t>
  </si>
  <si>
    <t>Multidisciplinary Sciences</t>
  </si>
  <si>
    <t>Science &amp; Technology - Other Topics</t>
  </si>
  <si>
    <t>CJ5NA</t>
  </si>
  <si>
    <t>Green Published, gold, Green Submitted</t>
  </si>
  <si>
    <t>WOS:000355533400001</t>
  </si>
  <si>
    <t>Pitulko, VV; Pavlova, EY; Nikolskiy, PA</t>
  </si>
  <si>
    <t>Pitulko, Vladimir V.; Pavlova, Elena Y.; Nikolskiy, Pavel A.</t>
  </si>
  <si>
    <t>Mammoth ivory technologies in the Upper Palaeolithic: a case study based on the materials from Yana RHS, Northern Yana-Indighirka lowland, Arctic Siberia</t>
  </si>
  <si>
    <t>WORLD ARCHAEOLOGY</t>
  </si>
  <si>
    <t>Stone Age; Arctic Siberia; mammoth; Pleistocene; Upper Palaeolithic; ivory technologies</t>
  </si>
  <si>
    <t>WOOLLY MAMMOTH; EUROPE; SITE; TUSK; APPEARANCE; PREDMOSTI; PENINSULA; OBJECTS; HUMANS; MIDDLE</t>
  </si>
  <si>
    <t>Processing of mammoth ivory and manufacturing of diverse ivory artefacts is widely recognized as one of the most important characteristics of the material culture of ancient humans. These technological skills reach their greatest extent and development shortly before the Last Glacial Maximum but are recognizable until the Pleistocene-Holocene boundary across Northern Eurasia in all areas populated by mammoths and humans. As a cultural phenomenon, ivory working is intriguing with respect to flaking technology and especially the production of long ivory shafts. Technological operations in the Upper Palaeolithic of Northern Eurasia have been closely influenced, on the one hand, by the size and shape of the desirable final product and, on the other, by knowledge of raw material properties. Study of the morphology of the artefactual material from the Yana site complex in Arctic Siberia convincingly reveals the technological processes involved. Several technological cycles (chaines operatoires) can be recognized, including the manufacture of long ivory shafts by exfoliation and wedging. The Yana ivory technology dates roughly to 28,000 bp in radiocarbon years.</t>
  </si>
  <si>
    <t>[Pitulko, Vladimir V.] Russian Acad Sci, Palaeolith Dept, Inst Hist Mat Culture, St Petersburg 196140, Russia; [Pavlova, Elena Y.] Arctic &amp; Antarctic Res Inst, St Petersburg 199226, Russia; [Nikolskiy, Pavel A.] Russian Acad Sci, Inst Geol, Moscow 117901, Russia</t>
  </si>
  <si>
    <t>Russian Academy of Sciences; St. Petersburg Scientific Centre of the Russian Academy of Sciences; Institute for the History of Material Culture, Russian Academy of Sciences; Arctic &amp; Antarctic Research Institute; Geological Institute, Russian Academy of Sciences; Russian Academy of Sciences</t>
  </si>
  <si>
    <t>Pitulko, VV (corresponding author), Russian Acad Sci, Palaeolith Dept, Inst Hist Mat Culture, St Petersburg 196140, Russia.</t>
  </si>
  <si>
    <t>pitulkov@gmail.com</t>
  </si>
  <si>
    <t>Pitulko, Vladimir/N-4009-2019; Pitulko, Vladimir/E-2200-2015; Nikolskiy, Pavel A/C-5041-2012; Pavlova, Elena/AAA-3291-2019; Nikolskiy, Pavel/JNT-4697-2023</t>
  </si>
  <si>
    <t>Pitulko, Vladimir/0000-0001-5672-2756; Pavlova, Elena/0000-0002-3010-6290</t>
  </si>
  <si>
    <t>ROUTLEDGE JOURNALS, TAYLOR &amp; FRANCIS LTD</t>
  </si>
  <si>
    <t>ABINGDON</t>
  </si>
  <si>
    <t>2-4 PARK SQUARE, MILTON PARK, ABINGDON OX14 4RN, OXON, ENGLAND</t>
  </si>
  <si>
    <t>0043-8243</t>
  </si>
  <si>
    <t>1470-1375</t>
  </si>
  <si>
    <t>WORLD ARCHAEOL</t>
  </si>
  <si>
    <t>World Archaeol.</t>
  </si>
  <si>
    <t>SI</t>
  </si>
  <si>
    <t>10.1080/00438243.2015.1030508</t>
  </si>
  <si>
    <t>Archaeology</t>
  </si>
  <si>
    <t>Arts &amp; Humanities Citation Index (A&amp;HCI)</t>
  </si>
  <si>
    <t>CJ0VO</t>
  </si>
  <si>
    <t>WOS:000355197300002</t>
  </si>
  <si>
    <t>Archer, SDJ; McDonald, IR; Herbold, CW; Lee, CK; Cary, CS</t>
  </si>
  <si>
    <t>Archer, Stephen D. J.; McDonald, Ian R.; Herbold, Craig W.; Lee, Charles K.; Cary, Craig S.</t>
  </si>
  <si>
    <t>Benthic microbial communities of coastal terrestrial and ice shelf Antarctic meltwater ponds</t>
  </si>
  <si>
    <t>FRONTIERS IN MICROBIOLOGY</t>
  </si>
  <si>
    <t>biogeography; Antarctic; benthic; microbial; pond</t>
  </si>
  <si>
    <t>MCMURDO DRY VALLEYS; INTERGENIC SPACER ANALYSIS; BRATINA ISLAND; MAT COMMUNITIES; CYANOBACTERIAL DIVERSITY; BACTERIAL DIVERSITY; TAYLOR VALLEY; VICTORIA LAND; LAKE FRYXELL; SEDIMENTS</t>
  </si>
  <si>
    <t>The numerous perennial meltwater ponds distributed throughout Antarctica represent diverse and productive ecosystems central to the ecological functioning of the surrounding ultra oligotrophic environment. The dominant taxa in the pond benthic communities have been well described however, little is known regarding their regional dispersal and local drivers to community structure. The benthic microbial communities of 12 meltwater ponds in the McMurdo Sound of Antarctica were investigated to examine variation between pond microbial communities and their biogeography. Geochemically comparable but geomorphologically distinct ponds were selected from Bratina Island (ice shelf) and Miers Valley (terrestrial) (&lt;40 km between study sites), and community structure within ponds was compared using DNA fingerprinting and pyrosequencing of 16S rRNA gene amplicons. More than 85% of total sequence reads were shared between pooled benthic communities at different locations (OTU0.05), which in combination with favorable prevailing winds suggests aeolian regional distribution. Consistent with previous findings Proteobacteria and Bacteroidetes were the dominant phyla representing over 50% of total sequences; however, a large number of other phyla (21) were also detected in this ecosystem. Although dominant Bacteria were ubiquitous between ponds, site and local selection resulted in heterogeneous community structures and with more than 45% of diversity being pond specific. Potassium was identified as the most significant contributing factor to the cosmopolitan community structure and aluminum to the location unique community based on a BEST analysis (Spearman's correlation coefficient of 0.632 and 0.806, respectively). These results indicate that the microbial communities in meltwater ponds are easily dispersed regionally and that the local geochemical environment drives the ponds community structure.</t>
  </si>
  <si>
    <t>[Archer, Stephen D. J.; McDonald, Ian R.; Herbold, Craig W.; Lee, Charles K.; Cary, Craig S.] Univ Waikato, Sch Sci, Int Ctr Terr Antarctic Res, Hamilton 3240, New Zealand</t>
  </si>
  <si>
    <t>University of Waikato</t>
  </si>
  <si>
    <t>Cary, CS (corresponding author), Univ Waikato, Sch Sci, Int Ctr Terr Antarctic Res, Private Bag 3105, Hamilton 3240, New Zealand.</t>
  </si>
  <si>
    <t>caryc@waikato.ac.nz</t>
  </si>
  <si>
    <t>Herbold, Craig William/S-4397-2018; Lee, Charles/AAC-9417-2019; McDonald, Ian R/A-4851-2008; lee, charles/AAW-6627-2021</t>
  </si>
  <si>
    <t>Herbold, Craig William/0000-0003-3479-0197; Lee, Charles/0000-0002-6562-4733; McDonald, Ian R/0000-0002-4847-6492; lee, charles/0000-0001-6906-4895; Cary, Stephen/0000-0002-2876-2387</t>
  </si>
  <si>
    <t>International Centre for Terrestrial Antarctic Research; University of Waikato, Antarctica New Zealand; New Zealand Post; New Zealand Marsden Fund [UOW1003]; New Zealand Antarctic Research Institute [NZARI2013-7]; National Science Foundation [ANT 0739648, 0944560]</t>
  </si>
  <si>
    <t>International Centre for Terrestrial Antarctic Research; University of Waikato, Antarctica New Zealand; New Zealand Post; New Zealand Marsden Fund(Royal Society of New ZealandMarsden Fund (NZ)); New Zealand Antarctic Research Institute; National Science Foundation(National Science Foundation (NSF))</t>
  </si>
  <si>
    <t>This research was supported by the International Centre for Terrestrial Antarctic Research, the University of Waikato, Antarctica New Zealand and New Zealand Post. Logistical support was provided by Antarctica New Zealand through their postgraduate research program. Supported for this research came from the New Zealand Marsden Fund (UOW1003) to SC and CL, the New Zealand Antarctic Research Institute (NZARI2013-7) to SC and CL, and the National Science Foundation (ANT 0739648 and 0944560) to SC.</t>
  </si>
  <si>
    <t>FRONTIERS MEDIA SA</t>
  </si>
  <si>
    <t>LAUSANNE</t>
  </si>
  <si>
    <t>AVENUE DU TRIBUNAL FEDERAL 34, LAUSANNE, CH-1015, SWITZERLAND</t>
  </si>
  <si>
    <t>1664-302X</t>
  </si>
  <si>
    <t>FRONT MICROBIOL</t>
  </si>
  <si>
    <t>Front. Microbiol.</t>
  </si>
  <si>
    <t>10.3389/fmicb.2015.00485</t>
  </si>
  <si>
    <t>Microbiology</t>
  </si>
  <si>
    <t>CK5SH</t>
  </si>
  <si>
    <t>Green Published, gold</t>
  </si>
  <si>
    <t>WOS:000356285500001</t>
  </si>
  <si>
    <t>Martin, MB; Bruce, NL; Nowak, BF</t>
  </si>
  <si>
    <t>Martin, Melissa B.; Bruce, Niel L.; Nowak, Barbara F.</t>
  </si>
  <si>
    <t>Review of the fish-parasitic genus Ceratothoa Dana, 1852 (Crustacea: Isopoda: Cymothoidae) from Australia, with description of two new species</t>
  </si>
  <si>
    <t>ZOOTAXA</t>
  </si>
  <si>
    <t>Isopoda; Cymothoidae; Ceratothoa; Mothocya; fish parasites; Australia</t>
  </si>
  <si>
    <t>MARINE ISOPOD; REDESCRIPTION; INFESTATION; SCHIOEDTE; CHECKLIST; NORTHERN; ATLANTIC; SMENISPA; MEINERT; AEGIDAE</t>
  </si>
  <si>
    <t>The genus Ceratothoa Dana, 1852, is revised for Australian waters. Ceratothoa is represented in Australia by nine species, including two new species: Ceratothoa barracuda sp. nov. described from Cairns and Ceratothoa globulus sp. nov. described from Lord Howe Island. Ceratothoa imbricata Fabricius, 1775 is redescribed, with Ceratothoa trillesi (Avdeev, 1979) and Ceratothoa huttoni Filhol, 1885 placed into junior synonymy; the preferred hosts are species of the genus Trachurus (Carangidae). Ceratothoa banksii (Leach, 1818) is validated and brought out of synonymy with Ceratothoa imbricata; host species are from the families Kyphosidae, Scombridae, Latridae, Carangidae, Mugilidae, Salmonidae, Scatophagidae, Pomatomidae and Hemiramphidae. Species excluded from the Australian fauna are Ceratothoa trigonocephala (Leach, 1818) with an unknown host identity and type locality; and Ceratothoa lineata Miers, 1876a, that here is transferred to the genus Mothocya Costa, 1851, with Mothocya ihi Bruce, 1986 placed into junior synonymy. Ceratothoa contracta (Miers, 1880), the New Zealand Ceratothoa novaezelandiae Filhol, 1885 and the East Pacific Ceratothoa gaudichaudii (Milne Edwards, 1840) are regarded here as species inquirenda. A key to the Australian species of Ceratothoa is presented.</t>
  </si>
  <si>
    <t>[Martin, Melissa B.; Nowak, Barbara F.] Univ Tasmania, Inst Marine &amp; Antarctic Studies, Launceston, Tas 7250, Australia; [Martin, Melissa B.; Bruce, Niel L.] Queensland Museum, Museum Trop Queensland, Townsville, Qld 4810, Australia; [Martin, Melissa B.] Univ Malaysia Terengganu, Sch Marine Sci &amp; Environm, Kuala Terengganu 21030, Malaysia; [Bruce, Niel L.] North West Univ, Water Res Grp Ecol, Unit Environm Sci &amp; Management, Potchefstroom, South Africa; [Bruce, Niel L.] James Cook Univ, Coll Marine &amp; Environm Sci, Brisbane, Qld, Australia</t>
  </si>
  <si>
    <t>University of Tasmania; Queensland Museum; Universiti Malaysia Terengganu; North West University - South Africa; James Cook University</t>
  </si>
  <si>
    <t>Martin, MB (corresponding author), Univ Tasmania, Inst Marine &amp; Antarctic Studies, Launceston, Tas 7250, Australia.</t>
  </si>
  <si>
    <t>mbmartin@utas.edu.au; niel.bruce@qm.qld.gov.au; bnowak@utas.edu.au</t>
  </si>
  <si>
    <t>Martin, Melissa Beata/H-8941-2019; Nowak, Barbara/J-7261-2014</t>
  </si>
  <si>
    <t>Nowak, Barbara/0000-0002-0347-643X; MARTIN, MELISSA BEATA/0000-0003-2605-9898</t>
  </si>
  <si>
    <t>Australian Museum; Public Service Department of the Malaysian Government</t>
  </si>
  <si>
    <t>MBM thank museum curators and researchers for access to the cymothoid collections and information on the status of type material: Barbara Done and Dr Robyn Cumming (Museum of Tropical Queensland); Dr Stephen Keable (Australian Museum); Dr Catherine Byrne and Dr Simon Grove (Tasmanian Museum and Art Gallery); the late Dr Ian Whittington (South Australian Museum); Dr Marina Malyutina (Russian Academy of Sciences A. V. Zhirmunsky Institute of Marine Biology) and Miranda Lowe (Natural History Museum). MBM is especially indebted to Dr Kerry Hadfield (North West University, South Africa) who has generously shared her descriptions of the type material and helped to resolve a number of complex synonymies within Ceratothoa. Gratitude is also extended to Prof Jean-Paul Trilles (Universite Montpellier) and Pascal Sebastian (James Cook University) for clarification of certain French papers, and Yuen Yue Tham (University of Tasmania) for translation of Chinese articles. This project was made possible by The Museum of Tropical Queensland-Queensland Museum by the provision of facilities and collections for which the first author is grateful; the Institute of Marine and Antarctic Studies, Launceston and University of Tasmania for their services in sampling cymothoids, travel cost to Townsville and proofreading this manuscript; the Australian Museum for the Geddes Postgraduate Award and the Public Service Department of the Malaysian Government for awarding MBM a postgraduate scholarship.</t>
  </si>
  <si>
    <t>MAGNOLIA PRESS</t>
  </si>
  <si>
    <t>AUCKLAND</t>
  </si>
  <si>
    <t>250F Marua Road Mt Wellington, AUCKLAND, ST LUKES 1023, NEW ZEALAND</t>
  </si>
  <si>
    <t>1175-5326</t>
  </si>
  <si>
    <t>1175-5334</t>
  </si>
  <si>
    <t>Zootaxa</t>
  </si>
  <si>
    <t>10.11646/zootaxa.3963.3.1</t>
  </si>
  <si>
    <t>Zoology</t>
  </si>
  <si>
    <t>CJ1RS</t>
  </si>
  <si>
    <t>WOS:000355262600001</t>
  </si>
  <si>
    <t>Gupta, P; Agrawal, HK; Bandopadhyay, R</t>
  </si>
  <si>
    <t>Gupta, Pratibha; Agrawal, Harsh Kumar; Bandopadhyay, Rajib</t>
  </si>
  <si>
    <t>Distribution pattern of bacteria in the two geographic poles and Southern Ocean from the reported 16S rDNA sequences</t>
  </si>
  <si>
    <t>CURRENT SCIENCE</t>
  </si>
  <si>
    <t>Bacterial phylogeny; bioinformatic tools; geographic poles and oceans; microbial diversity</t>
  </si>
  <si>
    <t>RIBOSOMAL-RNA SEQUENCES; GLOBAL PATTERNS; BIOGEOGRAPHY; ASSEMBLAGES</t>
  </si>
  <si>
    <t>16S rDNA bacterial sequences (913) from the Arctic Ocean, Southern Ocean and Antarctic Iceland were studied to understand the bacterial distribution pattern. Through phylogenetic study, it was observed that some bacteria were common in both the Arctic Ocean and Antarctic Iceland. gamma-Proteobacteria occupied 77.7% of the total bacterial population in the Antarctic Iceland, whereas in the Southern Ocean it was 72.5% and in the Arctic Ocean it was 50.9%. GC (Guanine + Cytosine) content of the bacteria in the Arctic Ocean and Antarctic Iceland region was 54.4% and 53.8% respectively. Bacterial diversity was calculated using Shannon-Weiner index and was found to be highest in the Antarctic Iceland (1.6926).</t>
  </si>
  <si>
    <t>[Gupta, Pratibha; Agrawal, Harsh Kumar; Bandopadhyay, Rajib] Birla Inst Technol, Dept Bioengn, Ranchi 835215, Bihar, India; [Bandopadhyay, Rajib] Univ Burdwan, Dept Bot, UGC Ctr Adv Study, Golapbag 713104, Bardhaman, India</t>
  </si>
  <si>
    <t>Birla Institute of Technology Mesra; University of Burdwan</t>
  </si>
  <si>
    <t>Bandopadhyay, R (corresponding author), Birla Inst Technol, Dept Bioengn, Ranchi 835215, Bihar, India.</t>
  </si>
  <si>
    <t>rajib_bandopadhyay@yahoo.com</t>
  </si>
  <si>
    <t>Bandopadhyay, Rina/C-7926-2009; GUpta, Pratibha/HLQ-0524-2023</t>
  </si>
  <si>
    <t>Bandopadhyay, Rajib/0000-0002-8318-5631</t>
  </si>
  <si>
    <t>MoES, New Delhi; NCAOR, Goa; Centre of Excellence, Department of Bio-Engineering, Birla Institute of Technology, Ranchi</t>
  </si>
  <si>
    <t>We thank MoES, New Delhi and NCAOR, Goa for providing support during the expedition. P.G. thanks the Centre of Excellence, Department of Bio-Engineering, Birla Institute of Technology, Ranchi for research fellowship.</t>
  </si>
  <si>
    <t>INDIAN ACAD SCIENCES</t>
  </si>
  <si>
    <t>BANGALORE</t>
  </si>
  <si>
    <t>C V RAMAN AVENUE, SADASHIVANAGAR, P B #8005, BANGALORE 560 080, INDIA</t>
  </si>
  <si>
    <t>0011-3891</t>
  </si>
  <si>
    <t>CURR SCI INDIA</t>
  </si>
  <si>
    <t>Curr. Sci.</t>
  </si>
  <si>
    <t>MAY 25</t>
  </si>
  <si>
    <t>CK0JF</t>
  </si>
  <si>
    <t>WOS:000355890800034</t>
  </si>
  <si>
    <t>Wouters, B; Martin-Español, A; Helm, V; Flament, T; van Wessem, JM; Ligtenberg, SRM; van den Broeke, MR; Bamber, JL</t>
  </si>
  <si>
    <t>Wouters, B.; Martin-Espanol, A.; Helm, V.; Flament, T.; van Wessem, J. M.; Ligtenberg, S. R. M.; van den Broeke, M. R.; Bamber, J. L.</t>
  </si>
  <si>
    <t>Dynamic thinning of glaciers on the Southern Antarctic Peninsula</t>
  </si>
  <si>
    <t>SCIENCE</t>
  </si>
  <si>
    <t>AMUNDSEN SEA EMBAYMENT; ICE-SHELF; WEST ANTARCTICA; COLLAPSE; RETREAT; DRIVEN; FLOW</t>
  </si>
  <si>
    <t>Growing evidence has demonstrated the importance of ice shelf buttressing on the inland grounded ice, especially if it is resting on bedrock below sea level. Much of the Southern Antarctic Peninsula satisfies this condition and also possesses a bed slope that deepens inland. Such ice sheet geometry is potentially unstable. We use satellite altimetry and gravity observations to show that a major portion of the region has, since 2009, destabilized. Ice mass loss of the marine-terminating glaciers has rapidly accelerated from close to balance in the 2000s to a sustained rate of -56 +/- 8 gigatons per year, constituting a major fraction of Antarctica's contribution to rising sea level. The widespread, simultaneous nature of the acceleration, in the absence of a persistent atmospheric forcing, points to an oceanic driving mechanism.</t>
  </si>
  <si>
    <t>[Wouters, B.; Martin-Espanol, A.; Bamber, J. L.] Univ Bristol, Bristol Glaciol Ctr, Bristol, Avon, England; [Helm, V.] Helmholtz Zentrum Polar &amp; Meeresforsch, Alfred Wegener Inst, Bremerhaven, Germany; [Flament, T.] Lab Etud Geophys &amp; Oceanog Spatiales, Toulouse, France; [van Wessem, J. M.; Ligtenberg, S. R. M.; van den Broeke, M. R.] Univ Utrecht, Inst Marine &amp; Atmospher Res, NL-3508 TC Utrecht, Netherlands</t>
  </si>
  <si>
    <t>University of Bristol; Helmholtz Association; Alfred Wegener Institute, Helmholtz Centre for Polar &amp; Marine Research; Universite de Toulouse; Universite Toulouse III - Paul Sabatier; Centre National de la Recherche Scientifique (CNRS); Institut de Recherche pour le Developpement (IRD); Laboratoire d'Etudes en Geophysique et oceanographie spatiales; Utrecht University</t>
  </si>
  <si>
    <t>Wouters, B (corresponding author), Univ Bristol, Bristol Glaciol Ctr, Bristol, Avon, England.</t>
  </si>
  <si>
    <t>bert.wouters@bristol.ac.uk</t>
  </si>
  <si>
    <t>Van den Broeke, Michiel R./F-7867-2011; Wouters, Bert/AAA-4254-2019; Bamber, Jonathan/C-7608-2011; van Wessem, Melchior/AAB-1987-2019; Ligtenberg, Stefan/AAF-8290-2020</t>
  </si>
  <si>
    <t>Van den Broeke, Michiel R./0000-0003-4662-7565; Wouters, Bert/0000-0002-1086-2435; Bamber, Jonathan/0000-0002-2280-2819; Martin, Alba/0000-0001-9495-9092; Flament, Thomas/0000-0001-9702-302X; van Wessem, Melchior/0000-0003-3221-791X</t>
  </si>
  <si>
    <t>European Community [FP7-PEOPLE-2011-IOF-301260]; Natural Environment Research Council [NE/I027401/1]; European Space Agency [4000107393/12/I-NB]; German Ministry of Economics and Technology [50EE1331]; Netherlands Polar Program of the Netherlands Organization for Scientific Research, section Earth and Life Sciences (NWO/ALW/NPP); Natural Environment Research Council [NE/I027401/1] Funding Source: researchfish; NERC [NE/I027401/1] Funding Source: UKRI</t>
  </si>
  <si>
    <t>European Community; Natural Environment Research Council(UK Research &amp; Innovation (UKRI)Natural Environment Research Council (NERC)); European Space Agency(European Space Agency); German Ministry of Economics and Technology(Federal Ministry for Economic Affairs and Energy (BMWi)); Netherlands Polar Program of the Netherlands Organization for Scientific Research, section Earth and Life Sciences (NWO/ALW/NPP); Natural Environment Research Council(UK Research &amp; Innovation (UKRI)Natural Environment Research Council (NERC)); NERC(UK Research &amp; Innovation (UKRI)Natural Environment Research Council (NERC))</t>
  </si>
  <si>
    <t>B.W. and J.L.B. jointly conceived the study, interpreted the results, and wrote the article. B.W. processed the GRACE and Cryosat-2 L2 data. A.M.-E. combined the ICESat-Envisat elevation rates and derived the GVIIS front positions. V.H. developed the Cryosat-2 retracker and processed the L1B data. T.F. processed the Envisat data. J.M.v.W., S.R.M.L., and M.R.v.d.B. developed and ran the SMB and firn model. All authors commented on the manuscript. We thank J. Wahr and G. A for their help with the Glacial Isostatic Adjustment correction and elastic loading. G. Moholdt and A. Gardner are acknowledged for the fruitful discussions on altimetry. B.W. is funded by a Marie Curie International Outgoing Fellowship within the 7th European Community Framework Programme (FP7-PEOPLE-2011-IOF-301260). J.L.B. and A.M.-E. were supported by Natural Environment Research Council grant NE/I027401/1. J.L.B., B.W., and A.M-E. also acknowledge support through European Space Agency contract 4000107393/12/I-NB, REGINA. V.H. was supported by the German Ministry of Economics and Technology (grant 50EE1331). J.M.v.W., S.R.M.L., and M.R.v.d.B. acknowledge support from the Netherlands Polar Program of the Netherlands Organization for Scientific Research, section Earth and Life Sciences (NWO/ALW/NPP). The data sets used in this study can be found at http://pangaea.de.</t>
  </si>
  <si>
    <t>AMER ASSOC ADVANCEMENT SCIENCE</t>
  </si>
  <si>
    <t>1200 NEW YORK AVE, NW, WASHINGTON, DC 20005 USA</t>
  </si>
  <si>
    <t>0036-8075</t>
  </si>
  <si>
    <t>1095-9203</t>
  </si>
  <si>
    <t>Science</t>
  </si>
  <si>
    <t>MAY 22</t>
  </si>
  <si>
    <t>10.1126/science.aaa5727</t>
  </si>
  <si>
    <t>CI6NW</t>
  </si>
  <si>
    <t>Green Published</t>
  </si>
  <si>
    <t>WOS:000354877900041</t>
  </si>
  <si>
    <t>Alsina-Pagès, RM; Salvador, M; Hervás, M; Bergadà, P; Pijoan, JL; Badia, D</t>
  </si>
  <si>
    <t>Maria Alsina-Pages, Rosa; Salvador, Marti; Hervas, Marcos; Bergada, Pau; Lluis Pijoan, Joan; Badia, David</t>
  </si>
  <si>
    <t>Spread spectrum high performance techniques for a long haul high frequency link</t>
  </si>
  <si>
    <t>IET COMMUNICATIONS</t>
  </si>
  <si>
    <t>HF; TRANSMISSION</t>
  </si>
  <si>
    <t>Skywave ionospheric communication systems offer a good choice to satellite communications when transmitting from the poles. For the last 10 years the authors have been sounding and testing modulations through a 12 700 km high frequency link from the Spanish Antarctic Station to Spain. Previous tests comparing direct sequence spread spectrum (DS-SS) and orthogonal frequency division multiplexing (OFDM) showed that spread spectrum bit rate error (BER) results outperformed OFDM at the expense of lower bit rates. In this study the authors present three spread spectrum techniques for this long haul link that increase the bit rate and the spectral efficiency of the direct sequence while keeping the good BER performance obtained. Tests have been performed with several symbol periods as well as different bandwidth for each technique, hence the authors can conclude which combination best suits this channel.</t>
  </si>
  <si>
    <t>[Maria Alsina-Pages, Rosa; Salvador, Marti; Hervas, Marcos; Bergada, Pau; Lluis Pijoan, Joan; Badia, David] Univ Ramon Llull, GR SETAD, Barcelona 08022, Spain</t>
  </si>
  <si>
    <t>Universitat Ramon Llull</t>
  </si>
  <si>
    <t>Alsina-Pagès, RM (corresponding author), Univ Ramon Llull, GR SETAD, C Quatre Camins 30, Barcelona 08022, Spain.</t>
  </si>
  <si>
    <t>ralsina@salleurl.edu</t>
  </si>
  <si>
    <t>Hervás, Marcos/K-7016-2015; Hervás, Marcos/JAC-5391-2023; Badia, David/ABF-4258-2021; Alsina-Pagès, Rosa Ma/M-6099-2017; Pijoan, Joan Lluis/S-3319-2018</t>
  </si>
  <si>
    <t>Hervás, Marcos/0000-0003-2021-9264; Badia, David/0000-0002-4792-8688; Alsina-Pagès, Rosa Ma/0000-0003-2261-5471; Pijoan, Joan Lluis/0000-0002-1796-8216</t>
  </si>
  <si>
    <t>Spanish Government [CGL2006-12437-C02-01, CTM2008-03536-E, CTM2009-13843-C02-02, CTM2010-21312-C03-03]</t>
  </si>
  <si>
    <t>Spanish Government(Spanish Government)</t>
  </si>
  <si>
    <t>This work has been funded by the Spanish Government under the projects CGL2006-12437-C02-01, CTM2008-03536-E, CTM2009-13843-C02-02 and CTM2010-21312-C03-03.</t>
  </si>
  <si>
    <t>INST ENGINEERING TECHNOLOGY-IET</t>
  </si>
  <si>
    <t>HERTFORD</t>
  </si>
  <si>
    <t>MICHAEL FARADAY HOUSE SIX HILLS WAY STEVENAGE, HERTFORD SG1 2AY, ENGLAND</t>
  </si>
  <si>
    <t>1751-8628</t>
  </si>
  <si>
    <t>1751-8636</t>
  </si>
  <si>
    <t>IET COMMUN</t>
  </si>
  <si>
    <t>IET Commun.</t>
  </si>
  <si>
    <t>MAY 21</t>
  </si>
  <si>
    <t>10.1049/iet-com.2014.0807</t>
  </si>
  <si>
    <t>Engineering, Electrical &amp; Electronic</t>
  </si>
  <si>
    <t>Engineering</t>
  </si>
  <si>
    <t>CH4AG</t>
  </si>
  <si>
    <t>WOS:000353972100003</t>
  </si>
  <si>
    <t>Raven, RJ</t>
  </si>
  <si>
    <t>Raven, Robert J.</t>
  </si>
  <si>
    <t>A revision of ant-mimicking spiders of the family Corinnidae (Araneae) in the Western Pacific</t>
  </si>
  <si>
    <t>Corinnidae; taxonomy; Australia; Pacific; distribution; ant-mimicry</t>
  </si>
  <si>
    <t>SOUTH-AFRICA ARANEAE; TRACHELINE SAC SPIDERS; CLADISTIC-ANALYSIS; TAXONOMIC NOTES; GENUS; SIMON; GENERA; SPINOTRACHELAS</t>
  </si>
  <si>
    <t>The Corinnidae of the western Pacific are revised. The formerly sparassid genus Anchognatha Thorell, 1881, and the gnaphosid genus Battalus Karsch, 1878, are transferred to the Castianeirinae. The Corinninae include only the introduced Creugas gulosus Thorell, 1878 and Medmassa christae sp. nov. from the northern Torres Strait islands. Medmassa pallipes (L. Koch, 1873) and Medmassa pusilla Simon, 1896 are newly synonymised with Creugas gulosus. The Castianeirinae from the Western Pacific including Australia includes Battalus Karsch, 1878, Copa Simon, 1886, Leichhardteus Raven &amp; Baehr, 2013, Nyssus Walckenaer, 1805, Poecilipta Simon, 1897, and eight new genera: Disnyssus gen. nov., Iridonyssus gen. nov., Kolora gen. nov., Leptopicia gen. nov., Melanesotypus gen. nov., Nucastia gen. nov., Ozcopa gen. nov. and Ticopa gen. nov. Battalus includes B. adamparsonsi sp. nov., B. baehrae sp. nov., B. bidgemia sp. nov., B. byrneae sp. nov., B. diadens sp. nov., B. helenstarkae sp. nov., B. microspinosus sp. nov., B. rugosus sp. nov., B. spinipes Karsch, 1878, B. wallum sp. nov., B. zuytdorp sp. nov. and B. semiflavus (Simon, 1896), new combination (transferred from Medmassa). Copa, an otherwise African and Sri Lankan genus, includes C. kabanasp. nov. Disnyssus gen. nov. includes D. helenmirrenae sp. nov. and D. judidenchae sp. nov. Iridonyssus gen. nov. includes I. auripilosus sp. nov., I. formicans sp. nov., I. kohouti sp. nov. and I. leucostaurus sp. nov. Kolora gen. nov. includes K. cushingae sp. nov., K. cooloola sp. nov. and K. lynneae sp. nov., and K. sauverubens (Simon, 1896) new combination (transferred from Corinnomma Karsch, 1880). Leichhardteus includes Leichhardteus yagan sp. nov., Leichhardteus evschlingeri sp. nov., Leichhardteus strzelecki sp. nov., as well as eight recently described species. Leptopicia gen. nov. includes only Methesis bimaculata (Simon, 1896) new combination (transferred from MethesisSimon, 1896). Melanesotypus guadal gen. et sp. nov. is described from the Solomon Islands. Nucastia gen. nov., includes N. culburra sp. nov., N. eneabba sp. nov., N. muncoonie sp. nov., N. supunnoides sp. nov. and N. virewoods sp. nov.; Medmassa fusca Hogg, 1900 is transferred to Nucastia but is considered a nomen dubium. The genera Anchognatha and Supunna Simon, 1897 are junior synonyms of Nyssus, which includes Supunna albopunctatus (Hogg, 1896), Anchognatha avida Thorell, 1881, Nyssus coloripes Walckenaer, 1805, N. emu sp. nov., Agroeca insularis L. Koch, 1873 (from Fiji and the Solomon Islands), N. jaredwarden sp. nov., N. jonraveni sp. nov., N. loureedi sp. nov., N. luteofinis sp. nov., N. paradoxus sp. nov., N. pseudomaculatus sp. nov., N. robertsi sp. nov., N. semifuscus sp. nov., N. wendyae sp. nov. and N. yuggera sp. nov. Supunna funerea (Simon, 1896) and Supunna albomaculata (Rainbow, 1902) are junior synonyms of Nyssus albopunctatus; Supunna picta (L. Koch, 1873) and Storena auripes Rainbow, 1916 are junior synonyms of Nyssus coloripes Walckenaer, 1805. Ozcopa gen. nov. includes O. chiunei sp. nov., O. colloffi sp. nov., O. margotandersenae sp. nov., O. mcdonaldi sp. nov., O. monteithi sp. nov. and O. zborowskii sp. nov. Poecilipta includes P. carnarvon sp. nov., P. contorqua sp. nov., P. davidi sp. nov., P. elvis sp. nov., P. formiciforme (Rainbow, 1904) comb. nov. (transferred from Corinnomma), P. gloverae sp. nov., P. harveyi sp. nov., P. kgari sp. nov., P. samueli sp. nov., P. janthinaSimon, 1896, P. kohouti sp. nov., P. lugubris sp. nov., P. marengo sp. nov., P. metallica sp. nov., P. micaelae sp. nov., P. qunats sp. nov., P. rawlinsonae sp. nov., P. ruthae Santana &amp; Raven, sp. nov., P. smaragdinea (Simon, 1909) new combination (transferred from Supunna), P. tinda sp. nov., P. venusta Rainbow, 1904, P. waldockae sp. nov., P. wallaceisp. nov., P. yambuna sp. nov., and P. zbigniewi sp. nov. Ticopa gen. nov. includes T. australis sp. nov., T. carnarvon sp. nov., T. chinchilla sp. nov., T. dingo sp. nov., T. hudsoni sp. nov., and T. longbottomi sp. nov. For comparative purposes, males of the South-east Asian Corinnomma severum (Thorell, 1881) (the type-species) and C. javanum Simon, 1905 are figured and supplementary notes provided. Liocranum australiensis L. Koch, 1873 is transferred from Medmassa to Miturga where it is a nomen dubium. One hundred and eight species are treated in this work, of which 77 are new, 21 existing species are recognised; five existing genera are recognised, two are placed in synonymy, eight new genera are added; and one species is transferred to Miturgidae and another is listed as a nomen dubium. The Australian corinnid fauna includes 14 genera and 97 species.</t>
  </si>
  <si>
    <t>Queensland Museum, South Brisbane, Qld 4101, Australia</t>
  </si>
  <si>
    <t>Queensland Museum</t>
  </si>
  <si>
    <t>Raven, RJ (corresponding author), Queensland Museum, POB 3300, South Brisbane, Qld 4101, Australia.</t>
  </si>
  <si>
    <t>Robert.Raven@qm.qld.gov.au</t>
  </si>
  <si>
    <t>Raven, Robert/GZK-2774-2022</t>
  </si>
  <si>
    <t>Australian Biological Resources Study grant; Bush Blitz surveys (Tasmania I, II and III, Neds Corner and Wet Tropics); Australian Antarctic Research Grant; Queensland Museum Foundation; Cape York; ANHAT (Australian Natural Heritage Assessment Tool)</t>
  </si>
  <si>
    <t>This work was produced with generous support from one Australian Biological Resources Study grant which prior to this point has supported the naming of 86 new species. Grateful thanks for comfortable access to collections and loans by Dr Mark Harvey (WAM), Mr David Hirst (then of SAMA), Dr M. Gray and Mr G. Milledge (AMS), Sydney, Mr Paul Hillyard (then of BMNH), Drs Ken Walker (MV), Christine Rollard (MNHN), Jason Dunlop (ZMB), Hieronymous Dastych (ZMH), and the late Jacqueline Heurtault (MNHN). Productive discussions and challenges with Mark Harvey and very much with Helen Smith. Volker Framenau kindly provided good collections of the Victorian Nucastia supunnoides sp. nov. A number of the species included herein were taken in various generously funded Bush Blitz surveys (Tasmania I, II and III, Neds Corner and Wet Tropics; www.bushblitz.org.au). In two such surveys in Tasmania, thanks entirely to Senior Curator Dr Catherine Byrne, I was subsequently provided with access to an excellent automontage Microscope system; a similar microscope was jointly funded by an Australian Antarctic Research Grant to Dr Claudia Arango and the Queensland Museum Foundation, the latter which also partially funded an expedition to Cape York (September, 2013) in which further material used here was taken; Terri Irwin kindly invited the expedition team to the Steve Irwin Wildlife Reserve on Cape York in which new material of Nyssus avidus (Fig. 79d) was taken giving a better understanding of the living colours of the spiders. Valuable new material of Leptopicia bimaculata was taken on a survey (almost following one of the paths of Ludwig Leichhardt to Darwin) generously funded by ANHAT (Australian Natural Heritage Assessment Tool).</t>
  </si>
  <si>
    <t>MAY 20</t>
  </si>
  <si>
    <t>CJ1QK</t>
  </si>
  <si>
    <t>WOS:000355258700001</t>
  </si>
  <si>
    <t>Li, L; Wu, XF; Huang, YF; Wang, XG; Tang, QW; Liang, YF; Zhang, BB; Wang, Y; Geng, JJ; Liang, EW; Wei, JY; Zhang, B; Ryde, F</t>
  </si>
  <si>
    <t>Li, Liang; Wu, Xue-Feng; Huang, Yong-Feng; Wang, Xiang-Gao; Tang, Qing-Wen; Liang, Yun-Feng; Zhang, Bin-Bin; Wang, Yu; Geng, Jin-Jun; Liang, En-Wei; Wei, Jian-Yan; Zhang, Bing; Ryde, Felix</t>
  </si>
  <si>
    <t>A CORRELATED STUDY OF OPTICAL AND X-RAY AFTERGLOWS OF GRBs</t>
  </si>
  <si>
    <t>ASTROPHYSICAL JOURNAL</t>
  </si>
  <si>
    <t>methods: statistical; reference systems; X-rays: ISM</t>
  </si>
  <si>
    <t>SWIFT XRT DATA; CONTINUOUS ENERGY INJECTION; BAND SPECTRAL EVOLUTION; LIGHT-CURVE BREAKS; BURST AFTERGLOWS; EARLY-TIME; COMPREHENSIVE ANALYSIS; PROMPT EMISSION; STRUCTURED OUTFLOWS; INTERNAL SHOCKS</t>
  </si>
  <si>
    <t>We study an extensive sample of 87 gamma-ray bursts (GRBs) for which there are well-sampled and simultaneous optical and X-ray light curves. We extract the cleanest possible signal of the afterglow component. and compare the temporal behaviors of the X-ray light. curve, observed by Swift XRT, and optical data, observed by UVOT and ground-based telescopes for each individual burst. Overall we find that 62% of the GRBs. are consistent with the standard afterglow model. When more advanced modeling is invoked, up to 91% of the bursts in our sample may be consistent with the external-shock model. A large fraction of these bursts are consistent with occurring in a constant interstellar density medium (61%) while only 39% of them occur in a wind-like medium. Only nine cases have afterglow light curves that exactly match the standard fireball model prediction, having a single power-law decay in both energy bands that are observed during their entire duration. In particular, for the bursts with chromatic behavior, additional model assumptions must be made over limited segments of the light curves in order for these bursts to fully agree with the external-shock model. Interestingly, for 54% of the X-ray and 40% of the optical band observations, the end of the shallow decay (t(similar to-0.5)) period coincides with the jet-break (t(similar to-p)) time, causing an abrupt change in decay slope. The fraction of the burst that is consistent with the external-shock model is independent of the observational epochs in the rest frame of GRBs. Moreover, no cases can be explained by the cooling frequency crossing the X-ray or optical band.</t>
  </si>
  <si>
    <t>[Li, Liang; Ryde, Felix] KTH Royal Inst Technol, Dept Phys, SE-10691 Stockholm, Sweden; [Li, Liang; Ryde, Felix] Oskar Klein Ctr Cosmoparticle Phys, Stockholm, Sweden; [Li, Liang] Stockholm Univ, Dept Phys, SE-10691 Stockholm, Sweden; [Wu, Xue-Feng] Chinese Acad Sci, Chinese Ctr Antarctic Astron, Nanjing 210008, Jiangsu, Peoples R China; [Wu, Xue-Feng] Purple Mt Observ, Joint Ctr Particle Nucl Phys, Nanjing 210008, Jiangsu, Peoples R China; [Wu, Xue-Feng] Nanjing Univ, Nanjing 210008, Jiangsu, Peoples R China; [Wu, Xue-Feng] Chinese Acad Sci, Purple Mt Observ, Key Lab Dark Matter &amp; Space Astron, Nanjing 210008, Jiangsu, Peoples R China; [Huang, Yong-Feng; Tang, Qing-Wen; Geng, Jin-Jun] Nanjing Univ, Dept Astron, Nanjing 210093, Jiangsu, Peoples R China; [Huang, Yong-Feng; Tang, Qing-Wen; Geng, Jin-Jun] Nanjing Univ, Minist Educ, Key Lab Modern Astron &amp; Astrophys, Nanjing 210093, Jiangsu, Peoples R China; [Wang, Xiang-Gao; Liang, En-Wei] Guangxi Univ, Dept Phys, Ctr Astrophys &amp; Space Sci, GXU NAOC, Nanjing 530004, Jiangsu, Peoples R China; [Wang, Xiang-Gao; Zhang, Bing] Univ Nevada, Dept Phys &amp; Astron, Las Vegas, NV 89154 USA; [Liang, Yun-Feng] Chinese Acad Sci, Purple Mt Observ, Nanjing 210008, Jiangsu, Peoples R China; [Zhang, Bin-Bin] Univ Alabama, CSPAR, Huntsville, AL 35899 USA; [Wang, Yu] Univ Roma La Sapienza, Dipartimento Fis, I-00185 Rome, Italy; [Wang, Yu] Univ Roma La Sapienza, ICRA, I-00185 Rome, Italy; [Wang, Yu] ICRANet, I-65122 Pescara, Italy; [Wei, Jian-Yan] Chinese Acad Sci, Natl Astron Observ, Beijing 100012, Peoples R China</t>
  </si>
  <si>
    <t>Royal Institute of Technology; Oskar Klein Centre; Stockholm University; Chinese Academy of Sciences; Purple Mountain Observatory, CAS; Chinese Academy of Sciences; Nanjing Institute of Astronomical Optics &amp; Technology, NAOC, CAS; Nanjing University; Purple Mountain Observatory, CAS; Chinese Academy of Sciences; Nanjing Institute of Astronomical Optics &amp; Technology, NAOC, CAS; Nanjing University; Nanjing University; Guangxi University; Chinese Academy of Sciences; Nanjing Institute of Astronomical Optics &amp; Technology, NAOC, CAS; Nevada System of Higher Education (NSHE); University of Nevada Las Vegas; Purple Mountain Observatory, CAS; Chinese Academy of Sciences; Nanjing Institute of Astronomical Optics &amp; Technology, NAOC, CAS; University of Alabama System; University of Alabama Huntsville; Sapienza University Rome; Sapienza University Rome; Chinese Academy of Sciences; National Astronomical Observatory, CAS</t>
  </si>
  <si>
    <t>Li, L (corresponding author), KTH Royal Inst Technol, Dept Phys, SE-10691 Stockholm, Sweden.</t>
  </si>
  <si>
    <t>liang.li@fysik.su.se; fryde@kth.se</t>
  </si>
  <si>
    <t>Ryde, Felix/AAE-1086-2021; Zhang, Bing/AAG-2824-2019; Wang, Tianqi/JJD-7473-2023; GENG, Jin-Jun/K-1684-2019; ZHU, BIN/IYJ-3847-2023; Huang, Yongfeng/AAD-8814-2022; Li, Liang/AAB-1075-2020; Tang, Qingwen/M-4495-2015; Huang, Y.F./G-7274-2015; Lin, Fan/JZT-1441-2024; Wu, Xuefeng/G-5316-2015</t>
  </si>
  <si>
    <t>Ryde, Felix/0000-0002-9769-8016; GENG, Jin-Jun/0000-0001-9648-7295; Huang, Yongfeng/0000-0001-7199-2906; Li, Liang/0000-0002-1343-3089; Tang, Qingwen/0000-0001-7471-8451; Lin, Fan/0000-0002-7330-3833; Wang, Xianggao/0000-0001-8411-8011; Wang, Yu/0000-0001-7959-3387; Liang, Yunfeng/0000-0002-6316-1616; Zhang, Binbin/0000-0003-4111-5958; Wu, Xuefeng/0000-0002-6299-1263; Zhang, Bing/0000-0002-9725-2524; Hu, Youdong/0000-0002-9774-5484</t>
  </si>
  <si>
    <t>Swedish National Space Board; Swedish Research Council; National Basic Research Program of China (973 Program) [2014CB845800]; National Natural Science Foundation of China [11322328, 11473012, 11033002, 11303005, u1331202]; Erasmus Mundus Joint Doctorate Program from the EACEA of the European Commission [2013-1471]; One-Hundred-Talent Program; Youth Innovation Promotion Association; Strategic Priority Research Program The Emergence of Cosmological Structures of the Chinese Academy of Sciences [XDB09000000]; NASA [NNX14AF85G]</t>
  </si>
  <si>
    <t>Swedish National Space Board(Swedish National Space Agency (SNSA)); Swedish Research Council(Swedish Research Council); National Basic Research Program of China (973 Program)(National Basic Research Program of China); National Natural Science Foundation of China(National Natural Science Foundation of China (NSFC)); Erasmus Mundus Joint Doctorate Program from the EACEA of the European Commission; One-Hundred-Talent Program(Chinese Academy of Sciences); Youth Innovation Promotion Association; Strategic Priority Research Program The Emergence of Cosmological Structures of the Chinese Academy of Sciences; NASA(National Aeronautics &amp; Space Administration (NASA))</t>
  </si>
  <si>
    <t>We acknowledge the use of public data from the Swift data archive. We appreciate valuable comments and suggestions by the referee. and thank Prof. Xiang-Yu Wang for helpful discussions. This work is supported by the Swedish National Space Board, the Swedish Research Council, the National Basic Research Program of China (973 Program, Grant No. 2014CB845800), and the National Natural Science Foundation of China (Grant No. 11322328). Liang Li is supported by the Erasmus Mundus Joint Doctorate Program by Grant Number 2013-1471 from the EACEA of the European Commission. X.F.W. acknowledges support by the One-Hundred-Talent Program, the Youth Innovation Promotion Association, and the Strategic Priority Research Program The Emergence of Cosmological Structures (Grant No. XDB09000000) of the Chinese Academy of Sciences. Y.F.H. was supported by the National Natural Science Foundation of China with Grant Nos. 11473012 and 11033002. X.G.W. acknowledges the National Natural Science Foundation of China (Grants 11303005, u1331202). B.Z. acknowledges NASA NNX14AF85G for support.</t>
  </si>
  <si>
    <t>IOP PUBLISHING LTD</t>
  </si>
  <si>
    <t>BRISTOL</t>
  </si>
  <si>
    <t>TEMPLE CIRCUS, TEMPLE WAY, BRISTOL BS1 6BE, ENGLAND</t>
  </si>
  <si>
    <t>0004-637X</t>
  </si>
  <si>
    <t>1538-4357</t>
  </si>
  <si>
    <t>ASTROPHYS J</t>
  </si>
  <si>
    <t>Astrophys. J.</t>
  </si>
  <si>
    <t>10.1088/0004-637X/805/1/13</t>
  </si>
  <si>
    <t>CI8BA</t>
  </si>
  <si>
    <t>WOS:000354991300013</t>
  </si>
  <si>
    <t>Gehre, M; Renpenning, J; Gilevska, T; Qi, HP; Coplen, TB; Meijer, HAJ; Brand, WA; Schimmelmann, A</t>
  </si>
  <si>
    <t>Gehre, Matthias; Renpenning, Julian; Gilevska, Tetyana; Qi, Haiping; Coplen, Tyler B.; Meijer, Harro A. J.; Brand, Willi A.; Schimmelmann, Arndt</t>
  </si>
  <si>
    <t>On-Line Hydrogen-Isotope Measurements of Organic Samples Using Elemental Chromium: An Extension for High Temperature Elemental-Analyzer Techniques</t>
  </si>
  <si>
    <t>ANALYTICAL CHEMISTRY</t>
  </si>
  <si>
    <t>RATIO MASS-SPECTROMETRY; CONVERSION SYSTEMS; DEUTERIUM CONTENT; STABLE HYDROGEN; WATER SAMPLES; PRECISION; H-2; DELTA-O-18; PYROLYSIS; DELTA-H-2</t>
  </si>
  <si>
    <t>The high temperature conversion (HTC) technique using an elemental analyzer with a glassy carbon tube and filling (temperature conversion/elemental analysis, TC/EA) is a widely used method for hydrogen isotopic analysis of water and many solid and liquid organic samples with analysis by isotope-ratio mass spectrometry (IRMS). However, the TC/EA IRMS method may produce inaccurate delta H-2 results, with values deviating by more than 20 mUr (milliurey = 0.001 = 1 parts per thousand) from the true value for some materials. We show that a single-oven, chromium-filled elemental analyzer coupled to an IRMS substantially improves the measurement quality and reliability for hydrogen isotopic compositions of organic substances (Cr-EA method). Hot chromium maximizes the yield of molecular hydrogen in a helium carrier gas by irreversibly and quantitatively scavenging all reactive elements except hydrogen. In contrast, under TC/EA conditions, heteroelements like nitrogen or chlorine (and other halogens) can form hydrogen cyanide (HCN) or hydrogen chloride (HCl) and this can cause isotopic fractionation. The Cr-EA technique thus expands the analytical possibilities for on-line hydrogen-isotope measurements of organic samples significantly. This method yielded reproducibility values (1-sigma) for delta H-2 measurements on water and caffeine samples of better than 1.0 and 0.5 mUr, respectively. To overcome handling problems with water as the principal calibration anchor for hydrogen isotopic measurements, we have employed an effective and simple strategy using reference waters or other liquids sealed in silver-tube segments. These crimped silver tubes can be employed in both the Cr-EA and TC/EA techniques. They simplify considerably the normalization of hydrogen-isotope measurement data to the VSMOW-SLAP (Vienna Standard Mean Ocean Water-Standard Light Antarctic Precipitation) scale, and their use improves accuracy of the data by eliminating evaporative loss and associated isotopic fractionation while handling water as a bulk sample. The calibration of organic samples, commonly having high delta H-2 values, will benefit from the availability of suitably H-2-enriched reference waters, extending the VSMOW-SLAP scale above zero.</t>
  </si>
  <si>
    <t>[Gehre, Matthias; Renpenning, Julian; Gilevska, Tetyana] UFZ Helmholtz Ctr Environm Res, Dept Isotope Biogeochem, D-04318 Leipzig, Germany; [Qi, Haiping; Coplen, Tyler B.] US Geol Survey, Natl Ctr 431, Reston, VA 20192 USA; [Meijer, Harro A. J.] Univ Groningen, Energy &amp; Sustainabil Res Inst Groningen, Ctr Isotope Res CIO, NL-9747 AG Groningen, Netherlands; [Brand, Willi A.] Max Planck Inst Biogeochem, D-07701 Jena, Germany; [Schimmelmann, Arndt] Indiana Univ, Dept Geol Sci, Bloomington, IN 47405 USA</t>
  </si>
  <si>
    <t>Helmholtz Association; Helmholtz Center for Environmental Research (UFZ); United States Department of the Interior; United States Geological Survey; University of Groningen; Max Planck Society; Indiana University System; Indiana University Bloomington</t>
  </si>
  <si>
    <t>Gehre, M (corresponding author), UFZ Helmholtz Ctr Environm Res, Dept Isotope Biogeochem, Permoserstr 15, D-04318 Leipzig, Germany.</t>
  </si>
  <si>
    <t>matthias.gehre@ufz.de</t>
  </si>
  <si>
    <t>Meijer, Harro A J/A-5787-2012; Brand, Willi A./D-2043-2009</t>
  </si>
  <si>
    <t>Meijer, Harro A.J./0000-0001-8744-5632; Gilevska, Tetyana/0000-0002-0631-0937; Renpenning, Julian/0000-0002-5487-1640</t>
  </si>
  <si>
    <t>U.S. National Science Foundation [EAR-1052927]; European Union [PITN-GA-2010-264329]; U.S. Geological Survey</t>
  </si>
  <si>
    <t>U.S. National Science Foundation(National Science Foundation (NSF)); European Union(European Union (EU)); U.S. Geological Survey(United States Geological Survey)</t>
  </si>
  <si>
    <t>The authors thank Kinga Revesz (U.S. Geological Survey) for constructive comments on this manuscript. This work was inspired by a collaborative ring-test project, organized by A. Schimmelmann, IAEA, and USGS, to develop internationally distributed, organic hydrogen stable isotopic reference materials (partially funded by the U.S. National Science Foundation, grant EAR-1052927, PI A. Schimmelmann). The research in Leipzig has been financially supported in part by the European Union under the seventh Framework Programs (project acronym CSI: ENVIRONMENT, contract number PITN-GA-2010-264329). The support of the U.S. Geological Survey National Research Program made this report possible. Any use of trade, firm, or product names is for descriptive purposes only and does not imply endorsement by the U.S. Government.</t>
  </si>
  <si>
    <t>AMER CHEMICAL SOC</t>
  </si>
  <si>
    <t>1155 16TH ST, NW, WASHINGTON, DC 20036 USA</t>
  </si>
  <si>
    <t>0003-2700</t>
  </si>
  <si>
    <t>1520-6882</t>
  </si>
  <si>
    <t>ANAL CHEM</t>
  </si>
  <si>
    <t>Anal. Chem.</t>
  </si>
  <si>
    <t>MAY 19</t>
  </si>
  <si>
    <t>10.1021/acs.analchem.5b00085</t>
  </si>
  <si>
    <t>Chemistry, Analytical</t>
  </si>
  <si>
    <t>Chemistry</t>
  </si>
  <si>
    <t>CI8YN</t>
  </si>
  <si>
    <t>WOS:000355057700027</t>
  </si>
  <si>
    <t>Kohler, TJ; Kopalová, K; Van De Vijver, B; Kociolek, JP</t>
  </si>
  <si>
    <t>Kohler, Tyler J.; Kopalova, Katerina; Van De Vijver, Bart; Kociolek, J. Patrick</t>
  </si>
  <si>
    <t>The genus Luticola DGMann (Bacillariophyta) from the McMurdo Sound Region, Antarctica, with the description of four new species</t>
  </si>
  <si>
    <t>PHYTOTAXA</t>
  </si>
  <si>
    <t>biogeography; Cape Royds; diatom taxonomy; Dry Valleys; microbial mats; Ross Island</t>
  </si>
  <si>
    <t>JAMES-ROSS-ISLAND; SOUTH SHETLAND ISLANDS; FRESH-WATER; DRY VALLEYS; TAXA BACILLARIOPHYTA; DIATOM COMMUNITIES; LIVINGSTON ISLAND; BYERS PENINSULA; TAYLOR VALLEY; SP NOV.</t>
  </si>
  <si>
    <t>A revision of the freshwater diatom genus Luticola from the McMurdo Sound Region, including the McMurdo Dry Valleys and Cape Royds, Antarctica, was made to contribute to a consistent flora for the entire Antarctic Region. Detailed light and scanning electron microscopic observations, review of pertinent literature, and examination of historical and type material lead to the identification of 12 Luticola species. Four new species and one new combination are proposed, including L. bradyi sp. nov., L. spainiae, sp. nov., L. macknightiae, sp. nov., L. transantarctica, sp. nov., and L. elegans, comb. nov. stat. nov. Several of these taxa were previously identified as part of the L. muticopsis (Van Heurck) D.G.Mann complex; Navicula muticopsis f. evoluta W. &amp; G.S. West, L. muticopsis f. reducta (W. &amp; G.S. West) Spaulding, and N. muticopsis f. capitata Carlson, or mistaken for the similar L. mutica (Kutzing) D.G. Mann and L. cohnii (Hilse) D.G. Mann. Morphological features of all new species were compared to the closest morphologically similar taxa, and their ecology and biogeography are discussed. All Luticola species considered here show restricted Antarctic distributions, and 8 of the 12 reported species are known only from the Antarctic continent.</t>
  </si>
  <si>
    <t>[Kohler, Tyler J.] Univ Colorado, Inst Arctic &amp; Alpine Res, Boulder, CO 80309 USA; [Kopalova, Katerina] Charles Univ Prague, Fac Sci, Dept Ecol, CR-12844 Prague 2, Czech Republic; [Van De Vijver, Bart] Bot Garden Meise, Dept Bryophyta &amp; Thallophyta, B-1860 Meise, Belgium; [Van De Vijver, Bart] Univ Antwerp, Dept Biol ECOBE, B-2610 Antwerp, Belgium; [Kociolek, J. Patrick] Univ Colorado, Museum Nat Hist, Boulder, CO 80309 USA; [Kociolek, J. Patrick] Univ Colorado, Dept Ecol &amp; Evolutionary Biol, Boulder, CO 80309 USA</t>
  </si>
  <si>
    <t>University of Colorado System; University of Colorado Boulder; Charles University Prague; University of Antwerp; University of Colorado System; University of Colorado Boulder; University of Colorado System; University of Colorado Boulder</t>
  </si>
  <si>
    <t>Kohler, TJ (corresponding author), Univ Colorado, Inst Arctic &amp; Alpine Res, Boulder, CO 80309 USA.</t>
  </si>
  <si>
    <t>tyler.j.kohler@gmail.com</t>
  </si>
  <si>
    <t>Kohler, Tyler J/I-5472-2016; Kohler, Tyler Joe/IUO-5352-2023; Kopalova, Katerina/M-6207-2017</t>
  </si>
  <si>
    <t>Kohler, Tyler Joe/0000-0001-5137-4844; Kopalova, Katerina/0000-0002-7905-4268</t>
  </si>
  <si>
    <t>MCMLTER [OPP-1115245]; NSF Antarctic Organisms and Ecosystems Program Award [0839020]; BELSPO CCAMBIO project; Nadani Josefa, Maria a Zdenky Hlavkovych; Nadace Cesky literarni fond; Distributed European School of Taxonomy; Botanic Garden Meise; University of Colorado Museum of Natural History; Directorate For Geosciences; Office of Polar Programs (OPP) [1115245] Funding Source: National Science Foundation; Division Of Ocean Sciences; Directorate For Geosciences [0839020] Funding Source: National Science Foundation</t>
  </si>
  <si>
    <t>MCMLTER; NSF Antarctic Organisms and Ecosystems Program Award(National Science Foundation (NSF)NSF - Directorate for Geosciences (GEO)); BELSPO CCAMBIO project; Nadani Josefa, Maria a Zdenky Hlavkovych; Nadace Cesky literarni fond; Distributed European School of Taxonomy; Botanic Garden Meise; University of Colorado Museum of Natural History; Directorate For Geosciences; Office of Polar Programs (OPP)(National Science Foundation (NSF)NSF - Directorate for Geosciences (GEO)); Division Of Ocean Sciences; Directorate For Geosciences(National Science Foundation (NSF)NSF - Directorate for Geosciences (GEO))</t>
  </si>
  <si>
    <t>We would like to thank Lee Stanish, Chris Jaros, Elena Jovanovska, Zlatko Levkov, Jean Pennycook, Amy Chiuchiolo, and Aneliya Sakaeva for assistance in the field, laboratory, and with identifications. Thanks also to Sarah Spaulding, Joshua Stepanek, Myriam de Haan, Alex Ball, and the staff of the IAC laboratory at the Natural History Museum for help with the scanning electron microscopy. The Distributed European School of Taxonomy, the Botanic Garden Meise, and The University of Colorado Museum of Natural History provided training, funding and support. A big thanks to David Williams from the Natural History Museum of London for allowing us to examine the original West &amp; West slides. Funding was provided by the MCMLTER (OPP-1115245), NSF Antarctic Organisms and Ecosystems Program Award (0839020), and the BELSPO CCAMBIO project to visit the National History Museum in London, UK. Katerina Kopalova received financial support from Nadani Josefa, Maria a Zdenky Hlavkovych and Nadace Cesky literarni fond for her travel to the USA. Comments from the editor and two anonymous reviewers greatly improved the manuscript.</t>
  </si>
  <si>
    <t>PO BOX 41383, AUCKLAND, ST LUKES 1030, NEW ZEALAND</t>
  </si>
  <si>
    <t>1179-3155</t>
  </si>
  <si>
    <t>1179-3163</t>
  </si>
  <si>
    <t>Phytotaxa</t>
  </si>
  <si>
    <t>10.11646/phytotaxa.208.2.1</t>
  </si>
  <si>
    <t>Plant Sciences</t>
  </si>
  <si>
    <t>CI8AR</t>
  </si>
  <si>
    <t>WOS:000354990300001</t>
  </si>
  <si>
    <t>Perol, T; Rice, JR</t>
  </si>
  <si>
    <t>Perol, Thibaut; Rice, James R.</t>
  </si>
  <si>
    <t>Shear heating and weakening of the margins of West Antarctic ice streams</t>
  </si>
  <si>
    <t>ice streams; shear margins; West Antarctica; temperate ice; triple-valued law</t>
  </si>
  <si>
    <t>MIGRATION; ACCUMULATION; MECHANICS; DYNAMICS; COLLAPSE; MODEL; FLOW</t>
  </si>
  <si>
    <t>Ice streams are fast flowing bands of ice separated from stagnant ridges by shear margins. The mechanisms controlling the location of the margins remain unclear. We use published ice deformation data and a simple one-dimensional thermal model to show that West Antarctic ice stream margins have temperate ice over a substantial fraction of their thickness, a condition that may control their width. The model predicts a triple-valued relation between the thickness-averaged lateral shear stress and the lateral shear strain rate. Observed strain rates at the margins imply that they support slightly less lateral shear stress than adjacent ice within the stream. This requires enhanced basal resistance near the margin. We suggest, in agreement with the limited observations, the presence of a channelized drainage system at the margin that reduces the pore fluid pressure at the ice-till interface, thus increasing the shear stress acting on the yielding Coulomb plastic bed.</t>
  </si>
  <si>
    <t>[Perol, Thibaut; Rice, James R.] Harvard Univ, Sch Engn &amp; Appl Sci, Cambridge, MA 02138 USA; [Rice, James R.] Harvard Univ, Dept Earth &amp; Planetary Sci, Cambridge, MA 02138 USA</t>
  </si>
  <si>
    <t>Harvard University; Harvard University</t>
  </si>
  <si>
    <t>Perol, T (corresponding author), Harvard Univ, Sch Engn &amp; Appl Sci, Cambridge, MA 02138 USA.</t>
  </si>
  <si>
    <t>tperol@seas.harvard.edu</t>
  </si>
  <si>
    <t>Rice, James R./0000-0001-6151-4310</t>
  </si>
  <si>
    <t>National Science Foundation through the Office of Polar Programs [1341499]; [ANT-0739444]; Directorate For Geosciences; Office of Polar Programs (OPP) [1341499] Funding Source: National Science Foundation</t>
  </si>
  <si>
    <t>National Science Foundation through the Office of Polar Programs; ; Directorate For Geosciences; Office of Polar Programs (OPP)(National Science Foundation (NSF)NSF - Directorate for Geosciences (GEO))</t>
  </si>
  <si>
    <t>This research was supported by the National Science Foundation through the Office of Polar Programs award 1341499, and previously grant ANT-0739444. The authors thank Timonthy Creyts, Ian Hewitt, Ian Joughin, Richard Katz, Teresa Kyrke-Smith, Colin Meyer, John Platt, Christian Schoof, and Jenny Suckale for fruitful discussions and two anonymous reviewers for helpful comments. The data used are available in Joughin et al. [2002].</t>
  </si>
  <si>
    <t>MAY 16</t>
  </si>
  <si>
    <t>10.1002/2015GL063638</t>
  </si>
  <si>
    <t>CK0EM</t>
  </si>
  <si>
    <t>WOS:000355878300043</t>
  </si>
  <si>
    <t>Laakso, H; Santolik, O; Horne, R; Kolmasová, I; Escoubet, P; Masson, A; Taylor, M</t>
  </si>
  <si>
    <t>Laakso, Harri; Santolik, Ondrej; Horne, Richard; Kolmasova, Ivana; Escoubet, Philippe; Masson, Arnaud; Taylor, Matthew</t>
  </si>
  <si>
    <t>Identifying the source region of plasmaspheric hiss</t>
  </si>
  <si>
    <t>plasmaspheric hiss; plasmaspheric plumes; plasmasphere</t>
  </si>
  <si>
    <t>STATISTICAL-ANALYSIS; CLUSTER; PROPAGATION; CHORUS; PLASMAPAUSE; LOCATION; DENSITY; PLUMES; ORIGIN; MODEL</t>
  </si>
  <si>
    <t>The presence of the plasmaspheric hiss emission around the Earth has been known for more than 50years, but its origin has remained unknown in terms of source location and mechanism. The hiss, made of whistler mode waves, exists for most of the time in the plasmasphere and is believed to control the radiation belt surrounding the Earth which makes its understanding very important. This paper presents direct observational evidence that the plasmaspheric hiss originates in the equatorial region of the plasmaspheric drainage plumes. It shows that the emissions propagate along the magnetic field lines and away from the equator in the plumes but toward the equator at lower L shells inside the plasmasphere. The observations also suggest that the hiss waves inside the plasmasphere are absorbed as they cross the equator.</t>
  </si>
  <si>
    <t>[Laakso, Harri; Escoubet, Philippe; Taylor, Matthew] European Space Agcy, Estec, NL-2200 AG Noordwijk, Netherlands; [Santolik, Ondrej] Inst Atmospher Phys CAS, Prague, Czech Republic; [Horne, Richard] British Antarctic Survey, Nat Environm Res Council, Cambridge CB3 0ET, England; [Kolmasova, Ivana] Charles Univ Prague, Fac Math &amp; Phys, Prague, Czech Republic; [Masson, Arnaud] European Space Agcy, ESAC, Madrid, Spain</t>
  </si>
  <si>
    <t>European Space Agency; Czech Academy of Sciences; Institute of Atmospheric Physics of the Czech Academy of Sciences; UK Research &amp; Innovation (UKRI); Natural Environment Research Council (NERC); NERC British Antarctic Survey; Charles University Prague; European Space Agency</t>
  </si>
  <si>
    <t>Laakso, H (corresponding author), European Space Agcy, Estec, NL-2200 AG Noordwijk, Netherlands.</t>
  </si>
  <si>
    <t>harri.laakso@esa.int</t>
  </si>
  <si>
    <t>Kolmasova, Ivana/H-6191-2014; Horne, Richard B/U-3764-2019; Kolmasova, Ivana/AAC-3569-2020; Santolik, Ondrej/F-7766-2014</t>
  </si>
  <si>
    <t>Kolmasova, Ivana/0000-0002-1704-3846; Horne, Richard B/0000-0002-0412-6407; Kolmasova, Ivana/0000-0002-1704-3846; Santolik, Ondrej/0000-0002-4891-9273; Masson, Arnaud/0000-0002-5602-1957</t>
  </si>
  <si>
    <t>NERC [bas0100031] Funding Source: UKRI; Natural Environment Research Council [bas0100031] Funding Source: researchfish</t>
  </si>
  <si>
    <t>NERC(UK Research &amp; Innovation (UKRI)Natural Environment Research Council (NERC)); Natural Environment Research Council(UK Research &amp; Innovation (UKRI)Natural Environment Research Council (NERC))</t>
  </si>
  <si>
    <t>10.1002/2015GL063755</t>
  </si>
  <si>
    <t>Bronze, Green Accepted</t>
  </si>
  <si>
    <t>WOS:000355878300010</t>
  </si>
  <si>
    <t>Forryan, A; Garabato, ACN; Polzin, KL; Waterman, S</t>
  </si>
  <si>
    <t>Forryan, Alexander; Garabato, Alberto C. Naveira; Polzin, Kurt L.; Waterman, Stephanie</t>
  </si>
  <si>
    <t>Rapid injection of near-inertial shear into the stratified upper ocean at an Antarctic Circumpolar Current front</t>
  </si>
  <si>
    <t>upper ocean; restratification; near-inertial shear</t>
  </si>
  <si>
    <t>MIXED-LAYER EDDIES; KINETIC-ENERGY; WIND; DISSIPATION; PARAMETERIZATION; MESOSCALE; MODELS; RESTRATIFICATION; FRONTOGENESIS; TURBULENCE</t>
  </si>
  <si>
    <t>The impact on the upper ocean of the passage of a short, intense storm over a Southern Ocean site, in proximity to an Antarctic Circumpolar Current front, is characterized. The storm causes a wind-induced deepening of the mixed layer and generates an inertial current. Immediate poststorm observations indicate a mixed layer extending to approximately 50m depth. Subsequent measurements show the upper ocean to have restratified, injecting near-inertial shear in stratified waters within 1day of the storm's passage. This time scale for the development of near-inertial shear is 1 order of magnitude shorter than that predicted by the dispersion paradigm. The observed rapid changes in upper ocean stratification point to the existence of an as yet undocumented, efficient mechanism for injection of near-inertial shear into the stratified ocean that is in turn associated with enhanced turbulence and mixing.</t>
  </si>
  <si>
    <t>[Forryan, Alexander; Garabato, Alberto C. Naveira; Waterman, Stephanie] Univ Southampton, Natl Oceanog Ctr, Southampton, Hants, England; [Polzin, Kurt L.] Woods Hole Oceanog Inst, Woods Hole, MA 02543 USA; [Waterman, Stephanie] Univ New S Wales, Climate Change Res Ctr, Sydney, NSW, Australia; [Waterman, Stephanie] Univ New S Wales, ARC Ctr Excellence Climate Syst Sci, Sydney, NSW, Australia; [Waterman, Stephanie] Univ British Columbia, Dept Earth Ocean &amp; Atmospher Sci, Vancouver, BC V5Z 1M9, Canada</t>
  </si>
  <si>
    <t>University of Southampton; NERC National Oceanography Centre; Woods Hole Oceanographic Institution; University of New South Wales Sydney; University of New South Wales Sydney; ARC Centre of Excellence for Climate System Science; University of British Columbia</t>
  </si>
  <si>
    <t>Forryan, A (corresponding author), Univ Southampton, Natl Oceanog Ctr, Southampton, Hants, England.</t>
  </si>
  <si>
    <t>af1c10@soton.ac.uk</t>
  </si>
  <si>
    <t>Waterman, Stephanie/AAY-6033-2020; Garabato, Alberto Naveira/AAQ-1114-2020</t>
  </si>
  <si>
    <t>Waterman, Stephanie/0000-0001-5797-1092; Garabato, Alberto Naveira/0000-0001-6071-605X</t>
  </si>
  <si>
    <t>UK Natural Environmental Research Council (NERC) [NE/G001510/1]; Natural Environment Research Council [NE/G001510/1, NE/G001502/1, NE/B503717/1, NE/E007058/1, NE/I019999/1] Funding Source: researchfish; NERC [NE/I019999/1, NE/B503717/1, NE/G001510/1, NE/G001502/1, NE/E007058/1] Funding Source: UKRI</t>
  </si>
  <si>
    <t>UK Natural Environmental Research Council (NERC)(UK Research &amp; Innovation (UKRI)Natural Environment Research Council (NERC)); Natural Environment Research Council(UK Research &amp; Innovation (UKRI)Natural Environment Research Council (NERC)); NERC(UK Research &amp; Innovation (UKRI)Natural Environment Research Council (NERC))</t>
  </si>
  <si>
    <t>The authors wish to thank the officers, crew, and entire scientific compliment aboard the RRS James Cook during cruise JC29. The SOFine project is funded by the UK Natural Environmental Research Council (NERC) (grant NE/G001510/1). The data used in the preparation of this manuscript are available on request from The British Oceanographic Data Centre (http://www.bodc.ac.uk).</t>
  </si>
  <si>
    <t>10.1002/2015GL063494</t>
  </si>
  <si>
    <t>Green Published, Green Accepted</t>
  </si>
  <si>
    <t>WOS:000355878300046</t>
  </si>
  <si>
    <t>Sheen, KL; Brearley, JA; Garabato, ACN; Smeed, DA; St Laurent, L; Meredith, MP; Thurnherr, AM; Waterman, SN</t>
  </si>
  <si>
    <t>Sheen, K. L.; Brearley, J. A.; Garabato, A. C. Naveira; Smeed, D. A.; St Laurent, L.; Meredith, M. P.; Thurnherr, A. M.; Waterman, S. N.</t>
  </si>
  <si>
    <t>Modification of turbulent dissipation rates by a deep Southern Ocean eddy</t>
  </si>
  <si>
    <t>mixing; eddy; turbulent dissipation; internal waves; Southern Ocean; ray tracing</t>
  </si>
  <si>
    <t>INTERNAL GRAVITY-WAVES; ANTARCTIC CIRCUMPOLAR CURRENT; DRAKE PASSAGE; MESOSCALE EDDY; CRITICAL LAYER; SHEAR FLOW; PROPAGATION; DIFFUSION; CAPTURE; TRACER</t>
  </si>
  <si>
    <t>The impact of a mesoscale eddy on the magnitude and spatial distribution of diapycnal ocean mixing is investigated using a set of hydrographic and microstructure measurements collected in the Southern Ocean. These data sampled a baroclinic, middepth eddy formed during the disintegration of a deep boundary current. Turbulent dissipation is suppressed within the eddy but is elevated by up to an order of magnitude along the upper and lower eddy boundaries. A ray tracing approximation is employed as a heuristic device to elucidate how the internal wave field evolves in the ambient velocity and stratification conditions accompanying the eddy. These calculations are consistent with the observations, suggesting reflection of internal wave energy from the eddy center and enhanced breaking through critical layer processes along the eddy boundaries. These results have important implications for understanding where and how internal wave energy is dissipated in the presence of energetic deep geostrophic flows.</t>
  </si>
  <si>
    <t>[Sheen, K. L.; Brearley, J. A.; Garabato, A. C. Naveira] Univ Southampton, Ocean &amp; Earth Sci, Southampton, Hants, England; [Brearley, J. A.; Meredith, M. P.] British Antarctic Survey, Cambridge CB3 0ET, England; [Smeed, D. A.] Natl Oceanog Ctr, Southampton, Hants, England; [St Laurent, L.] Woods Hole Oceanog Inst, Woods Hole, MA 02543 USA; [Meredith, M. P.] Scottish Assoc Marine Sci, Oban, Argyll, Scotland; [Thurnherr, A. M.] Lamont Doherty Earth Observ, Palisades, NY USA; [Waterman, S. N.] Univ British Columbia, Vancouver, BC V5Z 1M9, Canada</t>
  </si>
  <si>
    <t>University of Southampton; UK Research &amp; Innovation (UKRI); Natural Environment Research Council (NERC); NERC British Antarctic Survey; NERC National Oceanography Centre; Woods Hole Oceanographic Institution; UHI Millennium Institute; Columbia University; University of British Columbia</t>
  </si>
  <si>
    <t>Sheen, KL (corresponding author), Univ Southampton, Ocean &amp; Earth Sci, Southampton, Hants, England.</t>
  </si>
  <si>
    <t>k.sheen@soton.ac.uk</t>
  </si>
  <si>
    <t>Waterman, Stephanie/AAY-6033-2020; Garabato, Alberto Naveira/AAQ-1114-2020; Smeed, David/B-4726-2012; Brearley, Alexander/C-3313-2012</t>
  </si>
  <si>
    <t>Waterman, Stephanie/0000-0001-5797-1092; Garabato, Alberto Naveira/0000-0001-6071-605X; Smeed, David/0000-0003-1740-1778; Meredith, Michael/0000-0002-7342-7756; Brearley, Alexander/0000-0003-3700-8017; Thurnherr, Andreas/0000-0002-1977-7122</t>
  </si>
  <si>
    <t>Natural Environment Research Council (NERC) [NE/E007058/1, NE/E005667/1]; U.S. National Science Foundation [OCE-1231803, OCE-0927583, OCE-1030309]; NERC; Natural Environment Research Council [bas0100033, NE/E005667/1, NE/L011166/1, noc010012, NE/E007058/1, NE/G001502/1] Funding Source: researchfish; NERC [bas0100033, NE/E005667/1, NE/L011166/1, NE/E007058/1, NE/G001502/1] Funding Source: UKRI</t>
  </si>
  <si>
    <t>Natural Environment Research Council (NERC)(UK Research &amp; Innovation (UKRI)Natural Environment Research Council (NERC)); U.S. National Science Foundation(National Science Foundation (NSF)); NERC(UK Research &amp; Innovation (UKRI)Natural Environment Research Council (NERC)); Natural Environment Research Council(UK Research &amp; Innovation (UKRI)Natural Environment Research Council (NERC)); NERC(UK Research &amp; Innovation (UKRI)Natural Environment Research Council (NERC))</t>
  </si>
  <si>
    <t>DIMES is supported by the Natural Environment Research Council (NERC) grants NE/E007058/1 and NE/E005667/1 and U.S. National Science Foundation grants OCE-1231803, OCE-0927583, and OCE-1030309. K.L.S. and J.A.B. are supported by NERC. All data used in this study are available by communication with the author and will be archived at British Oceanographic Data Centre shortly. We are grateful to A. Bogdanoff, K. Decoteau, X. Liang, and J.B. Sallee for their help in data collection and the efforts of the officers, crew, and technicians of RRS James Cook. We also thank the two anonymous reviewers for their helpful comments and suggestions.</t>
  </si>
  <si>
    <t>10.1002/2015GL063216</t>
  </si>
  <si>
    <t>Green Accepted, Green Published</t>
  </si>
  <si>
    <t>WOS:000355878300048</t>
  </si>
  <si>
    <t>Sato, M; Ushio, T; Morimoto, T; Kikuchi, M; Kikuchi, H; Adachi, T; Suzuki, M; Yamazaki, A; Takahashi, Y; Inan, U; Linscott, I; Ishida, R; Sakamoto, Y; Yoshida, K; Hobara, Y; Sano, T; Abe, T; Nakamura, M; Oda, H; Kawasaki, ZI</t>
  </si>
  <si>
    <t>Sato, M.; Ushio, T.; Morimoto, T.; Kikuchi, M.; Kikuchi, H.; Adachi, T.; Suzuki, M.; Yamazaki, A.; Takahashi, Y.; Inan, U.; Linscott, I.; Ishida, R.; Sakamoto, Y.; Yoshida, K.; Hobara, Y.; Sano, T.; Abe, T.; Nakamura, M.; Oda, H.; Kawasaki, Z. -I.</t>
  </si>
  <si>
    <t>Overview and early results of the Global Lightning and Sprite Measurements mission</t>
  </si>
  <si>
    <t>lightning; TLEs; thunderstorm; whistler; VHF; ISS</t>
  </si>
  <si>
    <t>TRANSIENT LUMINOUS EVENTS; AIRCRAFT CAMPAIGN; ELF TRANSIENTS; MAPPING ARRAY; CLOUD; SPACE; SATELLITE; TRIANGULATION; ELVES; VHF</t>
  </si>
  <si>
    <t>Global Lightning and Sprite Measurements on Japanese Experiment Module (JEM-GLIMS) is a space mission to conduct the nadir observations of lightning discharges and transient luminous events (TLEs). The main objectives of this mission are to identify the horizontal distribution of TLEs and to solve the occurrence conditions determining the spatial distribution. JEM-GLIMS was successfully launched and started continuous nadir observations in 2012. The global distribution of the detected lightning events shows that most of the events occurred over continental regions in the local summer hemisphere. In some events, strong far-ultraviolet emissions have been simultaneously detected with N-2 1P and 2P emissions by the spectrophotometers, which strongly suggest the occurrence of TLEs. Especially, in some of these events, no significant optical emission was measured by the narrowband filter camera, which suggests the occurrence of elves, not sprites. The VLF receiver also succeeded in detecting lightning whistlers, which show clear falling-tone frequency dispersion. Based on the optical data, the time delay from the detected lightning emission to the whistlers was identified as approximate to 10ms, which can be reasonably explained by the wave propagation with the group velocity of whistlers. The VHF interferometer conducted the spaceborne interferometric observations and succeeded in detecting VHF pulses. We observed that the VHF pulses are likely to be excited by the lightning discharge possibly related with in-cloud discharges and measured with the JEM-GLIMS optical instruments. Thus, JEM-GLIMS provides the first full set of optical and electromagnetic data of lightning and TLEs obtained by nadir observations from space.</t>
  </si>
  <si>
    <t>[Sato, M.; Takahashi, Y.] Hokkaido Univ, Fac Sci, Sapporo, Hokkaido 060, Japan; [Ushio, T.; Kikuchi, H.; Kawasaki, Z. -I.] Osaka Univ, Fac Engn, Suita, Osaka 565, Japan; [Morimoto, T.] Kinki Univ, Fac Sci &amp; Engn, Higashiosaka, Osaka 577, Japan; [Kikuchi, M.] Natl Inst Polar Res, Tachikawa, Tokyo, Japan; [Adachi, T.] Japan Meteorol Agcy, Meteorol Res Inst, Tsukuba, Ibaraki, Japan; [Suzuki, M.; Yamazaki, A.; Sano, T.; Abe, T.; Nakamura, M.] JAXA, Inst Space &amp; Astronaut Sci, Sagamihara, Kanagawa, Japan; [Inan, U.; Linscott, I.] Stanford Univ, Dept Elect Engn, Stanford, CA 94305 USA; [Ishida, R.] Osaka Prefecture Univ, Fac Engn, Sakai, Osaka 591, Japan; [Sakamoto, Y.; Yoshida, K.] Tohoku Univ, Dept Engn, Sendai, Miyagi 980, Japan; [Hobara, Y.] Univ Electrocommun, Fac Informat &amp; Engn, Chofu, Tokyo, Japan; [Oda, H.] JAXA, Human Spaceflight Miss Directorate, Tsukuba, Ibaraki, Japan</t>
  </si>
  <si>
    <t>Hokkaido University; Osaka University; Kindai University (Kinki University); Research Organization of Information &amp; Systems (ROIS); National Institute of Polar Research (NIPR) - Japan; Meteorological Research Institute - Japan; Japan Meteorological Agency; Japan Aerospace Exploration Agency (JAXA); Institute of Space &amp; Astronautical Science (ISAS); Stanford University; Osaka Metropolitan University; Tohoku University; University of Electro-Communications - Japan; Japan Aerospace Exploration Agency (JAXA)</t>
  </si>
  <si>
    <t>Sato, M (corresponding author), Hokkaido Univ, Fac Sci, Sapporo, Hokkaido 060, Japan.</t>
  </si>
  <si>
    <t>msato@ep.sci.hokudai.ac.jp</t>
  </si>
  <si>
    <t>SAKAMOTO, YUJI/AAE-1520-2019; Inan, Umran/V-3634-2019; Yoshida, Kazuya/AAC-3248-2019; Adachi, Toru/AFQ-3773-2022; MORIMOTO, Takeshi/IQT-3984-2023; Ushio, Tomoo/G-6915-2011</t>
  </si>
  <si>
    <t>Inan, Umran/0000-0001-5837-5807; Yoshida, Kazuya/0000-0003-3889-5877; Adachi, Toru/0000-0003-0325-1844; MORIMOTO, Takeshi/0000-0002-4715-8003; Ushio, Tomoo/0000-0001-8705-7672; SATO, Mitsuteru/0000-0002-1908-6663</t>
  </si>
  <si>
    <t>JSPS KAKENHI [24340117]; MEXT KAKENHI [19002002]; Grants-in-Aid for Scientific Research [19002002] Funding Source: KAKEN</t>
  </si>
  <si>
    <t>JSPS KAKENHI(Ministry of Education, Culture, Sports, Science and Technology, Japan (MEXT)Japan Society for the Promotion of ScienceGrants-in-Aid for Scientific Research (KAKENHI)); MEXT KAKENHI(Ministry of Education, Culture, Sports, Science and Technology, Japan (MEXT)Japan Society for the Promotion of ScienceGrants-in-Aid for Scientific Research (KAKENHI)); Grants-in-Aid for Scientific Research(Ministry of Education, Culture, Sports, Science and Technology, Japan (MEXT)Japan Society for the Promotion of ScienceGrants-in-Aid for Scientific Research (KAKENHI))</t>
  </si>
  <si>
    <t>This work was supported by JSPS KAKENHI Grant-in-Aid for Scientific Research (B) 24340117 and MEXT KAKENHI Grant-in-Aid for Specially Promoted Research 19002002. This work complies with the AGU data policy; JEM-GLIMS and Syowa ELF data presented in this study are available upon request from the corresponding author, Mitsuteru Sato (msato@ep.sci.hokudai.ac.jp). All data analyses were performed using the Interactive Data Language (IDL) version 8.2. The authors thank AD Co., Ltd., Yucaly Optics Co., Ltd., Meisei Electric Co., Ltd., Dainichi Denshi Co., Ltd., Advanced Engineering Services Co., Ltd., Japan Communication Equipment Co., Ltd., Kawasaki Technology Co., Ltd., and IHI Aerospace Co., Ltd for the development of the JEM-GLIMS systems. The authors acknowledge JAXA's full support for the JEM-GLIMS continuous operation and data acquisition. We wish to thank the party of Japanese Antarctic Research Expedition (JARE) and National Institute of Polar Research (NIPR) for the continuous support of ELF observations at Syowa station in Antarctica. The authors thank Yoav Yair and two other anonymous reviewers for their comments and suggestions for improving this paper.</t>
  </si>
  <si>
    <t>10.1002/2014JD022428</t>
  </si>
  <si>
    <t>CJ8IY</t>
  </si>
  <si>
    <t>WOS:000355744800015</t>
  </si>
  <si>
    <t>Mauz, B; Ruggieri, G; Spada, G</t>
  </si>
  <si>
    <t>Mauz, Barbara; Ruggieri, Gabriella; Spada, Giorgio</t>
  </si>
  <si>
    <t>Terminal Antarctic melting inferred from a far-field coastal site</t>
  </si>
  <si>
    <t>QUATERNARY SCIENCE REVIEWS</t>
  </si>
  <si>
    <t>Sea-level highstand; Holocene; Antarctic; Continental levering</t>
  </si>
  <si>
    <t>RELATIVE SEA-LEVEL; ICE-SHEET; LAST DEGLACIATION; MEDITERRANEAN SEA; MIDDLE HOLOCENE; EVOLUTION; RISE; VOLUME; NORTH; DELTA</t>
  </si>
  <si>
    <t>The contribution of the Antarctic ice sheet (AIS) to deglacial sea-level rise is poorly constrained. This shortfall gives rise to concerns because incorrect AIS estimates impact significantly on our ability to predict sea-level change in the course of global warming. Given the scarcity of geological data and the complexity of the Antarctic response to glacio-isostatic adjustment processes, there is a need for accurate data to constrain the timing of the ice-sheet retreat. Here, we provide such data on the Holocene Antarctic melting through an isolated geographic site on the northern hemisphere, which we show is sensitive to the Antarctic signal. Using both our site, and other mid-latitudinal relative sea-level sites, our model provides a consensus estimate that the AIS released water corresponding to 5 m equivalent sea level at 8 ka and ceased melting at 6 ka. This is different to most AIS models, which release an equal amount of water at 11 ka or after 6 ka. Our findings change model assumptions about the terminal AIS melting and show that future Holocene sea-level research should focus on broad shelves and large coast embayments in the mid latitudes. (C) 2015 Elsevier Ltd. All rights reserved.</t>
  </si>
  <si>
    <t>[Mauz, Barbara] Univ Liverpool, Sch Environm Sci, Liverpool, Merseyside, England; [Ruggieri, Gabriella; Spada, Giorgio] Univ Urbino, Dipartimento Sci Base &amp; Fondamenti, I-61029 Urbino, Italy</t>
  </si>
  <si>
    <t>University of Liverpool; University of Urbino</t>
  </si>
  <si>
    <t>Mauz, B (corresponding author), Univ Liverpool, Sch Environm Sci, Liverpool, Merseyside, England.</t>
  </si>
  <si>
    <t>mauz@liv.ac.uk</t>
  </si>
  <si>
    <t>Spada, Giorgio/0000-0001-7615-4709</t>
  </si>
  <si>
    <t>MedCLIVAR exchange grant [EG/3499]; Programma Nazionale di Ricerche in Antartide (PNRA) [CUP D32I14000230005]</t>
  </si>
  <si>
    <t>MedCLIVAR exchange grant; Programma Nazionale di Ricerche in Antartide (PNRA)</t>
  </si>
  <si>
    <t>We are grateful to Dr Noureddine Elmejdoub for his support in the field and to Susan Packman for her support in the laboratory. GR acknowledges support by a MedCLIVAR exchange grant (EG/3499) and GS is grateful for support through the Programma Nazionale di Ricerche in Antartide (PNRA) (CUP D32I14000230005). This work benefitted from discussions with Anthony Long and a thorough review by Mark Tamisiea.</t>
  </si>
  <si>
    <t>PERGAMON-ELSEVIER SCIENCE LTD</t>
  </si>
  <si>
    <t>OXFORD</t>
  </si>
  <si>
    <t>THE BOULEVARD, LANGFORD LANE, KIDLINGTON, OXFORD OX5 1GB, ENGLAND</t>
  </si>
  <si>
    <t>0277-3791</t>
  </si>
  <si>
    <t>1873-457X</t>
  </si>
  <si>
    <t>QUATERNARY SCI REV</t>
  </si>
  <si>
    <t>Quat. Sci. Rev.</t>
  </si>
  <si>
    <t>MAY 15</t>
  </si>
  <si>
    <t>10.1016/j.quascirev.2015.03.008</t>
  </si>
  <si>
    <t>Geography, Physical; Geosciences, Multidisciplinary</t>
  </si>
  <si>
    <t>Physical Geography; Geology</t>
  </si>
  <si>
    <t>CJ2YP</t>
  </si>
  <si>
    <t>WOS:000355350900009</t>
  </si>
  <si>
    <t>Calabozo, FM; Strelin, JA; Orihashi, Y; Sumino, H; Keller, RA</t>
  </si>
  <si>
    <t>Calabozo, Fernando M.; Strelin, Jorge A.; Orihashi, Yuji; Sumino, Hirochika; Keller, Randall A.</t>
  </si>
  <si>
    <t>Volcano-ice-sea interaction in the Cerro Santa Marta area, northwest James Ross Island, Antarctic Peninsula</t>
  </si>
  <si>
    <t>JOURNAL OF VOLCANOLOGY AND GEOTHERMAL RESEARCH</t>
  </si>
  <si>
    <t>Subaqueous volcanism; Neogene; Glacial lithofacies; K-Ar dating; Glaciovolcanism</t>
  </si>
  <si>
    <t>LAVA-FED DELTA; LATE MIOCENE; DENSITY CURRENTS; KILAUEA-VOLCANO; PLIOCENE; DEPOSITS; SEDIMENTATION; STRATIGRAPHY; LITHOFACIES; EMERGENT</t>
  </si>
  <si>
    <t>We present here the results of detailed mapping, lithofacies analysis and stratigraphy of the Neogene James Ross Island Volcanic Group (Antarctic Peninsula) in the Cerro Santa Marta area (northwest of James Ross Island), in order to give constraints on the evolution of a glaciated volcanic island. Our field results included recognition and interpretation of seventeen volcanic and glacial lithofacies, together with their vertical and lateral arrangements, supported by four new unspiked K-Ar ages. This allowed us to conclude that the construction of the volcanic pile in this area took place during two main eruptive stages (Eruptive Stages 1 and 2), separated from the Cretaceous bedrock and from each other by two major glacial unconformities (U1 and U2). The U1 unconformity is related to Antarctic Peninsula Ice sheet expansion during the late Miocene (before 6.2 Ma) and deposition of glacial lithofacies in a glaciomarine setting. Following this glacial advance, Eruptive Stage 1(6.2-4.6 Ma) volcanism started with subaerial extrusion of lava flows from an unrecognized vent north of the study area, with eruptions later fed from vent/s centered at Cerro Santa Marta volcano, where cinder cone deposits and a volcanic conduit/lava lake are preserved. These lava flows fed an extensive (&gt;7 km long) hyaloclastite delta system that was probably emplaced in a shallow marine environment A second unconformity (U2) was related to expansion of a local ice cap, centered on James Ross Island, which truncated all the eruptive units of Eruptive Stage I. Concomitant with glacier advance, renewed volcanic activity (Eruptive Stage 2) started after 4.6 Ma and volcanic products were fed again by Cerro Santa Marta vents. We infer that glaciovolcanic eruptions occurred under a moderately thin (similar to 300 m) glacier, in good agreement with previous estimates of paleo-ice thickness for the James Ross Island area during the Pliocene. (C) 2015 Elsevier B.V. All rights reserved.</t>
  </si>
  <si>
    <t>[Calabozo, Fernando M.; Strelin, Jorge A.] Ctr Invest Ciencias Tierra CICTERRA, Cordoba, Argentina; [Calabozo, Fernando M.] Univ Nacl Cordoba, RA-5000 Cordoba, Argentina; [Strelin, Jorge A.] Inst Antartico Argentin, Direcc Natl Antartico, RA-10001499 Buenos Aires, DF, Argentina; [Orihashi, Yuji] Univ Tokyo, Earthquake Res Inst, Bunkyo Ku, Tokyo 1130032, Japan; [Sumino, Hirochika] Univ Tokyo, Grad Sch Sci, Geochem Res Ctr, Bunkyo Ku, Tokyo 1130033, Japan; [Keller, Randall A.] Oregon State Univ, Dept Geosci, Corvallis, OR 97331 USA</t>
  </si>
  <si>
    <t>Consejo Nacional de Investigaciones Cientificas y Tecnicas (CONICET); National University of Cordoba; National University of Cordoba; Instituto Antartico Argentino; University of Tokyo; University of Tokyo; Oregon State University</t>
  </si>
  <si>
    <t>Calabozo, FM (corresponding author), Ctr Invest Ciencias Tierra CICTERRA, Ciudad Univ,Cordoba X5016CGA, Cordoba, Argentina.</t>
  </si>
  <si>
    <t>fcalabozo@efn.uncor.edu</t>
  </si>
  <si>
    <t>Sumino, Hirochika/G-4912-2014; Orihashi, Yuji/A-3352-2013; Sumino, Hirochika/AAH-2640-2019</t>
  </si>
  <si>
    <t>Orihashi, Yuji/0000-0001-7715-3847; Sumino, Hirochika/0000-0002-4689-6231</t>
  </si>
  <si>
    <t>PICTO, SECyT-CONICET [2002 11573]; Grants-in-Aid for Scientific Research [15H02630] Funding Source: KAKEN</t>
  </si>
  <si>
    <t>PICTO, SECyT-CONICET; Grants-in-Aid for Scientific Research(Ministry of Education, Culture, Sports, Science and Technology, Japan (MEXT)Japan Society for the Promotion of ScienceGrants-in-Aid for Scientific Research (KAKENHI))</t>
  </si>
  <si>
    <t>We want to express our gratitude to the personnel of the Instituto Antartico Argentino (IAA), Direccion Nacional del Antartico (DNA) and Fuerza Aerea Argentina, for their logistic support over the last 25 years. The English version of this article was enormously improved by Barbara Boltshauser. Our most sincere gratitude to Federico Martina, Santiago Maza, Juan Presta and Mike Kaplan for their help during field work. Prof. Keisuke Nagao, from the University of Tokyo, kindly supported us during unspiked K-Ar age dating. We kindly appreciate very useful suggestions and comments made by Daniel Nyvlt and one anonymous reviewer. We also thank the thorough revisions made by the editor Joan Marti. This work was funded by PICTO 2002 11573, SECyT-CONICET Morfogenesis del extremo sur de Sudamerica, Arco de Scotia y Peninsula Antartica, granted to J.A.S.</t>
  </si>
  <si>
    <t>ELSEVIER SCIENCE BV</t>
  </si>
  <si>
    <t>AMSTERDAM</t>
  </si>
  <si>
    <t>PO BOX 211, 1000 AE AMSTERDAM, NETHERLANDS</t>
  </si>
  <si>
    <t>0377-0273</t>
  </si>
  <si>
    <t>1872-6097</t>
  </si>
  <si>
    <t>J VOLCANOL GEOTH RES</t>
  </si>
  <si>
    <t>J. Volcanol. Geotherm. Res.</t>
  </si>
  <si>
    <t>10.1016/j.jvolgeores.2015.03.011</t>
  </si>
  <si>
    <t>CI8VV</t>
  </si>
  <si>
    <t>WOS:000355050700007</t>
  </si>
  <si>
    <t>Ghobakhlou, AF; Johnston, A; Harris, L; Antoun, H; Laberge, S</t>
  </si>
  <si>
    <t>Ghobakhlou, Abdollah-Fardin; Johnston, Anne; Harris, Linda; Antoun, Hani; Laberge, Serge</t>
  </si>
  <si>
    <t>Microarray transcriptional profiling of Arctic Mesorhizobium strain N33 at low temperature provides insights into cold adaption strategies</t>
  </si>
  <si>
    <t>alpha-proteobacteria; Genomic library; Microarray; Gene expression; Transcriptomics; Quantitative PCR; Cold adaptation; Nitrogen fixation; Arctic Mesorhizobium</t>
  </si>
  <si>
    <t>REAL-TIME PCR; PSEUDOALTEROMONAS-HALOPLANKTIS TAC125; ANTARCTIC PSEUDOMONAS-SYRINGAE; PSYCHROPHILIC MICROORGANISMS; RHIZOBIUM-LEGUMINOSARUM; MINIMUM INFORMATION; MUTATIONAL ANALYSIS; OXYTROPIS-ARCTOBIA; MEMBRANE-PROTEINS; NITROGEN-FIXATION</t>
  </si>
  <si>
    <t>Background: Arctic Mesorhizobium strain N33 was isolated from nodules of the legume Oxytropis arctobia in Canada's eastern Arctic. This symbiotic bacterium can grow at temperatures ranging from 0 to 30 degrees C, fix nitrogen at 10 degrees C, and is one of the best known cold-adapted rhizobia. Despite the economic potential of this bacterium for northern regions, the key molecular mechanisms of its cold adaptation remain poorly understood. Results: Using a microarray printed with 5760 Arctic Mesorhizobium genomic clones, we performed a partial transcriptome analysis of strain N33 grown under eight different temperature conditions, including both sustained and transient cold treatments, compared with cells grown at room temperature. Cells treated under constant (4 and 10 degrees C) low temperatures expressed a prominent number of induced genes distinct from cells treated to short-term cold-exposure (&lt;60 min), but exhibited an intermediate expression profile when exposed to a prolonged cold exposure (240 min). The most prominent up-regulated genes encode proteins involved in metabolite transport, transcription regulation, protein turnover, oxidoreductase activity, cryoprotection (mannitol, polyamines), fatty acid metabolism, and membrane fluidity. The main categories of genes affected in N33 during cold treatment are sugar transport and protein translocation, lipid biosynthesis, and NADH oxidoreductase (quinone) activity. Some genes were significantly down-regulated and classified in secretion, energy production and conversion, amino acid transport, cell motility, cell envelope and outer membrane biogenesis functions. This might suggest growth cessation or reduction, which is an important strategy to adjust cellular function and save energy under cold stress conditions. Conclusion: Our analysis revealed a complex series of changes associated with cold exposure adaptation and constant growth at low temperatures. Moreover, it highlighted some of the strategies and different physiological states that Mesorhizobium strain N33 has developed to adapt to the cold environment of the Canadian high Arctic and has revealed candidate genes potentially involved in cold adaptation.</t>
  </si>
  <si>
    <t>[Ghobakhlou, Abdollah-Fardin] Univ Laval, Fac Agr &amp; Food Sci, Grad Programs Agri Food Microbiol, Quebec City, PQ G1V 0A6, Canada; [Johnston, Anne; Harris, Linda] Agr &amp; Agri Food Canada, Eastern Cereal &amp; Oilseed Res Ctr, Ottawa, ON K1A 0C6, Canada; [Antoun, Hani] Univ Laval, Dept Soils &amp; Agri Food Engn, Quebec City, PQ G1V 0A6, Canada; [Laberge, Serge] Agr &amp; Agri Food Canada, Soils &amp; Crops Res Dev Ctr, Quebec City, PQ G1V 2J3, Canada</t>
  </si>
  <si>
    <t>Laval University; Agriculture &amp; Agri Food Canada; Laval University; Agriculture &amp; Agri Food Canada</t>
  </si>
  <si>
    <t>Antoun, H (corresponding author), Univ Laval, Dept Soils &amp; Agri Food Engn, Quebec City, PQ G1V 0A6, Canada.</t>
  </si>
  <si>
    <t>Hani.antoun.1@ulaval.ca</t>
  </si>
  <si>
    <t>Antoun, Hani/K-3154-2013</t>
  </si>
  <si>
    <t>Harris, Linda/0000-0002-9098-305X; Antoun, Hani/0000-0001-9309-420X</t>
  </si>
  <si>
    <t>NSERC (Natural Sciences and Engineering Research Council of Canada); AAFC</t>
  </si>
  <si>
    <t>NSERC (Natural Sciences and Engineering Research Council of Canada)(Natural Sciences and Engineering Research Council of Canada (NSERC)); AAFC(Agriculture &amp; Agri Food Canada)</t>
  </si>
  <si>
    <t>Research funding support from NSERC (Natural Sciences and Engineering Research Council of Canada), and AAFC is acknowledged. We are grateful to Rejean Desgagnes and David Gagne, expert technicians of Dr. Laberge lab, for their kind assistance. We acknowledge Dr. Nicholas Tinker from AAFC-Ottawa for his advice for the statistical analysis of microarray data. We would like to thank Drs. Danielle Provost and Jean Cloutier (AAFC-Quebec City) for valuable discussions on Arctic Mesorhizobium and Carole Gauvin for assistance with nodulation tests. Sincere thanks to Dr. Andre Laroche, Michele Frick and Carolyn Penniket (AAFC-Lethbridge, Alberta) for access to and assistance with qRT-PCR. We acknowledge Dr. Sharon R Long and Dr. Melanie Barnett from Stanford University for their effective discussions on high yield transcription reactions.</t>
  </si>
  <si>
    <t>BIOMED CENTRAL LTD</t>
  </si>
  <si>
    <t>236 GRAYS INN RD, FLOOR 6, LONDON WC1X 8HL, ENGLAND</t>
  </si>
  <si>
    <t>10.1186/s12864-015-1611-4</t>
  </si>
  <si>
    <t>CI0KS</t>
  </si>
  <si>
    <t>WOS:000354426600003</t>
  </si>
  <si>
    <t>Miller, MF; Greenwood, RC; Franchi, IA</t>
  </si>
  <si>
    <t>Miller, Martin F.; Greenwood, Richard C.; Franchi, Ian A.</t>
  </si>
  <si>
    <t>Comment on The triple oxygen isotope composition of the Earth mantle and understanding Δ17O variations in terrestrial rocks and minerals by Pack and Herwartz [Earth Planet. Sci. Lett. 390 (2014) 138-145]</t>
  </si>
  <si>
    <t>EARTH AND PLANETARY SCIENCE LETTERS</t>
  </si>
  <si>
    <t>CARBON-DIOXIDE; FRACTIONATION; RATIOS; SILICATES; QUARTZ; VSMOW; WATER; O-2</t>
  </si>
  <si>
    <t>[Miller, Martin F.] British Antarctic Survey, Cambridge CB3 0ET, England; [Miller, Martin F.; Greenwood, Richard C.; Franchi, Ian A.] Open Univ, Planetary &amp; Space Sci, Milton Keynes MK7 6AA, Bucks, England</t>
  </si>
  <si>
    <t>UK Research &amp; Innovation (UKRI); Natural Environment Research Council (NERC); NERC British Antarctic Survey; Open University - UK</t>
  </si>
  <si>
    <t>Miller, MF (corresponding author), British Antarctic Survey, Madingley Rd, Cambridge CB3 0ET, England.</t>
  </si>
  <si>
    <t>mfm@bas.ac.uk</t>
  </si>
  <si>
    <t>Miller, Martin F./AFL-7337-2022; Miller, Martin F./AAG-7303-2022</t>
  </si>
  <si>
    <t>Miller, Martin F./0000-0002-7735-0098; Miller, Martin F./0000-0002-7735-0098; Greenwood, Richard/0000-0002-5544-8027</t>
  </si>
  <si>
    <t>Science and Technology Facilities Council [ST/L000776/1] Funding Source: researchfish; STFC [ST/L000776/1] Funding Source: UKRI</t>
  </si>
  <si>
    <t>Science and Technology Facilities Council(UK Research &amp; Innovation (UKRI)Science &amp; Technology Facilities Council (STFC)); STFC(UK Research &amp; Innovation (UKRI)Science &amp; Technology Facilities Council (STFC))</t>
  </si>
  <si>
    <t>0012-821X</t>
  </si>
  <si>
    <t>1385-013X</t>
  </si>
  <si>
    <t>EARTH PLANET SC LETT</t>
  </si>
  <si>
    <t>Earth Planet. Sci. Lett.</t>
  </si>
  <si>
    <t>10.1016/j.epsl.2014.12.026</t>
  </si>
  <si>
    <t>Geochemistry &amp; Geophysics</t>
  </si>
  <si>
    <t>CF6KI</t>
  </si>
  <si>
    <t>WOS:000352665200016</t>
  </si>
  <si>
    <t>Choi, JW; Lee, SW; Kim, JY</t>
  </si>
  <si>
    <t>Choi, Jae-Won; Lee, Seung-Wook; Kim, Jeoung-Yun</t>
  </si>
  <si>
    <t>INTERANNUAL ANOMALY IN TROPICAL CYCLONE FREQUENCY AROUND KOREA BY WESTERN NORTH PACIFIC MONSOON</t>
  </si>
  <si>
    <t>TROPICAL CYCLONE RESEARCH AND REVIEW</t>
  </si>
  <si>
    <t>tropical cyclone; western North Pacific monsoon; El Nino-Southern Oscillation; Korea</t>
  </si>
  <si>
    <t>ANTARCTIC OSCILLATION; LANDFALL; CLIMATOLOGY; VARIABILITY; REANALYSIS; FEATURES; IMPACT; JAPAN</t>
  </si>
  <si>
    <t>In this study, the correlation between the frequency of summer tropical cyclones (TC) affecting areas around Korea over the last 37 years and the western North Pacific monsoon index (WNPMI) was analyzed. A clear pos-itive correlation existed between the two variables, and this high positive correlation remained unchanged even when excluding El Nino-Southern Oscillation (ENSO) years. To investigate the causes of the positive correla-tion between these two variables, ENSO years were excluded, after which the 8 years with the highest WNPMI (strong WNPM phase) and the 8 years with the lowest WNPMI (weak WNPM phase) were selected, and the average difference between the two phases was analyzed. In the strong WNPM phase, TCs usually occurred in the eastern waters of the tropical and subtropical western North Pacific, and tended to pass the East China Sea on their way north toward Korea and Japan. In the weak WNPM phase, TCs usually occurred in the western waters of the tropical and subtropical western North Pacific, and tended to pass the South China Sea on their way west toward the southeastern Chinese coast and the Indo-china peninsula. Therefore, TC intensity was higher in the strong WNPM phase, during which TCs are able to gain sufficient energy from the sea while moving a long distance to areas nearby Korea. TCs also tended to oc-cur more often in the strong WNPM phase. In the difference between the two phases regarding 850 hPa and 500 hPa streamline, anomalous cyclones were reinforced in the tropical and subtropical western North Pacific, while anomalous anticyclones were rein-forced in mid-latitude East Asian areas. Due to these two anomalous pressure systems, anomalous southeaster-lies developed in areas near Korea, with these anomalous southeasterlies playing the role of anomalous steering flows making the TCs head toward areas near Korea. Also, due to the anomalous cyclones developed in the tropical and subtropical western North Pacific, more TCs could occur in the strong WNPM phase.</t>
  </si>
  <si>
    <t>[Choi, Jae-Won; Lee, Seung-Wook; Kim, Jeoung-Yun] Natl Inst Meteorol Sci, Jeju, South Korea</t>
  </si>
  <si>
    <t>National Institute of Meteorological Sciences</t>
  </si>
  <si>
    <t>Choi, JW (corresponding author), Natl Inst Meteorol Sci, Res Planning &amp; Management Div, 1622-1, Jeju 699942, South Korea.</t>
  </si>
  <si>
    <t>choiks@kma.go.kr</t>
  </si>
  <si>
    <t>Choi, Jae-Won/AAA-1453-2022</t>
  </si>
  <si>
    <t>R&amp;D Project of the Korea Meteorological Administration Development and application of technology for weather forecast [NIMR-2013-B-1]</t>
  </si>
  <si>
    <t>R&amp;D Project of the Korea Meteorological Administration Development and application of technology for weather forecast(Korea Meteorological Administration (KMA))</t>
  </si>
  <si>
    <t>This work was supported by the R&amp;D Project of the Korea Meteorological Administration Development and application of technology for weather forecast (grant no.: NIMR-2013-B-1).</t>
  </si>
  <si>
    <t>ESCAP-WMO TYPHOON COMMITTEE</t>
  </si>
  <si>
    <t>MACAU</t>
  </si>
  <si>
    <t>ESCAP-WMO TYPHOON COMMITTEE, MACAU, 00000, PEOPLES R CHINA</t>
  </si>
  <si>
    <t>2225-6032</t>
  </si>
  <si>
    <t>TROP CYCLONE RES REV</t>
  </si>
  <si>
    <t>Trop. Cyclone Res. Rev.</t>
  </si>
  <si>
    <t>10.6057/2015TCRR02.01</t>
  </si>
  <si>
    <t>Emerging Sources Citation Index (ESCI)</t>
  </si>
  <si>
    <t>EL7ZR</t>
  </si>
  <si>
    <t>WOS:000394840300001</t>
  </si>
  <si>
    <t>Chin, SP; Marthick, JR; West, AC; Short, AK; Chuckowree, J; Polanowski, AM; Thomson, RJ; Holloway, AF; Dickinson, JL</t>
  </si>
  <si>
    <t>Chin, Suyin Paulynn; Marthick, James R.; West, Alison C.; Short, Annabel K.; Chuckowree, Jyoti; Polanowski, Andrea M.; Thomson, Russell J.; Holloway, Adele F.; Dickinson, Joanne L.</t>
  </si>
  <si>
    <t>Regulation of the ITGA2 Gene by Epigenetic Mechanisms in Prostate Cancer</t>
  </si>
  <si>
    <t>PROSTATE</t>
  </si>
  <si>
    <t>integrins; DNA methylation; prostate; epigenetics</t>
  </si>
  <si>
    <t>INTEGRIN ALPHA-2-BETA-1; DNA METHYLATION; CELL-ADHESION; EXPRESSION; IDENTIFICATION; RISK; REORGANIZATION; POLYMORPHISMS; ANGIOGENESIS; RECEPTORS</t>
  </si>
  <si>
    <t>BACKGROUNDIntegrin alpha2 beta1 ((21)) plays an integral role in tumour cell invasion, metastasis and angiogenesis, and altered expression of the receptor has been linked to tumour prognosis in several solid tumours. However, the relationship is complex, with both increased and decreased expression associated with different stages of tumour metastases in several tumour types. The ITGA2 gene, which codes for the (2) subunit, was examined to investigate whether a large CpG island associated with its promoter region is involved in the differential expression of ITGA2 observed in prostate cancer. METHODSBisulphite sequencing of the ITGA2 promoter was used to assess methylation in formalin-fixed paraffin-embedded (FFPE) prostate tumour specimens and prostate cancer cell lines, PC3, 22Rv1 and LNCaP. Changes in ITGA2 mRNA expression were measured using quantitative PCR. ITGA2 functionality was interrogated using cell migration scratch assays and siRNA knockdown experiments. RESULTSBisulphite sequencing revealed strikingly decreased methylation at key CpG sites within the promoter of tumour samples, when compared with normal prostate tissue. Altered methylation of this CpG island is also associated with differences in expression in the non-invasive LNCaP, and the highly metastatic PC3 and 22Rv1 prostate cancer cell lines. Further bisulphite sequencing confirmed that selected CpGs were highly methylated in LNCaP cells, whilst only low levels of methylation were observed in PC3 and 22Rv1 cells, correlating with ITGA2 transcript levels. Examination of the increased expression of ITGA2 was shown to influence migratory potential via scratch assay in PC3, 22Rv1 and LNCaP cells, and was confirmed by siRNA knockdown experiments. CONCLUSIONSTaken together, our data supports the assertion that epigenetic modification of the ITGA2 promoter is a mechanism by which ITGA2 expression is regulated. Prostate 75:723-734, 2015. (c) 2015 Wiley Periodicals, Inc.</t>
  </si>
  <si>
    <t>[Chin, Suyin Paulynn; Marthick, James R.; West, Alison C.; Short, Annabel K.; Chuckowree, Jyoti; Polanowski, Andrea M.; Thomson, Russell J.; Holloway, Adele F.; Dickinson, Joanne L.] Univ Tasmania, Menzies Inst Med Res, Hobart, Tas 7000, Australia; [West, Alison C.] Monash Inst Med Res, Melbourne, Vic 3168, Australia; [Polanowski, Andrea M.] Australian Antarctic Div, Kingston, Tas 7050, Australia</t>
  </si>
  <si>
    <t>University of Tasmania; Menzies Institute for Medical Research; Monash University; Australian Antarctic Division</t>
  </si>
  <si>
    <t>Dickinson, JL (corresponding author), Univ Tasmania, Menzies Inst Med Res, Hobart, Tas 7000, Australia.</t>
  </si>
  <si>
    <t>jo.dickinson@utas.edu.au</t>
  </si>
  <si>
    <t>Dickinson, Joanne L/J-7728-2014; Short, Annabel/GSD-1981-2022; Thomson, Russell/H-5653-2012</t>
  </si>
  <si>
    <t>Short, Annabel/0000-0001-9654-3197; Chuckowree, Jyoti/0000-0002-1245-1402; Chin, Paulynn Suyin/0000-0003-1600-3508; Thomson, Russell/0000-0003-4949-4120; Holloway, Adele/0000-0003-2213-1717; Dickinson, Joanne/0000-0003-4621-1703; Polanowski, Andrea/0000-0002-9612-220X</t>
  </si>
  <si>
    <t>Australian Cancer Research Foundation; Cancer Council Tasmania; Royal Hobart Hospital Research Foundation; Tasmanian Community Fund; Max Bruce Trust</t>
  </si>
  <si>
    <t>Australian Cancer Research Foundation; Cancer Council Tasmania(Cancer Council Tasmania); Royal Hobart Hospital Research Foundation; Tasmanian Community Fund; Max Bruce Trust</t>
  </si>
  <si>
    <t>Grant sponsor: Australian Cancer Research Foundation; Grant sponsor: Cancer Council Tasmania; Grant sponsor: Royal Hobart Hospital Research Foundation; Grant sponsor: Tasmanian Community Fund; Grant sponsor: Max Bruce Trust.</t>
  </si>
  <si>
    <t>0270-4137</t>
  </si>
  <si>
    <t>1097-0045</t>
  </si>
  <si>
    <t>Prostate</t>
  </si>
  <si>
    <t>10.1002/pros.22954</t>
  </si>
  <si>
    <t>Endocrinology &amp; Metabolism; Urology &amp; Nephrology</t>
  </si>
  <si>
    <t>CF7DL</t>
  </si>
  <si>
    <t>WOS:000352716300005</t>
  </si>
  <si>
    <t>Olguín, N; Ocampo, EH; Farias, N</t>
  </si>
  <si>
    <t>Olguin, Nicole; Ocampo, Emiliano H.; Farias, Nahuel</t>
  </si>
  <si>
    <t>New record of Paralomis spinosissima Birstein &amp; Vinogradov (Decapoda: Anomura: Lithodidae) from Mar del Plata, Argentina</t>
  </si>
  <si>
    <t>Anomura; Lithodidae; Paralomis; new records; taxonomy; Mar del Plata; Atlantic Ocean</t>
  </si>
  <si>
    <t>CRUSTACEA; CRABS; PACIFIC</t>
  </si>
  <si>
    <t>The lithodid crab Paralomis spinosissima is previously known only in Sub-Antarctic waters from South Georgia Island to the Drake Passage. Here we recorded a juvenile male obtained off shores of Mar del Plata (similar to 37 degrees S), Argentina. This new occurrence extends the distribution range of the species over 1300 km northwards in the Atlantic Ocean.</t>
  </si>
  <si>
    <t>[Olguin, Nicole] Univ Sao Paulo, Museum Zool, BR-04263000 Sao Paulo, SP, Brazil; [Olguin, Nicole] Univ Arturo Prat, Fac Recursos Nat Renovables, Iquique, Chile; [Ocampo, Emiliano H.; Farias, Nahuel] CONICET UNMDP, Inst Invest Marinas &amp; Costeras, Lab Invertebrados, Mar Del Plata, Buenos Aires, Argentina</t>
  </si>
  <si>
    <t>Universidade de Sao Paulo; Universidad Arturo Prat; Consejo Nacional de Investigaciones Cientificas y Tecnicas (CONICET); National University of Mar del Plata</t>
  </si>
  <si>
    <t>Olguín, N (corresponding author), Univ Sao Paulo, Museum Zool, Av Nazareth 481, BR-04263000 Sao Paulo, SP, Brazil.</t>
  </si>
  <si>
    <t>nolguincamp@yahoo.es</t>
  </si>
  <si>
    <t>Farias, Nahuel Emiliano/T-4250-2019; Olguin, Nicole/J-8666-2015</t>
  </si>
  <si>
    <t>Farias, Nahuel Emiliano/0000-0001-5190-370X;</t>
  </si>
  <si>
    <t>CONICET-Consejo Nacional de Investigaciones Cientificas y Tecnicas de Argentina [PIP 830/ 2012]; UNMdP-Universidad Nacional de Mar del Plata, Argentina [EXA 618/12]; CAPES; CONICYT-Advanced Human Capital Program</t>
  </si>
  <si>
    <t>CONICET-Consejo Nacional de Investigaciones Cientificas y Tecnicas de Argentina(Consejo Nacional de Investigaciones Cientificas y Tecnicas (CONICET)); UNMdP-Universidad Nacional de Mar del Plata, Argentina; CAPES(Coordenacao de Aperfeicoamento de Pessoal de Nivel Superior (CAPES)); CONICYT-Advanced Human Capital Program</t>
  </si>
  <si>
    <t>We thank colleagues and crew of the R/V Puerto Deseado for their hospitality and assistance during the campaigns Talud II 2013, in particular to G. Pastorino and M. Brogger for campaign organization. We are grateful to Guillermo Guzman for suggestions and contributions towards improving the manuscript. The present work was partially supported by PIP 830/ 2012 (CONICET-Consejo Nacional de Investigaciones Cientificas y Tecnicas de Argentina) and EXA 618/12 (UNMdP-Universidad Nacional de Mar del Plata, Argentina). NO was supported by CAPES and CONICYT-Advanced Human Capital Program.</t>
  </si>
  <si>
    <t>MAY 14</t>
  </si>
  <si>
    <t>10.11646/zootaxa.3957.2.9</t>
  </si>
  <si>
    <t>CI8BV</t>
  </si>
  <si>
    <t>WOS:000354993400009</t>
  </si>
  <si>
    <t>Schaming, TD</t>
  </si>
  <si>
    <t>Schaming, Taza D.</t>
  </si>
  <si>
    <t>Population-Wide Failure to Breed in the Clark's Nutcracker (Nucifraga columbiana)</t>
  </si>
  <si>
    <t>PLOS ONE</t>
  </si>
  <si>
    <t>LIFE-HISTORY TACTICS; ANTARCTIC SEABIRD; BODY CONDITION; PINE; SELECTION; REPRODUCTION; PRODUCTIVITY; VARIABILITY; RESIDUALS; DISPERSAL</t>
  </si>
  <si>
    <t>In highly variable environments, conditions can be so stressful in some years that entire populations forgo reproduction in favor of higher likelihood of surviving to breed in future years. In two out of five years, Clark's nutcrackers (Nucifraga Columbiana) in the Greater Yellowstone Ecosystem exhibited population-wide failure to breed. Clark's nutcrackers at the study site experienced substantial interannual differences in food availability and weather conditions, and the two nonbreeding years corresponded with low whitebark pine (Pinus albicaulis) cone crops the previous autumn (&lt;= an average of 8 +/- 2 cones per tree versus &gt;= an average of 20 +/- 2 cones per tree during breeding years) and high snowpack in early spring (&gt;= 61.2 +/- 5.5 cm versus &lt;= 51.9 +/- 4.4 cm during breeding years). The average adult body condition index during the breeding season was significantly lower in 2011 (-1.5 +/- 1.1), a nonbreeding year, as compared to 2012 (6.2 +/- 2.0), a breeding year. The environmental cues available to the birds prior to breeding, specifically availability of cached whitebark pine seeds, may have allowed them to predict that breeding conditions would be poor, leading to the decision to skip breeding. Alternatively, the Clark's nutcrackers may have had such low body energy stores that they chose not to or were unable to breed. Breeding plasticity would allow Clark's nutcrackers to exploit an unpredictable environment. However, if large-scale mortality of whitebark pines is leading to an increase in the number of nonbreeding years, there could be serious population-level and ecosystem-wide consequences.</t>
  </si>
  <si>
    <t>Cornell Univ, Dept Nat Resources, Cornell Lab Ornithol, Ithaca, NY 14853 USA</t>
  </si>
  <si>
    <t>Cornell University</t>
  </si>
  <si>
    <t>Schaming, TD (corresponding author), Cornell Univ, Dept Nat Resources, Cornell Lab Ornithol, Fernow Hall, Ithaca, NY 14853 USA.</t>
  </si>
  <si>
    <t>tds55@cornell.edu</t>
  </si>
  <si>
    <t>Athena Fund of the Cornell Lab of Ornithology; Meg and Bert Raynes Wildlife Fund Research Grant; Cornell Lab of Ornithology; NASA [NNX10AU20A]; Cornell University; Andrew W. Mellon Student Research Grant; American Ornithologists' Union; Mazamas Graduate Student Research Grant; Conservation and Research Foundation; Western Bird Banding Association; Wyoming Wildlife - The Foundation; Wyoming Community Foundation [20120167]; American Philosophical Society Lewis and Clark Fund; Garden Club of America Frances M. Peacock Scholarship; Charles Redd Center for Western Studies; Wilson Ornithological Society; Explorers Club Exploration Fund; Fischer Equipment Grant; Havahart Equipment Grant; NASA [122292, NNX10AU20A] Funding Source: Federal RePORTER</t>
  </si>
  <si>
    <t>Athena Fund of the Cornell Lab of Ornithology; Meg and Bert Raynes Wildlife Fund Research Grant; Cornell Lab of Ornithology; NASA(National Aeronautics &amp; Space Administration (NASA)); Cornell University; Andrew W. Mellon Student Research Grant; American Ornithologists' Union; Mazamas Graduate Student Research Grant; Conservation and Research Foundation; Western Bird Banding Association; Wyoming Wildlife - The Foundation; Wyoming Community Foundation; American Philosophical Society Lewis and Clark Fund; Garden Club of America Frances M. Peacock Scholarship; Charles Redd Center for Western Studies; Wilson Ornithological Society; Explorers Club Exploration Fund; Fischer Equipment Grant; Havahart Equipment Grant; NASA(National Aeronautics &amp; Space Administration (NASA))</t>
  </si>
  <si>
    <t>This study was generously funded by the Athena Fund of the Cornell Lab of Ornithology (www.birds.cornell.edu), Meg and Bert Raynes Wildlife Fund Research Grant (www.rayneswildlifefund.org)*, Cornell Lab of Ornithology (www.birds.cornell.edu), NASA Harriett G. Jenkins Pre-doctoral Fellowship (#NNX10AU20A, www.nasa.gov), Cornell Lab of Ornithology Kramer Graduate Fellowship (www.birds.cornell.edu), Cornell Lab of Ornithology Halberstadt Graduate Fellowship (www.birds.cornell.edu), Cornell University Research Travel Grant (www.cornell.edu), Cornell University Sigma Xi Grants-in-Aid of Research (www.sigmaxi.org), Cornell Lab of Ornithology Samuel and Linda Kramer Award (www.cornell.edu), Andrew W. Mellon Student Research Grant (www.mellon.org), American Ornithologists' Union (www.aou.org), Mazamas Graduate Student Research Grant (www.mazamas.org), Conservation and Research Foundation Research Grant (http://conservationresearch.wordpress.com), Western Bird Banding Association Research Grant (www.westernbirdbanding.org), Wyoming Wildlife - The Foundation, Wyoming Community Foundation, Research Grant (# 20120167; www.wyomingwildlifefoundation.org)*, American Philosophical Society Lewis and Clark Fund (http://www.amphilsoc.org), The Garden Club of America Frances M. Peacock Scholarship (www.gcamerica.org), Charles Redd Center for Western Studies Summer Award for Upper Division and Graduate Students, (https://reddcenter.byu.edu), Wilson Ornithological Society Paul A. Stewart Research Award (www.wilsonsociety.org), Explorers Club Exploration Fund (www.explorers.org), Fischer Equipment Grant (www.fischersports.com), and Havahart Equipment Grant (www.havahart.com). The funders had no role in study design, data collection and analysis, decision to publish, or preparation of the manuscript, with the exception of Cornell University and Cornell Lab of Ornithology students, professors, researchers and statisticians who provided feedback throughout the study design process, answered analyses questions and encouraged the decision to publish. TDS received all funding, with the exception of the two grants starred above (*). TDS wrote the two grants, and used the funding for her research only; however, per Cornell University policy, Janis Dickinson, TDS's advisor was the P.I.</t>
  </si>
  <si>
    <t>PUBLIC LIBRARY SCIENCE</t>
  </si>
  <si>
    <t>SAN FRANCISCO</t>
  </si>
  <si>
    <t>1160 BATTERY STREET, STE 100, SAN FRANCISCO, CA 94111 USA</t>
  </si>
  <si>
    <t>1932-6203</t>
  </si>
  <si>
    <t>PLoS One</t>
  </si>
  <si>
    <t>MAY 13</t>
  </si>
  <si>
    <t>e0123917</t>
  </si>
  <si>
    <t>10.1371/journal.pone.0123917</t>
  </si>
  <si>
    <t>CI1ZP</t>
  </si>
  <si>
    <t>Green Published, Green Submitted, gold</t>
  </si>
  <si>
    <t>WOS:000354544200020</t>
  </si>
  <si>
    <t>Bermúdez, R; Feng, YY; Roleda, MY; Tatters, AO; Hutchins, DA; Larsen, T; Boyd, PW; Hurd, CL; Riebesell, U; Winder, M</t>
  </si>
  <si>
    <t>Bermudez, Rafael; Feng, Yuanyuan; Roleda, Michael Y.; Tatters, Avery O.; Hutchins, David A.; Larsen, Thomas; Boyd, Philip W.; Hurd, Catriona L.; Riebesell, Ulf; Winder, Monika</t>
  </si>
  <si>
    <t>Long-Term Conditioning to Elevated pCO2 and Warming Influences the Fatty and Amino Acid Composition of the Diatom Cylindrotheca fusiformis</t>
  </si>
  <si>
    <t>CO2 CONCENTRATION; OCEAN ACIDIFICATION; CARBON-DIOXIDE; BIOCHEMICAL-COMPOSITION; DIFFERENT TEMPERATURE; MARINE DIATOMS; CLIMATE-CHANGE; FOOD QUALITY; PHYTOPLANKTON; GROWTH</t>
  </si>
  <si>
    <t>The unabated rise in anthropogenic CO2 emissions is predicted to strongly influence the ocean's environment, increasing the mean sea-surface temperature by 4 degrees C and causing a pH decline of 0.3 units by the year 2100. These changes are likely to affect the nutritional value of marine food sources since temperature and CO2 can influence the fatty (FA) and amino acid (AA) composition of marine primary producers. Here, essential amino (EA) and polyunsaturated fatty (PUFA) acids are of particular importance due to their nutritional value to higher trophic levels. In order to determine the interactive effects of CO2 and temperature on the nutritional quality of a primary producer, we analyzed the relative PUFA and EA composition of the diatom Cylindrotheca fusiformis cultured under a factorial matrix of 2 temperatures (14 and 19 degrees C) and 3 partial pressures of CO2 (180, 380, 750 mu atm) for &gt;250 generations. Our results show a decay of similar to 3% and similar to 6% in PUFA and EA content in algae kept at a pCO(2) of 750 mu atm (high) compared to the 380 mu atm (intermediate) CO2 treatments at 14 degrees C. Cultures kept at 19 degrees C displayed a similar to 3% lower PUFA content under high compared to intermediate pCO(2), while EA did not show differences between treatments. Algae grown at a pCO(2) of 180 mu atm (low) had a lower PUFA and AA content in relation to those at intermediate and high CO2 levels at 14 degrees C, but there were no differences in EA at 19 degrees C for any CO2 treatment. This study is the first to report adverse effects of warming and acidification on the EA of a primary producer, and corroborates previous observations of negative effects of these stressors on PUFA. Considering that only similar to 20% of essential biomolecules such as PUFA (and possibly EA) are incorporated into new biomass at the next trophic level, the potential impacts of adverse effects of ocean warming and acidification at the base of the food web may be amplified towards higher trophic levels, which rely on them as source of essential biomolecules</t>
  </si>
  <si>
    <t>[Bermudez, Rafael; Riebesell, Ulf] GEOMAR Helmholtz Ctr Ocean Res Kiel, Kiel, Germany; [Bermudez, Rafael] Escuela Super Politecn Litoral, Fac Ingn Maritima Ciencias Biol Ocean &amp; Recursos, Guayaquil, Ecuador; [Feng, Yuanyuan; Roleda, Michael Y.; Hurd, Catriona L.] Univ Otago, Dept Bot, Dunedin, New Zealand; [Roleda, Michael Y.] Bioforsk Norwegian Inst Agr &amp; Environm Res, Bodo, Norway; [Tatters, Avery O.; Hutchins, David A.] Univ So Calif, Marine &amp; Environm Biol, Los Angeles, CA USA; [Larsen, Thomas] Univ Kiel, Leibniz Lab Radiometr Dating &amp; Stable Isotope Res, Kiel, Germany; [Boyd, Philip W.; Hurd, Catriona L.] Univ Tasmania, Inst Marine &amp; Antarctic Studies, Hobart, Tas, Australia; [Winder, Monika] Stockholm Univ, Dept Ecol Environm &amp; Plant Sci, S-10691 Stockholm, Sweden</t>
  </si>
  <si>
    <t>Helmholtz Association; GEOMAR Helmholtz Center for Ocean Research Kiel; Escuela Superior Politecnica del Litoral; University of Otago; Bioforsk; University of Southern California; University of Kiel; University of Tasmania; Stockholm University</t>
  </si>
  <si>
    <t>Bermúdez, R (corresponding author), GEOMAR Helmholtz Ctr Ocean Res Kiel, Kiel, Germany.</t>
  </si>
  <si>
    <t>jrbermud@espol.edu.ec</t>
  </si>
  <si>
    <t>Roleda, Michael Y./H-9645-2019; Riebesell, Ulf/AAC-9717-2020; Winder, Monika/F-5318-2016; Larsen, Thomas/D-3105-2012; Feng, Yuanyuan/K-5983-2012; Hutchins, David A/D-3301-2013; /AAL-3738-2021; Tatters, Avery/V-7723-2019; Hurd, Catriona/J-2411-2013; Boyd, Philip/J-7624-2014</t>
  </si>
  <si>
    <t>Roleda, Michael Y./0000-0003-0568-9081; Winder, Monika/0000-0001-9467-3035; Feng, Yuanyuan/0000-0002-4565-8717; Hutchins, David A/0000-0002-6637-756X; Tatters, Avery/0000-0002-5616-1044; Larsen, Thomas/0000-0002-0311-9707; Hurd, Catriona/0000-0001-9965-4917; Riebesell, Ulf/0000-0002-9442-452X; Boyd, Philip/0000-0001-7850-1911; Bermudez, Jorge Rafael/0000-0002-8109-5819</t>
  </si>
  <si>
    <t>Royal Society of New Zealand Marsden grant [UOO0914]; United States National Science Foundation grant [ANT1043748]; Integrate School of Ocean Sciences (ISOS) Kiel, PhD Miniproposals scheme [D20/97.1]; Marie Curie IRG grant [276917]; German Federal Ministry of Education and Research through the 'BIOACID' programme; Division Of Ocean Sciences; Directorate For Geosciences [1260490] Funding Source: National Science Foundation; Office of Polar Programs (OPP); Directorate For Geosciences [1043748] Funding Source: National Science Foundation</t>
  </si>
  <si>
    <t>Royal Society of New Zealand Marsden grant(Royal Society of New ZealandMarsden Fund (NZ)); United States National Science Foundation grant; Integrate School of Ocean Sciences (ISOS) Kiel, PhD Miniproposals scheme; Marie Curie IRG grant(European Union (EU)); German Federal Ministry of Education and Research through the 'BIOACID' programme; Division Of Ocean Sciences; Directorate For Geosciences(National Science Foundation (NSF)NSF - Directorate for Geosciences (GEO)); Office of Polar Programs (OPP); Directorate For Geosciences(National Science Foundation (NSF)NSF - Directorate for Geosciences (GEO))</t>
  </si>
  <si>
    <t>Grant support was provided by the Royal Society of New Zealand Marsden grant (UOO0914) to CLH and United States National Science Foundation grant ANT1043748 to DAH. This work was partly funded by the Integrate School of Ocean Sciences (ISOS) Kiel, PhD Miniproposals scheme, project D20/97.1 to RB, Marie Curie IRG grant No 276917 to MW, and the German Federal Ministry of Education and Research through the 'BIOACID' programme to UR. The funders had no role in study design, data collection and analysis, decision to publish, or preparation of the manuscript.</t>
  </si>
  <si>
    <t>e0123945</t>
  </si>
  <si>
    <t>10.1371/journal.pone.0123945</t>
  </si>
  <si>
    <t>WOS:000354544200021</t>
  </si>
  <si>
    <t>Koukal, P; Kotora, M</t>
  </si>
  <si>
    <t>Koukal, Petr; Kotora, Martin</t>
  </si>
  <si>
    <t>Enantioselective Allylation of (2E,4E)-2,4-Dimethylhexadienal: Synthesis of (5R,6S)-(+)-Pteroenone</t>
  </si>
  <si>
    <t>CHEMISTRY-A EUROPEAN JOURNAL</t>
  </si>
  <si>
    <t>aldehyde; allylation; asymmetric synthesis; Bronsted acid; Lewis base</t>
  </si>
  <si>
    <t>CATALYTIC ASYMMETRIC ALLYLATION; DEFENSIVE METABOLITE; BIPYRIDINE N,N'-DIOXIDES; HOMOALLYLIC ALCOHOLS; CARBONYL-COMPOUNDS; ALDEHYDES; ACID; DIISOPINOCAMPHEYLBORANE; ALLYLBORATION; MACROLACTIN</t>
  </si>
  <si>
    <t>Allylation, trans- and cis-crotylation of (2E,4E)-2,4-dimethylhexadienal, a representative alpha,beta,gamma,delta-unsaturated aldehyde, was carried out under different catalytic and stoichiometric conditions. The reactions catalyzed by organocatalysts TRIP-PA and N,N'-dioxides gave the best results with respect to yields, asymmetric induction, and catalyst load in comparison to other procedures. The developed methodology was applied in the enantioselective synthesis of (5R,6S)-(+)-pteroenone, a defensive metabolite (ichthyodeterrent) of the Antarctic pteropod Clione antarctica.</t>
  </si>
  <si>
    <t>[Koukal, Petr; Kotora, Martin] Charles Univ Prague, Dept Organ Chem, Fac Sci, Prague 12343 2, Czech Republic</t>
  </si>
  <si>
    <t>Charles University Prague</t>
  </si>
  <si>
    <t>Kotora, M (corresponding author), Charles Univ Prague, Dept Organ Chem, Fac Sci, Hlavova 8, Prague 12343 2, Czech Republic.</t>
  </si>
  <si>
    <t>kotora@natur.cuni.cz</t>
  </si>
  <si>
    <t>Kotora, Martin/A-1774-2008</t>
  </si>
  <si>
    <t>Kotora, Martin/0000-0003-4491-7091</t>
  </si>
  <si>
    <t>Ministry of Education, Youth, and Sports [MSM0021620857]; Czech Science Foundation [P207/11/0587]</t>
  </si>
  <si>
    <t>Ministry of Education, Youth, and Sports(Ministry of Education, Youth &amp; Sports - Czech Republic); Czech Science Foundation(Grant Agency of the Czech Republic)</t>
  </si>
  <si>
    <t>This work was supported by grants from the Ministry of Education, Youth, and Sports (MSM0021620857) and the Czech Science Foundation (P207/11/0587). The authors also would thank Lach-Ners.r.o. for the generous gift of chemicals as a part of the award given to M.K.</t>
  </si>
  <si>
    <t>WILEY-V C H VERLAG GMBH</t>
  </si>
  <si>
    <t>WEINHEIM</t>
  </si>
  <si>
    <t>POSTFACH 101161, 69451 WEINHEIM, GERMANY</t>
  </si>
  <si>
    <t>0947-6539</t>
  </si>
  <si>
    <t>1521-3765</t>
  </si>
  <si>
    <t>CHEM-EUR J</t>
  </si>
  <si>
    <t>Chem.-Eur. J.</t>
  </si>
  <si>
    <t>MAY 11</t>
  </si>
  <si>
    <t>10.1002/chem.201500050</t>
  </si>
  <si>
    <t>Chemistry, Multidisciplinary</t>
  </si>
  <si>
    <t>Science Citation Index Expanded (SCI-EXPANDED); Index Chemicus (IC); Current Chemical Reactions (CCR-EXPANDED)</t>
  </si>
  <si>
    <t>CH4UB</t>
  </si>
  <si>
    <t>WOS:000354027300018</t>
  </si>
  <si>
    <t>Abeln, V; MacDonald-Nethercott, E; Piacentini, MF; Meeusen, R; Kleinert, J; Strueder, HK; Schneider, S</t>
  </si>
  <si>
    <t>Abeln, Vera; MacDonald-Nethercott, Eoin; Piacentini, Maria Francesca; Meeusen, Romain; Kleinert, Jens; Strueder, Heiko K.; Schneider, Stefan</t>
  </si>
  <si>
    <t>Exercise in Isolation-A Countermeasure for Electrocortical, Mental and Cognitive Impairments</t>
  </si>
  <si>
    <t>PHYSICAL-ACTIVITY; OLDER-PEOPLE; PERFORMANCE; INTERVENTIONS; ENVIRONMENTS; FLIGHT; POLAR; STATE; MOOD; EEG</t>
  </si>
  <si>
    <t>Introduction Mental impairments, including deterioration of mood and cognitive performance, are known to occur during isolation and space missions, but have been insufficiently investigated. Appropriate countermeasures are required, such as exercise, which is known to prevent mood disorders for prolonged space and isolation missions. Based on the interaction of brain activity, mood and cognitive performance, this study aims to investigate the effect of long-term isolation and confinement and the long-term effect of exercise on these parameters. Methods Eight male volunteers were isolated and confined for about eight month during the winter period at the Antarctic Concordia Station. Every six weeks electroencephalographic measurements were recorded under rest conditions, and cognitive tests and a mood questionnaire were executed. Based individual training logs, subjects were afterwards separated into an active (&gt; 2500 arbitrary training units/interval) or inactive (&lt; 2500 arbitrary training units/interval) group. Results A long-term effect of exercise was observed for brain activity and mood. Regularly active people showed a decreased brain activity (alpha and beta) in the course of isolation, and steady mood. Inactive people instead first increased and than remained at high brain activity accompanied with a deterioration of mood. No effect of exercise and isolation was found for cognitive performance. Conclusion The findings point out the positive effect of regularly performed voluntary exercise, supporting subjective mental well-being of long-term isolated people. The choice to be regularly active seems to support mental health, which is not only of interest for future isolation and space missions.</t>
  </si>
  <si>
    <t>[Abeln, Vera; Strueder, Heiko K.; Schneider, Stefan] German Sport Univ Cologne, Inst Movement &amp; Neurosci, Cologne, Germany; [MacDonald-Nethercott, Eoin] Univ Cambridge, Hosp NHS Trust, Cambridge, England; [MacDonald-Nethercott, Eoin] Inst Paul Emile Victor, Brest, France; [Piacentini, Maria Francesca] Univ Rome Foro Ital, Rome, Italy; [Piacentini, Maria Francesca; Meeusen, Romain] Fac Phys Educ &amp; Physiotherapy, Dept Human Physiol, Brussels, Belgium; [Meeusen, Romain] James Cook Univ, Sch Publ Hlth, Trop Med &amp; Rehabil Sci, Townsville, Qld 4811, Australia; [Kleinert, Jens] German Sport Univ Cologne, Inst Psychol, Dept Hlth &amp; Social Psychol, Cologne, Germany; [Schneider, Stefan] Univ Sunshine Coast, Fac Sci Hlth Educ &amp; Engn, Maroochydore, Qld, Australia</t>
  </si>
  <si>
    <t>German Sport University Cologne; University of Cambridge; Foro Italico University of Rome; James Cook University; German Sport University Cologne; University of the Sunshine Coast</t>
  </si>
  <si>
    <t>Abeln, V (corresponding author), German Sport Univ Cologne, Inst Movement &amp; Neurosci, Cologne, Germany.</t>
  </si>
  <si>
    <t>v.abeln@dshs-koeln.de</t>
  </si>
  <si>
    <t>Schneider, Stefan/AAH-7418-2020; Abeln, Vera/HNQ-7050-2023</t>
  </si>
  <si>
    <t>Schneider, Stefan/0000-0002-4563-9890; Abeln, Vera/0000-0003-4054-438X</t>
  </si>
  <si>
    <t>German Space Agency [50WB0819]</t>
  </si>
  <si>
    <t>German Space Agency(Helmholtz AssociationGerman Aerospace Centre (DLR))</t>
  </si>
  <si>
    <t>The study was founded by German Space Agency (DLR) grant 50WB0819 (http://www.dlr.de/dlr/en/desktopdefault.aspx/tabid-10002/). Funders were involved in funding and managing the isolation (winter-over) expedition.</t>
  </si>
  <si>
    <t>e0126356</t>
  </si>
  <si>
    <t>10.1371/journal.pone.0126356</t>
  </si>
  <si>
    <t>Science Citation Index Expanded (SCI-EXPANDED); Social Science Citation Index (SSCI)</t>
  </si>
  <si>
    <t>CI1YY</t>
  </si>
  <si>
    <t>Green Published, Green Accepted, Green Submitted, gold</t>
  </si>
  <si>
    <t>WOS:000354542500090</t>
  </si>
  <si>
    <t>Groeneveld, J; Johst, K; Kawaguchi, S; Meyer, B; Teschke, M; Grimm, V</t>
  </si>
  <si>
    <t>Groeneveld, Juergen; Johst, Karin; Kawaguchi, So; Meyer, Bettina; Teschke, Mathias; Grimm, Volker</t>
  </si>
  <si>
    <t>How biological clocks and changing environmental conditions determine local population growth and species distribution in Antarctic krill (Euphausia superba): a conceptual model</t>
  </si>
  <si>
    <t>ECOLOGICAL MODELLING</t>
  </si>
  <si>
    <t>Dynamic energy budget theory; Individual based model; Southern Ocean; Sea ice; Climate change; Marine ecology</t>
  </si>
  <si>
    <t>SIMULATED LIGHT REGIMES; ECOLOGICAL RESPONSES; SEA; ECOSYSTEMS; STRATEGIES; MATURITY; SURVIVAL; PROTOCOL; WINTER</t>
  </si>
  <si>
    <t>The Southern Ocean ecosystem is characterized by extreme seasonal changes in environmental factors such as day length, sea ice extent and food availability. The key species Antarctic krill (Euphausia superba) has evolved metabolic and behavioural seasonal rhythms to cope with these seasonal changes. We investigate the switch between a physiological less active and active period for adult krill, a rhythm which seems to be controlled by internal biological clocks. These biological clocks can be synchronized by environmental triggers such as day length and food availability. They have evolved for particular environmental regimes to synchronize predictable seasonal environmental changes with important life cycle functions of the species. In a changing environment the time when krill is metabolically active and the time of peak food availability may not overlap if krill's seasonal activity is solely determined by photoperiod (day length). This is especially true for the Atlantic sector of the Southern Ocean where the spatio-temporal ice cover dynamics are changing substantially with rising average temperatures. We developed an individual-based model for krill to explore the impact of photoperiod and food availability on the growth and demographics of krill. We simulated dynamics of local krill populations (with no movement of krill assumed) along a south-north gradient for different triggers of metabolic activity and different levels of food availability below the ice. We also observed the fate of larval krill which cannot switch to low metabolism and therefore are likely to overwinter under ice. Krill could only occupy the southern end of the gradient, where algae bloom only lasts for a short time, when alternative food supply under the ice was high and metabolic activity was triggered by photoperiod. The northern distribution was limited by lack of overwintering habitat for krill larvae due to short duration of sea ice cover even for high food content under the ice. The variability of the krill's length-frequency distributions varied for different triggers of metabolic activity, but did not depend on the sea ice extent. Our findings suggest a southward shift of krill populations due to reduction in the spatial sea ice extent, which is consistent with field observations. Overall, our results highlight the importance of the explicit consideration of spatio-temporal sea ice dynamics especially for larval krill together with temporal synchronization through internal clocks, triggered by environmental factors (photoperiod and food) in adult krill for the population modelling of krill. (C) 2015 Elsevier B.V. All rights reserved.</t>
  </si>
  <si>
    <t>[Groeneveld, Juergen; Johst, Karin; Grimm, Volker] UFZ Helmholtz Ctr Environm Res, Dept Ecol Modelling, Permoserstr 15, D-04318 Leipzig, Germany; [Kawaguchi, So] Australian Antarctic Div, Kingston, Tas 7050, Australia; [Kawaguchi, So] Antarctic Climate &amp; Ecosyst Cooperat Res Ctr, Hobart, Tas 7001, Australia; [Meyer, Bettina; Teschke, Mathias] Alfred Wegener Inst Polar &amp; Marine Res, Polar Biol Oceanog, D-27570 Bremerhaven, Germany; [Meyer, Bettina] Carl von Ossietzky Univ Oldenburg, Inst Chem &amp; Biol Marine Environm, D-26111 Oldenburg, Germany; [Grimm, Volker] Univ Potsdam, Inst Biochem &amp; Biol, D-14469 Potsdam, Germany; [Grimm, Volker] German Ctr Integrat Biodivers Res iDiv, D-04103 Leipzig, Germany</t>
  </si>
  <si>
    <t>Helmholtz Association; Helmholtz Center for Environmental Research (UFZ); Australian Antarctic Division; Antarctic Climate &amp; Ecosystems Cooperative Research Centre (ACE CRC); Helmholtz Association; Alfred Wegener Institute, Helmholtz Centre for Polar &amp; Marine Research; Carl von Ossietzky Universitat Oldenburg; University of Potsdam</t>
  </si>
  <si>
    <t>Groeneveld, J (corresponding author), UFZ Helmholtz Ctr Environm Res, Dept Ecol Modelling, Permoserstr 15, D-04318 Leipzig, Germany.</t>
  </si>
  <si>
    <t>juergen.Groeneveld@ufz.de</t>
  </si>
  <si>
    <t>Meyer, Bettina/ABB-5311-2020; Kawaguchi, So/N-1795-2017; Groeneveld, Juergen/N-2420-2016; Johst, Karin/D-5309-2015</t>
  </si>
  <si>
    <t>Meyer, Bettina/0000-0001-6804-9896; Johst, Karin/0000-0003-0798-2361; Kawaguchi, So/0000-0002-2042-5095</t>
  </si>
  <si>
    <t>Helmholtz Virtual Institute PolarTime [VH-VI-500]</t>
  </si>
  <si>
    <t>Helmholtz Virtual Institute PolarTime</t>
  </si>
  <si>
    <t>We thank all members of the Helmholtz Virtual Institute Polar-Time and all other participants of our project meetings for the constructive discussions on the model. J.G. also wants to thank the participants of the 'Detecting, projecting and managing the impacts of change in Southern Ocean ecosystems' session at the IMBER open science meeting in Bergen 2014 for comments. We particularly would like to thank two reviewers for their extremely helpful and detailed comments. The study has been funded by the Helmholtz Virtual Institute PolarTime (VH-VI-500: Biological timing in a changing marine environment - clocks and rhythms in polar pelagic organisms). This work is a contribution to the research program PACES II (topic 1, workpackage 5 of the Alfred Wegener Institute).</t>
  </si>
  <si>
    <t>ELSEVIER</t>
  </si>
  <si>
    <t>RADARWEG 29, 1043 NX AMSTERDAM, NETHERLANDS</t>
  </si>
  <si>
    <t>0304-3800</t>
  </si>
  <si>
    <t>1872-7026</t>
  </si>
  <si>
    <t>ECOL MODEL</t>
  </si>
  <si>
    <t>Ecol. Model.</t>
  </si>
  <si>
    <t>MAY 10</t>
  </si>
  <si>
    <t>10.1016/j.ecolmodel.2015.02.009</t>
  </si>
  <si>
    <t>Ecology</t>
  </si>
  <si>
    <t>Environmental Sciences &amp; Ecology</t>
  </si>
  <si>
    <t>CG6PR</t>
  </si>
  <si>
    <t>WOS:000353424700008</t>
  </si>
  <si>
    <t>Roy, U; Chalasani, AG; Shekh, MR</t>
  </si>
  <si>
    <t>Roy, Utpal; Chalasani, Ajay G.; Shekh, M. Raeesh</t>
  </si>
  <si>
    <t>The anti-Candida activity by Ancillary Proteins of an Enterococcus faecium strain</t>
  </si>
  <si>
    <t>antimycotic peptides; anti-Candida protein; Enterococcus faecium/lactic acid bacteria (LAB); Lysin M; Candida albicans</t>
  </si>
  <si>
    <t>GRAM-NEGATIVE BACTERIA; RECEPTOR-LIKE KINASE; ANTIMICROBIAL PEPTIDES; ANTIFUNGAL ACTIVITY; CANDIDA-ALBICANS; CHITIN-BINDING; LYSM; DIVERSITY; STREPTOCOCCUS; PURIFICATION</t>
  </si>
  <si>
    <t>An antimycotic activity toward seven strains of Candida alb/cans was demonstrated erstwhile by a wild-type Enterococcus faecium isolated from a penguin rookery of the Antarctic region. In the present study the antimicrobial principle was purified by ion exchange and gel permeation chromatography and further was analyzed by LC-ESI-MS/MS. In the purification steps, the dialyzed concentrate and ion exchange fractions inhibited C. alb/cans MTCC 3958, 183, and SC 5314. However, the gel filtration purified fractions inhibited MTCC 3958 and 183. The data obtained from the LC-ESI-MS/MS indicate that the antimicrobial activity of the anti-Candida protein produced by E faecium is facilitated by Sag A/Bb for the binding of the indicator organism's cell membrane. Partial N-terminal sequence revealed 12 N-terminal amino acid residues and its analysis shown that it belongs to the LysM motif. The nucleotide sequence of PCR-amplified product could detect 574 nucleotides of the LysM gene responsible for binding to chitin of the cell wall of Candida sp.</t>
  </si>
  <si>
    <t>[Roy, Utpal; Chalasani, Ajay G.; Shekh, M. Raeesh] Birla Inst Technol &amp; Sci Pilani KK Birla Goa Camp, Dept Biol Sci, Vasco Da Gama 403726, Goa, India</t>
  </si>
  <si>
    <t>Birla Institute of Technology &amp; Science Pilani (BITS Pilani)</t>
  </si>
  <si>
    <t>Roy, U (corresponding author), Birla Inst Technol &amp; Sci Pilani KK Birla Goa Camp, Dept Biol Sci, NH 17B, Vasco Da Gama 403726, Goa, India.</t>
  </si>
  <si>
    <t>utpalroy010@gmail.com</t>
  </si>
  <si>
    <t>University Grants Commission [39-205/2010(SR)]; Council of Scientific and Industrial Research New Delhi, India [38(1142)/(07-EMR-II)]; CSIR; UGC</t>
  </si>
  <si>
    <t>University Grants Commission(University Grants Commission, India); Council of Scientific and Industrial Research New Delhi, India(Council of Scientific &amp; Industrial Research (CSIR) - India); CSIR(Council of Scientific &amp; Industrial Research (CSIR) - India); UGC(University Grants Commission, India)</t>
  </si>
  <si>
    <t>The authors heartily acknowledge University Grants Commission (Sanction No. 39-205/2010(SR)) and Council of Scientific and Industrial Research (Sanction No. 38(1142)/(07-EMR-II)) New Delhi, India for the funding. RS and AC acknowledge deeply the CSIR and UGC for senior research fellowship (SRF) and junior research fellowship (JRF) respectively.</t>
  </si>
  <si>
    <t>MAY 8</t>
  </si>
  <si>
    <t>10.3389/fmicb.2015.00339</t>
  </si>
  <si>
    <t>CJ6TU</t>
  </si>
  <si>
    <t>gold, Green Published</t>
  </si>
  <si>
    <t>WOS:000355627700001</t>
  </si>
  <si>
    <t>Ressler, PH; Dalpadado, P; Macaulay, GJ; Handegard, N; Skern-Mauritzen, M</t>
  </si>
  <si>
    <t>Ressler, P. H.; Dalpadado, P.; Macaulay, G. J.; Handegard, N.; Skern-Mauritzen, M.</t>
  </si>
  <si>
    <t>Acoustic surveys of euphausiids and models of baleen whale distribution in the Barents Sea</t>
  </si>
  <si>
    <t>MARINE ECOLOGY PROGRESS SERIES</t>
  </si>
  <si>
    <t>Euphausiids; Capelin; Thysanoessa; Minke whale; Fin whale; Humpback whale; Acoustics; Barents Sea</t>
  </si>
  <si>
    <t>KRILL MEGANYCTIPHANES-NORVEGICA; SOUTHEAST BERING-SEA; BALAENOPTERA-ACUTOROSTRATA; ANTARCTIC KRILL; TARGET STRENGTH; TROPHIC INTERACTIONS; THYSANOESSA-INERMIS; ABUNDANCE; ECOSYSTEM; PREY</t>
  </si>
  <si>
    <t>As in many high-latitude ecosystems, euphausiids (order Euphausiacea, 'krill') play a key role in the Barents Sea by channeling energy from primary producers to fish and other zooplankton predators. We used multifrequency acoustic data from several recent multidisciplinary surveys to describe the spatial distribution of backscatter likely to be from euphausiids. Spatial patterns in euphausiid backscatter observed in 2010, 2011, and 2012 were correlated with vertically integrated euphausiid biomass collected with plankton nets, and were also broadly consistent with the distribution of euphausiids expected from the literature. We used the high-resolution and broad-spatial coverage of our euphausiid backscatter data to update multiple regression models of baleen (fin, humpback, and minke) whale distribution to test the hypothesis that these animals aggregated where euphausiids were abundant. After controlling for physical environmental factors and the densities of capelin and several other potential prey taxa, we found that fin whale densities were positively and linearly associated with euphausiid backscatter, and higher than average densities of humpback whales were found in areas with high euphausiid back scatter. No association was found between minke whales and euphausiids. Densities of all 3 whale species were also positively associated with capelin. For fin and humpback whales, the effects of capelin and euphausiids on whale densities appeared to be principally separate and additive, although there was some evidence for a stronger effect of euphausiids at low capelin densities. In terms of their preference for euphausiids and capelin, these whale species appeared to be flexible, opportunistic predators.</t>
  </si>
  <si>
    <t>[Ressler, P. H.] NOAA, Natl Marine Fisheries Serv, Alaska Fisheries Sci Ctr, Seattle, WA 98115 USA; [Ressler, P. H.; Dalpadado, P.; Macaulay, G. J.; Handegard, N.; Skern-Mauritzen, M.] Inst Marine Res, N-5817 Bergen, Norway</t>
  </si>
  <si>
    <t>National Oceanic Atmospheric Admin (NOAA) - USA; Institute of Marine Research - Norway</t>
  </si>
  <si>
    <t>Ressler, PH (corresponding author), NOAA, Natl Marine Fisheries Serv, Alaska Fisheries Sci Ctr, Seattle, WA 98115 USA.</t>
  </si>
  <si>
    <t>patrick.ressler@noaa.gov</t>
  </si>
  <si>
    <t>Handegard, Nils Olav/I-3047-2012; Skern-Mauritzen, Mette/ABA-8173-2020</t>
  </si>
  <si>
    <t>Handegard, Nils Olav/0000-0002-9708-9042; Macaulay, Gavin/0000-0003-2518-6537; Skern-Mauritzen, Mette/0000-0002-3609-2870</t>
  </si>
  <si>
    <t>Alaska Fisheries Science Center, NOAA National Marine Fisheries Service, Seattle, WA, USA; Institute of Marine Research (IMR), Bergen, Norway; Norwegian Research Council through ADMAR [200497/130]</t>
  </si>
  <si>
    <t>Alaska Fisheries Science Center, NOAA National Marine Fisheries Service, Seattle, WA, USA; Institute of Marine Research (IMR), Bergen, Norway; Norwegian Research Council through ADMAR(Research Council of Norway)</t>
  </si>
  <si>
    <t>We acknowledge the support of Alaska Fisheries Science Center, NOAA National Marine Fisheries Service, Seattle, WA, USA, the Institute of Marine Research (IMR), Bergen, Norway, and the Norwegian Research Council through ADMAR (adaptive management of living marine resources by integrating different data sources and key ecological processes), grant 200497/130. This study is a contribution to the 'Barents Sea Ecosystem' research program and ADMAR project at the IMR. The manuscript was improved with comments from Alex De Robertis, Alexandre Zerbini, Jeffrey Napp, the NOAA-AFSC Publications and Communications Group, and 3 anonymous reviewers. The findings and conclusions in the paper are those of the authors and do not necessarily represent the views of the National Marine Fisheries Service.</t>
  </si>
  <si>
    <t>INTER-RESEARCH</t>
  </si>
  <si>
    <t>OLDENDORF LUHE</t>
  </si>
  <si>
    <t>NORDBUNTE 23, D-21385 OLDENDORF LUHE, GERMANY</t>
  </si>
  <si>
    <t>0171-8630</t>
  </si>
  <si>
    <t>1616-1599</t>
  </si>
  <si>
    <t>MAR ECOL PROG SER</t>
  </si>
  <si>
    <t>Mar. Ecol.-Prog. Ser.</t>
  </si>
  <si>
    <t>MAY 7</t>
  </si>
  <si>
    <t>10.3354/meps11257</t>
  </si>
  <si>
    <t>Ecology; Marine &amp; Freshwater Biology; Oceanography</t>
  </si>
  <si>
    <t>Environmental Sciences &amp; Ecology; Marine &amp; Freshwater Biology; Oceanography</t>
  </si>
  <si>
    <t>CH9ZQ</t>
  </si>
  <si>
    <t>WOS:000354395700002</t>
  </si>
  <si>
    <t>Paterson, JT; Rotella, JJ; Arrigo, KR; Garrott, RA</t>
  </si>
  <si>
    <t>Paterson, J. Terrill; Rotella, Jay J.; Arrigo, Kevin R.; Garrott, Robert A.</t>
  </si>
  <si>
    <t>Tight coupling of primary production and marine mammal reproduction in the Southern Ocean</t>
  </si>
  <si>
    <t>PROCEEDINGS OF THE ROYAL SOCIETY B-BIOLOGICAL SCIENCES</t>
  </si>
  <si>
    <t>polynyas; primary production; Antarctica; trophic levels; Weddell seal</t>
  </si>
  <si>
    <t>ROSS SEA; PHYTOPLANKTON DYNAMICS; TROPHIC INTERACTIONS; POPULATION-DYNAMICS; PULSED RESOURCES; ICE; PHAEOCYSTIS; ANTARCTICA; POLYNYAS; OCEANOGRAPHY</t>
  </si>
  <si>
    <t>Polynyas are areas of open water surrounded by sea ice and are important sources of primary production in high-latitude marine ecosystems. The magnitude of annual primary production in polynyas is controlled by the amount of exposure to solar radiation and sensitivity to changes in sea-ice extent. The degree of coupling between primary production and production by upper trophic-level consumers in these environments is not well understood, which prevents reliable predictions about population trajectories for species at higher trophic levels under potential future climate scenarios. In this study, we find a strong, positive relationship between annual primary production in an Antarctic polynya and pup production by ice-dependent Weddell seals. The timing of the relationship suggests reproductive effort increases to take advantage of high primary production occurring in the months after the birth pulse. Though the proximate causal mechanism is unknown, our results indicate tight coupling between organisms at disparate trophic levels on a short timescale, deepen our understanding of marine ecosystem processes, and raise interesting questions about why such coupling exists and what implications it has for understanding high-latitude ecosystems.</t>
  </si>
  <si>
    <t>[Paterson, J. Terrill; Rotella, Jay J.; Garrott, Robert A.] Montana State Univ, Dept Ecol, Bozeman, MT 59717 USA; [Arrigo, Kevin R.] Stanford Univ, Dept Environm Earth Syst Sci, Stanford, CA 94305 USA</t>
  </si>
  <si>
    <t>Montana State University System; Montana State University Bozeman; Stanford University</t>
  </si>
  <si>
    <t>Paterson, JT (corresponding author), Montana State Univ, Dept Ecol, Bozeman, MT 59717 USA.</t>
  </si>
  <si>
    <t>terrillpaterson@gmail.com</t>
  </si>
  <si>
    <t>Arrigo, Kevin/0000-0002-7364-876X; Rotella, Jay/0000-0001-7014-7524</t>
  </si>
  <si>
    <t>National Science Foundation, Division of Polar Programs [ANT-1141326]; NSF; Directorate For Geosciences; Office of Polar Programs (OPP) [1141326] Funding Source: National Science Foundation</t>
  </si>
  <si>
    <t>National Science Foundation, Division of Polar Programs(National Science Foundation (NSF)); NSF(National Science Foundation (NSF)); Directorate For Geosciences; Office of Polar Programs (OPP)(National Science Foundation (NSF)NSF - Directorate for Geosciences (GEO))</t>
  </si>
  <si>
    <t>This project was supported by the National Science Foundation, Division of Polar Programs (grant no. ANT-1141326 to J.J.R., R.A.G. and Donald B. Siniff) and prior NSF Grants to R.A.G., J.J.R., D.B.S. and J. Ward Testa.</t>
  </si>
  <si>
    <t>ROYAL SOC</t>
  </si>
  <si>
    <t>6-9 CARLTON HOUSE TERRACE, LONDON SW1Y 5AG, ENGLAND</t>
  </si>
  <si>
    <t>0962-8452</t>
  </si>
  <si>
    <t>1471-2954</t>
  </si>
  <si>
    <t>P ROY SOC B-BIOL SCI</t>
  </si>
  <si>
    <t>Proc. R. Soc. B-Biol. Sci.</t>
  </si>
  <si>
    <t>10.1098/rspb.2014.3137</t>
  </si>
  <si>
    <t>Biology; Ecology; Evolutionary Biology</t>
  </si>
  <si>
    <t>Life Sciences &amp; Biomedicine - Other Topics; Environmental Sciences &amp; Ecology; Evolutionary Biology</t>
  </si>
  <si>
    <t>CG5RG</t>
  </si>
  <si>
    <t>Green Published, hybrid</t>
  </si>
  <si>
    <t>WOS:000353351000013</t>
  </si>
  <si>
    <t>Riccio, A; Gogliettino, M; Palmieri, G; Balestrieri, M; Facchiano, A; Rossi, M; Palumbo, S; Monti, G; Cocca, E</t>
  </si>
  <si>
    <t>Riccio, Alessia; Gogliettino, Marta; Palmieri, Gianna; Balestrieri, Marco; Facchiano, Angelo; Rossi, Mose; Palumbo, Stefania; Monti, Giuseppe; Cocca, Ennio</t>
  </si>
  <si>
    <t>A New APEH Cluster with Antioxidant Functions in the Antarctic Hemoglobinless Icefish Chionodraco hamatus</t>
  </si>
  <si>
    <t>ACYLPEPTIDE HYDROLASE; OXIDIZED PROTEIN; SERINE-PROTEASE; DEFENSE SYSTEMS; ADAPTATION; ERYTHROCYTE; STRESS; COLD; FISH; TEMPERATURE</t>
  </si>
  <si>
    <t>Acylpeptide hydrolase (APEH) is a ubiquitous cytosolic protease that plays an important role in the detoxification of oxidised proteins. In this work, to further explore the physiological role of this enzyme, two apeh cDNAs were isolated from the Chionodraco hamatus icefish, which lives in the highly oxygenated Antarctic marine environment. The encoded proteins (APEH-1(Ch) and APEH-2(Ch)) were characterised in comparison with the uniquely expressed isoform from the temperate fish Dicentrarchus labrax (APEH-1(Dl)) and the two APEHs from the red-blooded Antarctic fish Trematomus bernacchii (APEH-1(Tb) and APEH-2(Tb)). Homology modelling and kinetic characterisation of the APEH isoforms provided new insights into their structure/function properties. APEH-2 isoforms were the only ones capable of hydrolysing oxidised proteins, with APEH-2(Ch) being more efficient than APEH-2(Tb) at this specific function. Therefore, this ability of APEH-2 isoforms is the result of an evolutionary adaptation due to the pressure of a richly oxygenated environment. The lack of expression of APEH-2 in the tissues of the temperate fish used as the controls further supported this hypothesis. In addition, analysis of gene expression showed a significant discrepancy between the levels of transcripts and those of proteins, especially for apeh-2 genes, which suggests the presence of post-transcriptional regulation mechanisms, triggered by cold-induced oxidative stress, that produce high basal levels of APEH-2 mRNA as a reserve that is ready to use in case of the accumulation of oxidised proteins.</t>
  </si>
  <si>
    <t>[Riccio, Alessia; Gogliettino, Marta; Palmieri, Gianna; Balestrieri, Marco; Rossi, Mose; Palumbo, Stefania; Cocca, Ennio] CNR, Inst Biosci &amp; BioResources CNR IBBR, I-80125 Naples, Italy; [Facchiano, Angelo] CNR, Inst Food Sci CNR ISA, Avellino, Italy; [Monti, Giuseppe] Ittica Literno Srl, Caserta, Italy</t>
  </si>
  <si>
    <t>Consiglio Nazionale delle Ricerche (CNR); Istituto di Bioscienze e Biorisorse (IBBR-CNR); Consiglio Nazionale delle Ricerche (CNR); Istituto di Scienze dell' Alimentazione (ISA-CNR)</t>
  </si>
  <si>
    <t>Palmieri, G (corresponding author), CNR, Inst Biosci &amp; BioResources CNR IBBR, I-80125 Naples, Italy.</t>
  </si>
  <si>
    <t>g.palmieri@ibp.cnr.it</t>
  </si>
  <si>
    <t>Palumbo, Stefania/IQT-3934-2023; Facchiano, Angelo/K-3375-2012; Balestrieri, Marco/G-1847-2011; Facchiano, Angelo/IVH-4978-2023; Cocca, Ennio/AAY-3817-2020; Palmieri, Gianna/S-4872-2017; Palmieri, Gianna/AAW-6176-2020</t>
  </si>
  <si>
    <t>Facchiano, Angelo/0000-0002-7077-4912; Balestrieri, Marco/0000-0003-4343-2148; Cocca, Ennio/0000-0003-2432-9663; Palmieri, Gianna/0000-0002-9007-4075; Palumbo, Stefania/0000-0002-8084-9818</t>
  </si>
  <si>
    <t>Italian Antarctic Research Program (PNRA) project Role of the Oxygen in the Evolution-Genes and proteins of polar marine organisms [2010/A1.08]; FLAGSHIP 'Interomics' project - Italian MIUR [PB.P05]; CNR; FIRB-MERIT [RBNE08NKH7_008]; Ittica Literno srl</t>
  </si>
  <si>
    <t>Italian Antarctic Research Program (PNRA) project Role of the Oxygen in the Evolution-Genes and proteins of polar marine organisms; FLAGSHIP 'Interomics' project - Italian MIUR; CNR(Consiglio Nazionale delle Ricerche (CNR)); FIRB-MERIT(Ministry of Education, Universities and Research (MIUR)Fund for Investment in Basic Research (FIRB)); Ittica Literno srl</t>
  </si>
  <si>
    <t>EC was supported by Italian Antarctic Research Program (PNRA) project 2010/A1.08 Role of the Oxygen in the Evolution-Genes and proteins of polar marine organisms. AF was supported by FLAGSHIP 'Interomics' project (PB.P05), funded by the Italian MIUR and CNR organizations. GP was supported by FIRB-MERIT RBNE08NKH7_008. The funders had no role in study design, data collection and analysis, decision to publish, or preparation of the manuscript. Ittica Literno srl provided support in the form of salaries for authors (GM), but did not have any additional role in the study design, data collection and analysis, decision to publish, or preparation of the manuscript.</t>
  </si>
  <si>
    <t>MAY 6</t>
  </si>
  <si>
    <t>e0125594</t>
  </si>
  <si>
    <t>10.1371/journal.pone.0125594</t>
  </si>
  <si>
    <t>CH5BQ</t>
  </si>
  <si>
    <t>WOS:000354049700077</t>
  </si>
  <si>
    <t>Chen, GC; Qian, W; Li, J; Xu, YH; Chen, KS</t>
  </si>
  <si>
    <t>Chen, Guochuang; Qian, Wen; Li, Jing; Xu, Yanghui; Chen, Kaoshan</t>
  </si>
  <si>
    <t>Exopolysaccharide of Antarctic bacterium Pseudoaltermonas sp S-5 induces apoptosis in K562 cells</t>
  </si>
  <si>
    <t>CARBOHYDRATE POLYMERS</t>
  </si>
  <si>
    <t>Antarctic bacterium; Exopolysaccharide; Apoptosis; Intrinsic pathway; Human leukemia; K562 cells</t>
  </si>
  <si>
    <t>BCL-2 FAMILY-MEMBERS; CANCER DEVELOPMENT; BETA-GLUCAN; POLYSACCHARIDE; MITOCHONDRIA; PROTEIN; ACTIVATION; ARREST; DEATH</t>
  </si>
  <si>
    <t>The aim of this study was to investigate the anticancer activity of exopolysaccharide (PEP) of Antarctic bacterium Pseudoaltermonas sp. S-5 and elucidate the underlying molecular mechanisms. PEP significantly inhibited the growth of human leukemia K562 cells. Results of morphological characterization showed that PEP-treated cells displayed typical morphological characteristics of apoptosis such as condensation of chromatin and formation of apoptotic bodies. Flow cytometry analyses and colorimetric assay demonstrated that PEP induced collapse of mitochondrial membrane potential and activation of caspase-9, which indicated that intrinsic apoptotic signaling pathway was involved in apoptosis induced by PEP in K562 cells. Western blot analysis showed that PEP increased the ratio of Bax/Bcl-2. In addition, calcium signal might contribute to the cytotoxicity of PEP against K562 cells. These findings suggest that PEP may be potentially effective drug against human leukemia. (C) 2014 Elsevier Ltd. All rights reserved.</t>
  </si>
  <si>
    <t>[Qian, Wen; Li, Jing; Xu, Yanghui; Chen, Kaoshan] Wannan Med Coll, Dept Pharm, Anhui Prov Key Lab Act Biol Macromol, Anhui Prov Engn Res Ctr Polysaccharide Drugs, Wuhu 241000, Peoples R China; [Chen, Guochuang; Chen, Kaoshan] Shandong Univ, Sch Life Sci, Jinan 250100, Peoples R China; [Chen, Guochuang; Chen, Kaoshan] Shandong Univ, Natl Glycoengn Res Ctr, Jinan 250100, Peoples R China; [Chen, Kaoshan] Shandong Univ, State Key Lab Microbial Technol, Jinan 250100, Peoples R China; [Qian, Wen] Huaibei Peoples Hosp, Dept Pharm, Huaibei 235000, Peoples R China</t>
  </si>
  <si>
    <t>Wannan Medical College; Shandong University; Shandong University; Shandong University</t>
  </si>
  <si>
    <t>Chen, KS (corresponding author), Shandong Univ, Sch Life Sci, 27 South Shanda Rd, Jinan 250100, Peoples R China.</t>
  </si>
  <si>
    <t>ksc313@126.com</t>
  </si>
  <si>
    <t>National Basic Research Program of China [2012CB822102]; Anhui Provincial Natural Science Foundation [1408085MH197]; Key Program for the Excellent Young Talents in College of Anhui Province [2013SQRL054ZD]</t>
  </si>
  <si>
    <t>National Basic Research Program of China(National Basic Research Program of China); Anhui Provincial Natural Science Foundation(Natural Science Foundation of Anhui Province); Key Program for the Excellent Young Talents in College of Anhui Province</t>
  </si>
  <si>
    <t>This study was supported by National Basic Research Program of China (No. 2012CB822102), Anhui Provincial Natural Science Foundation (No. 1408085MH197) and the Key Program for the Excellent Young Talents in College of Anhui Province (No. 2013SQRL054ZD).</t>
  </si>
  <si>
    <t>ELSEVIER SCI LTD</t>
  </si>
  <si>
    <t>THE BOULEVARD, LANGFORD LANE, KIDLINGTON, OXFORD OX5 1GB, OXON, ENGLAND</t>
  </si>
  <si>
    <t>0144-8617</t>
  </si>
  <si>
    <t>1879-1344</t>
  </si>
  <si>
    <t>CARBOHYD POLYM</t>
  </si>
  <si>
    <t>Carbohydr. Polym.</t>
  </si>
  <si>
    <t>MAY 5</t>
  </si>
  <si>
    <t>10.1016/j.carbpol.2014.12.045</t>
  </si>
  <si>
    <t>Chemistry, Applied; Chemistry, Organic; Polymer Science</t>
  </si>
  <si>
    <t>Chemistry; Polymer Science</t>
  </si>
  <si>
    <t>CC2NR</t>
  </si>
  <si>
    <t>WOS:000350182400014</t>
  </si>
  <si>
    <t>Verbitsky, J</t>
  </si>
  <si>
    <t>Verbitsky, Jane</t>
  </si>
  <si>
    <t>South Africa, Antarctica, and the ATS: An Unrealized Foreign Policy Leadership Opportunity</t>
  </si>
  <si>
    <t>POLITIKON</t>
  </si>
  <si>
    <t>Although South Africa is a founding member of the Antarctic Treaty, the southernmost continent has played little part in its post-apartheid foreign policy. This article, however, argues that vigorous engagement with Antarctica and Antarctic politics represents an unparalleled opportunity and means for South Africa to simultaneously assert leadership in an increasingly important area of global politics and to address some of its most critical socio-economic problems. Due to its founding member status, the paper suggests that South Africa is uniquely positioned to be able to advocate for and champion reform of the Antarctic Treaty to achieve greater democratization of Antarctic governance. Furthermore, the introduction of a bioprospecting governance framework in the Antarctic commons based on equitable benefit sharing would help reorient South African foreign policy to better meet some of its expressed objectives, and could also generate capital funding revenue for domestic development priorities.</t>
  </si>
  <si>
    <t>AUT Univ, Sch Social Sci &amp; Publ Policy, Auckland, New Zealand</t>
  </si>
  <si>
    <t>Auckland University of Technology</t>
  </si>
  <si>
    <t>Verbitsky, J (corresponding author), AUT Univ, Sch Social Sci &amp; Publ Policy, Auckland, New Zealand.</t>
  </si>
  <si>
    <t>jane.verbitsky@aut.ac.nz</t>
  </si>
  <si>
    <t>AUT Contestable Research Fund [AX14/03]</t>
  </si>
  <si>
    <t>AUT Contestable Research Fund</t>
  </si>
  <si>
    <t>This work was supported by the AUT Contestable Research Fund [grant number AX14/03]. The author gratefully acknowledges the support of the funding body.</t>
  </si>
  <si>
    <t>0258-9346</t>
  </si>
  <si>
    <t>1470-1014</t>
  </si>
  <si>
    <t>POLITIKON-UK</t>
  </si>
  <si>
    <t>Politikon</t>
  </si>
  <si>
    <t>MAY 4</t>
  </si>
  <si>
    <t>10.1080/02589346.2015.1041670</t>
  </si>
  <si>
    <t>Political Science</t>
  </si>
  <si>
    <t>Social Science Citation Index (SSCI)</t>
  </si>
  <si>
    <t>Government &amp; Law</t>
  </si>
  <si>
    <t>CL9YF</t>
  </si>
  <si>
    <t>WOS:000357334300003</t>
  </si>
  <si>
    <t>O'Gorman, JP; Salgado, L; Olivero, EB; Marenssi, SA</t>
  </si>
  <si>
    <t>O'Gorman, Jose P.; Salgado, Leonardo; Olivero, Eduardo B.; Marenssi, Sergio A.</t>
  </si>
  <si>
    <t>Vegasaurus molyi, gen. et sp. nov. (Plesiosauria, Elasmosauridae), from the Cape Lamb Member (lower maastrichtian) of the Snow Hill Island Formation, Vega Island, Antarctica, and remarks on Wedellian Elasmosauridae</t>
  </si>
  <si>
    <t>JOURNAL OF VERTEBRATE PALEONTOLOGY</t>
  </si>
  <si>
    <t>LATE CRETACEOUS STRATIGRAPHY; MARAMBIO GROUP; REPTILIA; SAUROPTERYGIA; SEDIMENTOLOGY; EVOLUTION</t>
  </si>
  <si>
    <t>ABSTRACT-A new elasmosaurid, Vegasaurus molyi, gen. et sp. nov., from Vega Island, James Ross Archipelago, Antarctica, is described. The holotype and only specimen of this species (MLP 93-I-5-1) was collected from the lower Maastrichtian Cape Lamb Member of the Snow Hill Island Formation. Vegasaurus molyi is the only Antarctic elasmosaurid and one of only a few Late Cretaceous elasmosaurids from the Southern Hemisphere whose postcranial anatomy is well known. Vegasaurus molyi is distinguished from other elasmosaurids by the following combination of characters: cervical region with 54 vertebrae with elongated centra, dumbbell-shaped articular faces and lateral ridge present in the anterior and middle parts of the neck but absent in the posterior-most cervical vertebrae; scapula with ventral ramus bearing a strong ridge in the anteromedial corner of its dorsal surface; ilium shaft with expanded distal end, divided into two parts forming an angle of 140 degrees opening anteriorly; and humerus with anterior knee and prominent posterior projection with accessory posterior articular facet. Preliminary phylogenetic analysis places V. molyi within a clade that includes the Late Cretaceous Wedellian aristonectine elasmosaurids, Aristonectes and Kaiwhekea. This indicates a close relationship between Aristonectinae and non-Aristonectinae Late Cretaceous Weddellian elasmosaurids and suggests a Weddellian origin for the Aristonectinae.http://zoobank.org/urn:lsid:zoobank.org:pub:1B9D10DA-0373-41B5-BFFF-E7AC25D79BF3 SUPPLEMENTAL DATA-Supplemental materials are available for this article for free at www.tandfonline.com/UJVP</t>
  </si>
  <si>
    <t>[O'Gorman, Jose P.] Univ Nacl La Plata, Div Paleontol Vertebrados, Museo La Plata, RA-1900 La Plata, Buenos Aires, Argentina; [O'Gorman, Jose P.; Marenssi, Sergio A.] Consejo Nacl Invest Cient &amp; Tecn, Caba, Argentina; [Salgado, Leonardo] Univ Nacl Rio Negro, Inst Invest Paleobiol &amp; Geol, CONICET, Gen Roca, Argentina; [Olivero, Eduardo B.] Consejo Nacl Invest Cient &amp; Tecn, Ctr Austral Invest Cient, RA-9410 Ushuaia, Argentina; [Marenssi, Sergio A.] Univ Buenos Aires, Inst Geociencias Basicas Aplicadas &amp; Ambientales, Fac Ciencias Exactas &amp; Nat, CONICET,Dept Ciencias Geol, Buenos Aires, DF, Argentina</t>
  </si>
  <si>
    <t>National University of La Plata; Museo La Plata; Consejo Nacional de Investigaciones Cientificas y Tecnicas (CONICET); Consejo Nacional de Investigaciones Cientificas y Tecnicas (CONICET); Consejo Nacional de Investigaciones Cientificas y Tecnicas (CONICET); University of Buenos Aires; Consejo Nacional de Investigaciones Cientificas y Tecnicas (CONICET)</t>
  </si>
  <si>
    <t>O'Gorman, JP (corresponding author), Univ Nacl La Plata, Div Paleontol Vertebrados, Museo La Plata, Paseo Bosque S-N,B1900FWA, RA-1900 La Plata, Buenos Aires, Argentina.</t>
  </si>
  <si>
    <t>joseogorman@fcnym.unlp.edu.ar; lsalgado@unrn.edu.ar; emolivero@gmail.com; smarenssi@dna.gov.ar</t>
  </si>
  <si>
    <t>O’Gorman, José/AAK-6096-2021</t>
  </si>
  <si>
    <t>[PICT 2008-0261]; [PICT 2012-0748]; [PICTO 2010-0093]; [UNLP N 677]; [UNLP N607]</t>
  </si>
  <si>
    <t>; ; ; ;</t>
  </si>
  <si>
    <t>This research was supported by projects PICT 2008-0261, PICT 2012-0748, PICTO 2010-0093, UNLP N 677, and UNLP N607. The authors thank Z. Gasparini for reading an earlier version of the manuscript, N. Hiller for comments that improved the English grammar, and M. Reguero, J. Martin, J. Moly, and A. Concheyro for their Antarctic field work and comments that improved the manuscript. The authors also thank the work of two anonymous reviewers and R. O'Keefe for comments that improved the manuscript. This contribution would have not been possible without logistic support from the Instituto Antartico Argentino (Buenos Aires) and the Fuerza Aerea Argentina. E. Fordyce (Otago University), P. Scofield (Canterbury Museum), and J. Simes (National Paleontology Collection, GNS Science Avalon) allowed us to review the elasmosaurs from those institutions. We also thank N. Hiller for help during the revision of some specimens from Canterbury Museum. Thanks to L. Acosta Burllaile for the preparation of some elements and B. Pianzola for taking some of the photographs.</t>
  </si>
  <si>
    <t>TAYLOR &amp; FRANCIS INC</t>
  </si>
  <si>
    <t>PHILADELPHIA</t>
  </si>
  <si>
    <t>530 WALNUT STREET, STE 850, PHILADELPHIA, PA 19106 USA</t>
  </si>
  <si>
    <t>0272-4634</t>
  </si>
  <si>
    <t>1937-2809</t>
  </si>
  <si>
    <t>J VERTEBR PALEONTOL</t>
  </si>
  <si>
    <t>J. Vertebr. Paleontol.</t>
  </si>
  <si>
    <t>10.1080/02724634.2014.931285</t>
  </si>
  <si>
    <t>Paleontology</t>
  </si>
  <si>
    <t>CJ7MO</t>
  </si>
  <si>
    <t>WOS:000355679900011</t>
  </si>
  <si>
    <t>Ivanov, V; Maslov, P; Aksenov, Y; Coward, A</t>
  </si>
  <si>
    <t>Ivanov, Vladimir; Maslov, Pavel; Aksenov, Yevgeny; Coward, Andrew</t>
  </si>
  <si>
    <t>Shelf-basin exchange in the Laptev Sea in the warming climate: a model study</t>
  </si>
  <si>
    <t>GEOPHYSICAL AND ASTROPHYSICAL FLUID DYNAMICS</t>
  </si>
  <si>
    <t>Article; Proceedings Paper</t>
  </si>
  <si>
    <t>Workshop on the Dynamics of Shelf Seas</t>
  </si>
  <si>
    <t>OCT 23-24, 2013</t>
  </si>
  <si>
    <t>Univ Liverpool, Liverpool, ENGLAND</t>
  </si>
  <si>
    <t>Univ Liverpool</t>
  </si>
  <si>
    <t>Shelf-basin exchange; Dense water cascading; Arctic Ocean; Sea ice; Climate change</t>
  </si>
  <si>
    <t>ARCTIC-OCEAN; DENSE WATER; ATLANTIC WATER; ICE; CIRCULATION; VARIABILITY; ADVECTION; STRAIT; IMPACT</t>
  </si>
  <si>
    <t>GCM-based forecast simulations predict continuously increasing seasonality of the sea ice cover and an almost ice-free, summer-time, Arctic Ocean within several decades from the present. In this study we use a primitive equation ocean model: NEMO, coupled with the sea ice model LIM2, to test the hypothesis that under such an increased range in seasonal ice cover the intensity of shelf-basin water exchange will significantly increase. We use the simulated results for the Laptev Sea from a global model run 1958-2007 and compare results for two years with anomalously high and low summer sea ice extents: 1986-1987 and 2006-2007. The shelf-basin fluxes of volume, heat and salt during specific seasons are evaluated and attributed to plausible driving processes, with particular attention to dense water cascading. Analyses of the model temperature distribution at the depth of the intermediate maximum, associated with Atlantic Water, have shown a marked increase of the amount of the local origin cold water in late winter 2007 in the region, where dense water typically appears as a result of its formation on the shelf and subsequent downslope leakage. Calculation of the shelf-basin exchange during March-May in both years confirmed a substantial increase (a factor of two) of fluxes in ice-free 2007 compared to the icy 1987. According to several past model studies, dense water production on Arctic shelves in winter driven by ice freezing and brine rejection is not likely to cease in a warmer climate, but rather to increase. There is also observational evidence that cascading in the seasonally ice covered seas (e.g. the Barents Sea) is much more efficient than it is in the permanently ice covered Arctic Ocean, which supports these model results.</t>
  </si>
  <si>
    <t>[Ivanov, Vladimir] Arctic &amp; Antarctic Res Inst, St Petersburg 199226, Russia; [Ivanov, Vladimir] Hydrometeorol Ctr Russia, Moscow, Russia; [Ivanov, Vladimir] Univ Alaska, Int Arctic Res Ctr, Fairbanks, AK 99701 USA; [Maslov, Pavel] OOO Ecoexpress Serv, St Petersburg, Russia; [Aksenov, Yevgeny; Coward, Andrew] Natl Oceanog Ctr, Southampton, Hants, England</t>
  </si>
  <si>
    <t>Arctic &amp; Antarctic Research Institute; University of Alaska System; University of Alaska Fairbanks; NERC National Oceanography Centre</t>
  </si>
  <si>
    <t>Ivanov, V (corresponding author), Arctic &amp; Antarctic Res Inst, St Petersburg 199226, Russia.</t>
  </si>
  <si>
    <t>vladimir.ivanov@aari.ru</t>
  </si>
  <si>
    <t>Ivanov, Vladimir/J-5979-2014; Ivanov, Vladimir/AAX-6830-2020</t>
  </si>
  <si>
    <t>Ivanov, Vladimir/0000-0003-2569-6027;</t>
  </si>
  <si>
    <t>Russian Science Foundation [14-37-00053]; UK Natural Environment Research Council through the Marine Centres' Strategic Research Programmes; Arctic Research Programme TEA-COSI project [NE/I028947/1]; Natural Environment Research Council [noc010010, NE/I028947/1] Funding Source: researchfish; Russian Science Foundation [14-37-00053] Funding Source: Russian Science Foundation; NERC [NE/I028947/1, noc010010] Funding Source: UKRI</t>
  </si>
  <si>
    <t>Russian Science Foundation(Russian Science Foundation (RSF)); UK Natural Environment Research Council through the Marine Centres' Strategic Research Programmes; Arctic Research Programme TEA-COSI project; Natural Environment Research Council(UK Research &amp; Innovation (UKRI)Natural Environment Research Council (NERC)); Russian Science Foundation(Russian Science Foundation (RSF)); NERC(UK Research &amp; Innovation (UKRI)Natural Environment Research Council (NERC))</t>
  </si>
  <si>
    <t>The authors would like to express their deep respect to Professor John Huthnance, M.B.E. of the National Oceanographic Centre (NOC), whose fundamental contribution to the theory of dense water cascading in the World Ocean inspired this investigation. We would like to thank our former colleague Beverly de Cuevas from the NOC for performing the model experiments. From the Russian side this study was supported by the Russian Science Foundation (grant #14-37-00053). At the NOC this study was supported by the UK Natural Environment Research Council through the Marine Centres' Strategic Research Programmes and is a contribution to the Arctic Research Programme TEA-COSI project (Project ID: NE/I028947/1). The NOCS-ORCA simulations were undertaken as part of the DRAKKAR collaboration (Barnier et al. 2006). NOC also acknowledges the use of UK National High Performance Computing Resource. V. Ivanov is grateful to IARC director Larry Hinzman for the opportunity to finalise this paper during his visit in Fairbanks.</t>
  </si>
  <si>
    <t>TAYLOR &amp; FRANCIS LTD</t>
  </si>
  <si>
    <t>2-4 PARK SQUARE, MILTON PARK, ABINGDON OR14 4RN, OXON, ENGLAND</t>
  </si>
  <si>
    <t>0309-1929</t>
  </si>
  <si>
    <t>1029-0419</t>
  </si>
  <si>
    <t>GEOPHYS ASTRO FLUID</t>
  </si>
  <si>
    <t>Geophys. Astrophys. Fluid Dyn.</t>
  </si>
  <si>
    <t>10.1080/03091929.2015.1025776</t>
  </si>
  <si>
    <t>Astronomy &amp; Astrophysics; Geochemistry &amp; Geophysics; Mechanics</t>
  </si>
  <si>
    <t>Science Citation Index Expanded (SCI-EXPANDED); Conference Proceedings Citation Index - Science (CPCI-S)</t>
  </si>
  <si>
    <t>CL6QW</t>
  </si>
  <si>
    <t>WOS:000357093200005</t>
  </si>
  <si>
    <t>Fuentes, N; Saldaña, A; Kühn, I; Klotz, S</t>
  </si>
  <si>
    <t>Fuentes, Nicol; Saldana, Alfredo; Kuehn, Ingolf; Klotz, Stefan</t>
  </si>
  <si>
    <t>Climatic and socio-economic factors determine the level of invasion by alien plants in Chile</t>
  </si>
  <si>
    <t>PLANT ECOLOGY &amp; DIVERSITY</t>
  </si>
  <si>
    <t>climate; latitudinal gradient; alien plants; Chile; socio-economic parameters</t>
  </si>
  <si>
    <t>PROTECTED AREAS; GLOBAL PATTERNS; LAND-USE; SPREAD; ROADS; RICHNESS; ECOLOGY; SCALE; TIME; PARK</t>
  </si>
  <si>
    <t>Background: Economic activities are substantial factors in alien plant establishment and invasions. Climate also plays an important role in the distribution of alien species. Aims: We evaluate the relationship between alien species density and both climatic and socio-economic factors at the scale of provinces located in a latitudinal-bioclimatic gradient in Chile. Methods: We used generalised linear models with backward selection to evaluate the relative importance of each parameter (human population, gross domestic product, length of traffic routes, crop cover, abandoned crop cover, artificial plantations, protected areas, annual rainfall and temperature) on species density. We compared the average species density among climate types. Results: Alien density was higher for provinces located in the most populated areas with Mediterranean and temperate oceanic climates (south-central Chile) and decreased for less populated provinces in the north and the southernmost parts (desert and sub-Antarctic wetlands). Human population, length of traffic routes and annual rainfall significantly explained the variation in alien species density in Chile. Conclusions: Although human population still increases, the results can be used especially in high priority conservation areas where traffic routes and human settlements can be objectively reduced or managed, to reduce the potential increase in the number of alien species.</t>
  </si>
  <si>
    <t>[Fuentes, Nicol] Univ Concepcion, Fac Ciencias Forestales, Lab Invas Biol, Concepcion, Chile; [Fuentes, Nicol] Inst Ecol &amp; Biodiversidad, Santiago, Chile; [Saldana, Alfredo] Univ Concepcion, Dept Bot, Concepcion, Chile; [Kuehn, Ingolf; Klotz, Stefan] Helmholtz Ctr Environm Res, Dept Community Ecol, UFZ, Halle, Germany; [Kuehn, Ingolf] Univ Halle Wittenberg, Inst Biol Geobot &amp; Bot Garden, D-06108 Halle, Germany; [Kuehn, Ingolf; Klotz, Stefan] German Ctr Integrat Biodivers Res iDiv, Leipzig, Germany</t>
  </si>
  <si>
    <t>Universidad de Concepcion; Universidad de Concepcion; Helmholtz Association; Helmholtz Center for Environmental Research (UFZ); Martin Luther University Halle Wittenberg</t>
  </si>
  <si>
    <t>Saldaña, A (corresponding author), Univ Concepcion, Dept Bot, Concepcion, Chile.</t>
  </si>
  <si>
    <t>asaldana@udec.cl</t>
  </si>
  <si>
    <t>Kühn, Ingolf/B-9756-2009; Fuentes, Nicol/IWU-9404-2023; Klotz, Stefan/GYD-4267-2022; Saldaña, Alfredo/C-8826-2011</t>
  </si>
  <si>
    <t>Kühn, Ingolf/0000-0003-1691-8249; Fuentes, Nicol/0000-0002-3773-9832; Klotz, Stefan/0000-0003-4355-6415; Saldana, Alfredo/0000-0001-5161-5150</t>
  </si>
  <si>
    <t>European Union within the FP 6 Integrated Project ALARM [GOCE-CT-2003-506675]; [FONDECYT-3120125]</t>
  </si>
  <si>
    <t>European Union within the FP 6 Integrated Project ALARM;</t>
  </si>
  <si>
    <t>We thank the financial support of the European Union within the FP 6 Integrated Project ALARM (GOCE-CT-2003-506675; Settele et al. 2005). NF thanks the postdoctoral grant FONDECYT-3120125.</t>
  </si>
  <si>
    <t>1755-0874</t>
  </si>
  <si>
    <t>1755-1668</t>
  </si>
  <si>
    <t>PLANT ECOL DIVERS</t>
  </si>
  <si>
    <t>Plant Ecol. Divers.</t>
  </si>
  <si>
    <t>10.1080/17550874.2014.984003</t>
  </si>
  <si>
    <t>CI2EK</t>
  </si>
  <si>
    <t>WOS:000354557600002</t>
  </si>
  <si>
    <t>Barras, C</t>
  </si>
  <si>
    <t>Barras, Colin</t>
  </si>
  <si>
    <t>Antarctic aquifers may teem with life</t>
  </si>
  <si>
    <t>NEW SCIENTIST</t>
  </si>
  <si>
    <t>News Item</t>
  </si>
  <si>
    <t>REED BUSINESS INFORMATION LTD</t>
  </si>
  <si>
    <t>SUTTON</t>
  </si>
  <si>
    <t>QUADRANT HOUSE THE QUADRANT, SUTTON SM2 5AS, SURREY, ENGLAND</t>
  </si>
  <si>
    <t>0262-4079</t>
  </si>
  <si>
    <t>NEW SCI</t>
  </si>
  <si>
    <t>New Sci.</t>
  </si>
  <si>
    <t>MAY 2</t>
  </si>
  <si>
    <t>CH4NT</t>
  </si>
  <si>
    <t>WOS:000354010900008</t>
  </si>
  <si>
    <t>Grimaldi, WW; Seddon, PJ; Lyver, PO; Nakagawa, S; Tompkins, DM</t>
  </si>
  <si>
    <t>Grimaldi, Wray W.; Seddon, Phil J.; Lyver, Phil O'B.; Nakagawa, Shinichi; Tompkins, Daniel M.</t>
  </si>
  <si>
    <t>Infectious diseases of Antarctic penguins: current status and future threats</t>
  </si>
  <si>
    <t>POLAR BIOLOGY</t>
  </si>
  <si>
    <t>Review</t>
  </si>
  <si>
    <t>Connectivity; Global environmental change; Human impact; Pathogen pollution; Spheniscidae; Surveillance</t>
  </si>
  <si>
    <t>PERSISTENT ORGANIC POLLUTANTS; PETREL MACRONECTES-GIGANTEUS; INFLUENZA-A VIRUS; SOUTH-POLAR SKUAS; MACQUARIE ISLAND; KING PENGUIN; NEWCASTLE-DISEASE; CLIMATE-CHANGE; EDWARDSIELLA-TARDA; GENETIC DIVERSITY</t>
  </si>
  <si>
    <t>Until roughly 200 years ago, the Antarctic was untouched by humankind. With ratification of the Antarctic Treaty in 1961, this region was set aside forever for peaceful purposes and as a science preserve. However, Antarctic national programs and tourism activities are growing, increasing the risks of introduction of infectious diseases into wildlife within the Antarctic Treaty area. The immunological naivete of Antarctic species makes them vulnerable to pathogen's commonplace in other parts of the world. We review past disease investigations of Antarctic penguins, and outline potential drivers of future disease emergence. Efforts to establish the nature of disease agents in Antarctic penguins, although ongoing since the late 1950s, remain not only patchy and limited in scope but are a lower priority issue for the majority of Antarctic Treaty parties. Pollution, increased connectivity, and global environmental change affecting pathogens and vectors at high latitudes are likely to drive future disease emergence in this region. However, a coordinated plan for disease emergence monitoring is lacking with no formally established programs in place, and surveillance is currently left up to individual interested research groups. We propose possible steps toward the goal of establishing baseline data and tracking infectious diseases in Antarctic penguin species, with the anticipated further increase in human activity and environmental changes in the Antarctic in mind.</t>
  </si>
  <si>
    <t>[Grimaldi, Wray W.; Seddon, Phil J.; Nakagawa, Shinichi] Univ Otago, Dept Zool, POB 56, Dunedin, New Zealand; [Lyver, Phil O'B.] Landcare Res, Lincoln, New Zealand; [Tompkins, Daniel M.] Landcare Res, Dunedin, New Zealand</t>
  </si>
  <si>
    <t>University of Otago; Landcare Research - New Zealand; Landcare Research - New Zealand</t>
  </si>
  <si>
    <t>Grimaldi, WW (corresponding author), Univ Otago, Dept Zool, POB 56, Dunedin, New Zealand.</t>
  </si>
  <si>
    <t>wray.grimaldi@postgrad.otago.ac.nz</t>
  </si>
  <si>
    <t>Nakagawa, Shinichi/B-5571-2011; Seddon, Philip/G-8659-2011</t>
  </si>
  <si>
    <t>Nakagawa, Shinichi/0000-0002-7765-5182; Seddon, Philip/0000-0001-9076-9566; Tompkins, Daniel/0000-0003-3209-8084</t>
  </si>
  <si>
    <t>Otago Postgraduate Scholarship; New Zealand Ministry for Business, Innovation and Employment</t>
  </si>
  <si>
    <t>Otago Postgraduate Scholarship; New Zealand Ministry for Business, Innovation and Employment(New Zealand Ministry of Business, Innovation and Employment (MBIE))</t>
  </si>
  <si>
    <t>Funding was provided by a University of Otago Postgraduate Scholarship and the New Zealand Ministry for Business, Innovation and Employment. We would also like to thank the editor and two anonymous reviewers for constructive comments to improve this manuscript.</t>
  </si>
  <si>
    <t>ONE NEW YORK PLAZA, SUITE 4600, NEW YORK, NY, UNITED STATES</t>
  </si>
  <si>
    <t>0722-4060</t>
  </si>
  <si>
    <t>1432-2056</t>
  </si>
  <si>
    <t>POLAR BIOL</t>
  </si>
  <si>
    <t>Polar Biol.</t>
  </si>
  <si>
    <t>MAY</t>
  </si>
  <si>
    <t>10.1007/s00300-014-1632-5</t>
  </si>
  <si>
    <t>Biodiversity Conservation; Ecology</t>
  </si>
  <si>
    <t>DE7TC</t>
  </si>
  <si>
    <t>WOS:000370838600001</t>
  </si>
  <si>
    <t>Daneri, GA; Carlini, AR; Marschoff, ER; Harrington, A; Negrete, J; Mennucci, JA; Márquez, MEI</t>
  </si>
  <si>
    <t>Daneri, G. A.; Carlini, A. R.; Marschoff, E. R.; Harrington, A.; Negrete, J.; Mennucci, J. A.; Marquez, M. E. I.</t>
  </si>
  <si>
    <t>The feeding habits of the Southern elephant seal, Mirounga leonina, at Isla 25 de Mayo/King George Island, South Shetland Islands</t>
  </si>
  <si>
    <t>Mirounga leonina; Diet; Cephalopods; Fish; South Shetlands; Antarctica</t>
  </si>
  <si>
    <t>ANTARCTIC FUR SEALS; JUVENILE SOUTHERN; STABLE-ISOTOPES; CEPHALOPOD PREY; ARCTOCEPHALUS-GAZELLA; KERGUELEN ISLANDS; STOMACH CONTENTS; DIET COMPOSITION; DIVING BEHAVIOR; WEDDELL SEALS</t>
  </si>
  <si>
    <t>The Southern elephant seal (Mirounga leonina) is a major consumer from the Southern Ocean. This species is highly sexually dimorphic and frequently exhibits resource partitioning according to sex and/or age classes. This study analysed the feeding habits of the M. leonina population from Isla 25 de mayo (King George Island) in the spring/summer seasons of 1995/1996-2002/2003. A total of 232 individuals from different sex-age groups were stomach lavaged. The analysis of stomach samples showed that cephalopods were the main prey followed by fish, their frequency of occurrence being 98.1 and 17.9 % respectively. Cephalopods were dominated by the Antarctic glacial squid, Psychroteuthis glacialis, which occurred in 83 % of samples, constituting 57.2 % in numbers and 61.3 % in mass. Octopods were of lesser relevance, occurring in 18 % of samples, but became more important in the diet of male individuals. Juvenile seals fed on a lower variety of cephalopod prey than older ones. This would coincide with the diving pattern characteristic of the different sex-age categories of seals. The predominance of P. glacialis might be associated with the more southerly location of the foraging areas of this population compared to others. Fish were largely represented by the myctophid Gymnoscopelus nicholsi, which occurred in 81.3 % of samples containing otoliths and constituted 76.4 % in numbers and 66.4 % in mass. However, while myctophids may be the dominant fish prey of elephant seals in areas close to the South Shetlands, they would be probably replaced by P. antarcticum as seals migrate towards higher latitudes.</t>
  </si>
  <si>
    <t>[Daneri, G. A.; Harrington, A.] Museo Argentino Ciencias Nat Bernardino Rivadavio, Div Mastozool, Ave Angel Gallardo 470,C1405DJR, Buenos Aires, DF, Argentina; [Carlini, A. R.; Marschoff, E. R.; Negrete, J.; Mennucci, J. A.; Marquez, M. E. I.] Inst Antartico Argentino, Dept Biol Predadores Tope, Buenos Aires, DF, Argentina</t>
  </si>
  <si>
    <t>Museo Argentino de Ciencias Naturales Bernardino Rivadavia (MACN); Instituto Antartico Argentino</t>
  </si>
  <si>
    <t>Daneri, GA (corresponding author), Museo Argentino Ciencias Nat Bernardino Rivadavio, Div Mastozool, Ave Angel Gallardo 470,C1405DJR, Buenos Aires, DF, Argentina.</t>
  </si>
  <si>
    <t>gdaneri@macn.gov.ar</t>
  </si>
  <si>
    <t>Negrete, Javier/0000-0001-6853-8307</t>
  </si>
  <si>
    <t>Direccion Nacional del Antartico; Agencia Nacional de Promocion Cientifica y Tecnologica [11559-36054]</t>
  </si>
  <si>
    <t>Direccion Nacional del Antartico; Agencia Nacional de Promocion Cientifica y Tecnologica(ANPCyTSpanish Government)</t>
  </si>
  <si>
    <t>We wish to thank Dr. Marthan Bester and two anonymous reviewers for their helpful comments on the manuscript. We are also grateful to Mr. Campbell McMillan for improvement of the English language in text. This work was funded by the Direccion Nacional del Antartico and the Agencia Nacional de Promocion Cientifica y Tecnologica (Grants: Picto No. 11559-36054). Our procedures conform with the Code of Ethics of Animal Experimentation in Antarctica. The permit for this work was granted by the Direccion Nacional del Antartico (Environmental Office), Argentina. This work is dedicated to the memory of Dr. Alejandro Carlini (Alex'').</t>
  </si>
  <si>
    <t>10.1007/s00300-014-1629-0</t>
  </si>
  <si>
    <t>WOS:000370838600007</t>
  </si>
  <si>
    <t>Nedzarek, A; Tórz, A; Rakusa-Suszczewski, S; Bonislawska, M</t>
  </si>
  <si>
    <t>Nedzarek, Arkadiusz; Torz, Agnieszka; Rakusa-Suszczewski, Stanislaw; Bonislawska, Malgorzata</t>
  </si>
  <si>
    <t>Nitrogen and phosphorus release during fish decomposition and implications for the ecosystem of maritime Antarctica</t>
  </si>
  <si>
    <t>Antarctica; Notothenia coriiceps; Fish decomposition; Nitrogen; Phosphorus</t>
  </si>
  <si>
    <t>KING-GEORGE-ISLAND; SOUTH-SHETLAND; NOTOTHENIA-CORIICEPS; ODONTASTER-VALIDUS; CHEMICAL SIGNAL; ADMIRALTY BAY; AMINO-ACIDS; ABUNDANCE; CARCASSES; RESPONSES</t>
  </si>
  <si>
    <t>Nitrogen and phosphorus release during decomposition of Notothenia coriiceps (Richardson, 1844) fillets kept in seawater was examined in the laboratory. Amounts of N-NO2-, N-NO3-, N-NH4+, total inorganic nitrogen, total organic nitrogen (TON), total nitrogen (TN), total reactive phosphorus, total organic phosphorus (TOP), and total phosphorus (TP) released during a 5-day exposure were measured. The highest average release (from the standard 100 g fillet wet weight) was typical of TON and TN (2.574 and 2.703 mgN dm(-3), respectively) as well as of TOP and TP (1.526 and 2.648 mgP dm(-3), respectively). The release was observed to be most intense during the initial 120 min of decomposition. As shown by the accumulation rate coefficient, the highest rate of nutrient accumulation in water was typical of organic forms of N and P (0.827 and 1.329, respectively). Organic nitrogen and organic phosphorus accounted for 94 and 54 % of TN and TP release, respectively. In the experiment, nitrogen and phosphorus were released from the fish remains with leached chemicals, which may form important chemical cues for scavengers.</t>
  </si>
  <si>
    <t>[Nedzarek, Arkadiusz; Torz, Agnieszka; Bonislawska, Malgorzata] West Pomeranian Univ Technol Szczecin, Dept Aquat Sozol, K Krolewicza 4, PL-71550 Szczecin, Poland; [Nedzarek, Arkadiusz; Rakusa-Suszczewski, Stanislaw] Polish Acad Sci, Inst Biochem &amp; Biophys, Dept Antarctic Biol, PL-02141 Warsaw, Poland</t>
  </si>
  <si>
    <t>West Pomeranian University of Technology; Polish Academy of Sciences; Institute of Biochemistry &amp; Biophysics - Polish Academy of Sciences</t>
  </si>
  <si>
    <t>Nedzarek, A (corresponding author), West Pomeranian Univ Technol Szczecin, Dept Aquat Sozol, K Krolewicza 4, PL-71550 Szczecin, Poland.</t>
  </si>
  <si>
    <t>arkadiusz.nedzarek@zut.edu.pl</t>
  </si>
  <si>
    <t>Tórz, Agnieszka/AAG-9251-2021; Bonisławska, Małgorzata/AAP-9181-2021; Nędzarek, Arkadiusz/F-3959-2016</t>
  </si>
  <si>
    <t>Tórz, Agnieszka/0000-0003-2159-981X; Bonisławska, Małgorzata/0000-0002-4567-7627; Nędzarek, Arkadiusz/0000-0002-6094-3647</t>
  </si>
  <si>
    <t>10.1007/s00300-014-1612-9</t>
  </si>
  <si>
    <t>WOS:000370838600012</t>
  </si>
  <si>
    <t>Haddad, WA; Reisinger, RR; Scott, T; Bester, MN; de Bruyn, PJN</t>
  </si>
  <si>
    <t>Haddad, William A.; Reisinger, Ryan R.; Scott, Tristan; Bester, Marthan N.; de Bruyn, P. J. Nico</t>
  </si>
  <si>
    <t>Multiple occurrences of king penguin (Aptenodytes patagonicus) sexual harassment by Antarctic fur seals (Arctocephalus gazella)</t>
  </si>
  <si>
    <t>Sexual coercion; Reproductive interference; Arctocephalus gazella; Aptenodytes patagonicus; Marion Island; Animal behaviour</t>
  </si>
  <si>
    <t>COERCION; MAMMALS; LIONS</t>
  </si>
  <si>
    <t>Sexual coercion is the use of force to achieve mating, while reproductive interference encompasses many forms of interspecific interactions during mating. We describe three new occurrences of the sexual coercion of king penguins (Aptenodytes patagonicus) by Antarctic fur seals (Arctocephalus gazella) on sub-Antarctic Marion Island. These recurrent observations follow a common pattern where the seal chases, captures and mounts the penguin, followed by copulation attempts. These observations are similar to a previously published observation from the same island, and we suggest that this may be an emergent behaviour. Two hypotheses directed at possible drivers for these coercive actions are examined: it may be learned behaviour associated with some sort of reward or it may be an extreme case of reproductive interference that can be explained by the 'mate deprivation hypothesis', resulting from the continued growth of the A. gazella population on the island. Reporting of similar occurrences from a range of species may allow more robust inference towards the ultimate drivers of the behaviour.</t>
  </si>
  <si>
    <t>[Haddad, William A.; Reisinger, Ryan R.; Scott, Tristan; Bester, Marthan N.; de Bruyn, P. J. Nico] Univ Pretoria, Mammal Res Inst, Dept Zool &amp; Entomol, Private Bag X20, ZA-0028 Hatfield, South Africa</t>
  </si>
  <si>
    <t>de Bruyn, PJN (corresponding author), Univ Pretoria, Mammal Res Inst, Dept Zool &amp; Entomol, Private Bag X20, ZA-0028 Hatfield, South Africa.</t>
  </si>
  <si>
    <t>wahaddad@gmail.com; rrreisinger@zoology.up.ac.za; tristan1610@gmail.com; mnbester@zoology.up.ac.za; pjndebruyn@zoology.up.ac.za</t>
  </si>
  <si>
    <t>Reisinger, Ryan R/D-6151-2014; Bester, Marthán N/E-5387-2010; de Bruyn, P. J. Nico/E-4176-2010</t>
  </si>
  <si>
    <t>Reisinger, Ryan R/0000-0002-8933-6875; de Bruyn, P. J. Nico/0000-0002-9114-9569</t>
  </si>
  <si>
    <t>Department of Science and Technology (DST), through the National Research Foundation (NRF) (South Africa)</t>
  </si>
  <si>
    <t>We thank Mr. F. W. Fourie for the use of his photograph, Ms. D. Cory Toussaint for help with preparing the manuscript and two anonymous referees for useful comments on the manuscript. The Department of Environmental Affairs and Tourism supplied logistic support within the South African National Antarctic Programme. The Department of Science and Technology (DST), through the National Research Foundation (NRF) (South Africa), provided financial support. Any opinion, findings and conclusions or recommendations expressed in this material are those of the authors, and therefore, the NRF and DST do not accept any liability in regard thereto.</t>
  </si>
  <si>
    <t>10.1007/s00300-014-1618-3</t>
  </si>
  <si>
    <t>WOS:000370838600013</t>
  </si>
  <si>
    <t>Redenbach, C; Särkkä, A; Sormani, M</t>
  </si>
  <si>
    <t>Redenbach, Claudia; Sarkka, Aila; Sormani, Martina</t>
  </si>
  <si>
    <t>Classification of points in superpositions of Strauss and Poisson processes</t>
  </si>
  <si>
    <t>SPATIAL STATISTICS</t>
  </si>
  <si>
    <t>Bayesian inference; Markov chain Monte Carlo; Noise detection; Noise removal; Parameter estimation; Spatial point process</t>
  </si>
  <si>
    <t>FEATURES; CLUTTER</t>
  </si>
  <si>
    <t>Consider a realisation of a point process which is formed as a superposition of a regular point process, here a Strauss process, and some Poisson noise. The aim of the current work is to decide which of the two processes each point belongs to. We construct an MCMC algorithm which estimates the parameters of the superposition model and obtains posterior probabilities for each point of being a Strauss point. The algorithm is evaluated in a simulation study. Finally, it is applied to our motivating data set containing the locations of air bubbles, some of which are noise, in an Antarctic ice core. (C) 2015 Elsevier B.V. All rights reserved.</t>
  </si>
  <si>
    <t>[Redenbach, Claudia; Sormani, Martina] Univ Kaiserslautern, Dept Math, D-67653 Kaiserslautern, Germany; [Sarkka, Aila] Chalmers Univ Technol, S-41296 Gothenburg, Sweden; [Sarkka, Aila] Univ Gothenburg, Dept Math Sci, S-41296 Gothenburg, Sweden; [Sormani, Martina] Fraunhofer Inst Techno &amp; Wirtschaftsmath, D-67663 Kaiserslautern, Germany</t>
  </si>
  <si>
    <t>University of Kaiserslautern; Chalmers University of Technology; University of Gothenburg; Fraunhofer Gesellschaft</t>
  </si>
  <si>
    <t>Redenbach, C (corresponding author), Univ Kaiserslautern, Dept Math, D-67653 Kaiserslautern, Germany.</t>
  </si>
  <si>
    <t>redenbach@mathematik.uni-kl.de; aila@chalmers.se; martina.sormani@itwm.fraunhofer.de</t>
  </si>
  <si>
    <t>Redenbach, Claudia/0000-0002-8030-069X</t>
  </si>
  <si>
    <t>Center for Mathematical and Computational Modelling (CM)2; Knut and Alice Wallenberg Foundation (KAW) [2012.0067]; Swedish Foundation for Strategic Research (SSF) [AM13-0066]; Swedish Foundation for Strategic Research (SSF) [AM13-0066] Funding Source: Swedish Foundation for Strategic Research (SSF)</t>
  </si>
  <si>
    <t>Center for Mathematical and Computational Modelling (CM)2; Knut and Alice Wallenberg Foundation (KAW)(Knut &amp; Alice Wallenberg Foundation); Swedish Foundation for Strategic Research (SSF)(Swedish Foundation for Strategic Research); Swedish Foundation for Strategic Research (SSF)(Swedish Foundation for Strategic Research)</t>
  </si>
  <si>
    <t>We thank Johannes Freitag for providing the EDML ice core data and useful information on the microstructure of bubbly ice. We also thank Adrian Raftery and his working seminar ABC at the Department of Statistics, University of Washington, for pointing out the paper Walsh and Raftery (2002) and for valuable discussions. The project has been financially supported by the Center for Mathematical and Computational Modelling (CM)2, the Knut and Alice Wallenberg Foundation (KAW 2012.0067), and the Swedish Foundation for Strategic Research (SSF AM13-0066).</t>
  </si>
  <si>
    <t>2211-6753</t>
  </si>
  <si>
    <t>SPAT STAT-NETH</t>
  </si>
  <si>
    <t>Spat. Stat.</t>
  </si>
  <si>
    <t>10.1016/j.spasta.2015.03.003</t>
  </si>
  <si>
    <t>Geosciences, Multidisciplinary; Mathematics, Interdisciplinary Applications; Remote Sensing; Statistics &amp; Probability</t>
  </si>
  <si>
    <t>Geology; Mathematics; Remote Sensing</t>
  </si>
  <si>
    <t>DC0MS</t>
  </si>
  <si>
    <t>WOS:000368912200006</t>
  </si>
  <si>
    <t>Beet, C; Hogg, I; Collins, G; Cowan, D; Adams, B; Wall, D</t>
  </si>
  <si>
    <t>Beet, Clare; Hogg, Ian; Collins, Gemma; Cowan, Don; Adams, Byron; Wall, Diana</t>
  </si>
  <si>
    <t>Assessing the distribution and genetic diversity of Antarctic springtails (Collembola)</t>
  </si>
  <si>
    <t>GENOME</t>
  </si>
  <si>
    <t>[Beet, Clare; Hogg, Ian; Collins, Gemma] Univ Waikato, Hamilton, New Zealand; [Cowan, Don] Univ Pretoria, ZA-0002 Pretoria, South Africa; [Adams, Byron] Brigham Young Univ, Provo, UT 84602 USA; [Wall, Diana] Colorado State Univ, Ft Collins, CO 80523 USA</t>
  </si>
  <si>
    <t>University of Waikato; University of Pretoria; Brigham Young University; Colorado State University</t>
  </si>
  <si>
    <t>clarebeet17@gmail.com</t>
  </si>
  <si>
    <t>Hogg, Ian D./HNS-7393-2023; Adams, Byron/C-3808-2009</t>
  </si>
  <si>
    <t>Hogg, Ian D./0000-0002-6685-0089; Adams, Byron/0000-0002-7815-3352</t>
  </si>
  <si>
    <t>CANADIAN SCIENCE PUBLISHING, NRC RESEARCH PRESS</t>
  </si>
  <si>
    <t>OTTAWA</t>
  </si>
  <si>
    <t>65 AURIGA DR, SUITE 203, OTTAWA, ON K2E 7W6, CANADA</t>
  </si>
  <si>
    <t>0831-2796</t>
  </si>
  <si>
    <t>1480-3321</t>
  </si>
  <si>
    <t>Genome</t>
  </si>
  <si>
    <t>CQ8MF</t>
  </si>
  <si>
    <t>WOS:000360861200034</t>
  </si>
  <si>
    <t>Gao, WF; Liu, DC; Su, SP</t>
  </si>
  <si>
    <t>Gao, Wenfang; Liu, Daicheng; Su, Shupeng</t>
  </si>
  <si>
    <t>High-Performance Thin-Layer Chromatography for Quantification of 1-Octacosanol in Antarctic Krill (Euphausia superba Dana)</t>
  </si>
  <si>
    <t>JOURNAL OF CHROMATOGRAPHIC SCIENCE</t>
  </si>
  <si>
    <t>PRIMARY ALCOHOLS; RICE BRAN; POLICOSANOL; OCTACOSANOL; EXTRACTION</t>
  </si>
  <si>
    <t>1-Octacosanol is a straight-chain aliphatic 28-carbon fatty alcohol with well-known anti-fatigue function. In this study, 1-octacosanol was extracted from Antarctic krill for the first time. Separation of 1-octacosanol was achieved using high-performance thin-layer chromatography (TLC) with a mobile phase consisting of petroleum ether/ethyl acetate/toluene (4 : 1 : 0.05, v/v/v) on precoated silica gel GF(254) high-performance TLC plates. The separated 1-octacosanol was quantified using spectrodensitometry with distilled water/bromothymol blue/sodium hydroxide (100 : 0.1 : 0.7, v/w/w) as a chromogenic system. The high-performance TLC method was validated with respect to specificity, linearity, intra-and interplate variation. The stability of the 1-octacosanol-chromogen complex and recovery of 1-octacosanol were also evaluated. Containing similar to 10.6 mg/mg 1-octacosanol, Antarctic krill is potentially a rich and renewable source of 1-octacosanol.</t>
  </si>
  <si>
    <t>[Gao, Wenfang; Liu, Daicheng; Su, Shupeng] Shandong Normal Univ, Coll Life Sci, Key Lab Anim Resistance, Jinan 250014, Peoples R China</t>
  </si>
  <si>
    <t>Shandong Normal University</t>
  </si>
  <si>
    <t>Liu, DC (corresponding author), Shandong Normal Univ, Coll Life Sci, Key Lab Anim Resistance, 88 East Wenhua Rd, Jinan 250014, Peoples R China.</t>
  </si>
  <si>
    <t>liudch@sdnu.edu.cn</t>
  </si>
  <si>
    <t>Shandong Keruier Biological Products Co., Ltd.</t>
  </si>
  <si>
    <t>This project was partially supported by the Shandong Keruier Biological Products Co., Ltd.</t>
  </si>
  <si>
    <t>OXFORD UNIV PRESS INC</t>
  </si>
  <si>
    <t>CARY</t>
  </si>
  <si>
    <t>JOURNALS DEPT, 2001 EVANS RD, CARY, NC 27513 USA</t>
  </si>
  <si>
    <t>0021-9665</t>
  </si>
  <si>
    <t>1945-239X</t>
  </si>
  <si>
    <t>J CHROMATOGR SCI</t>
  </si>
  <si>
    <t>J. Chromatogr. Sci.</t>
  </si>
  <si>
    <t>MAY-JUN</t>
  </si>
  <si>
    <t>10.1093/chromsci/bmu098</t>
  </si>
  <si>
    <t>Biochemical Research Methods; Chemistry, Analytical</t>
  </si>
  <si>
    <t>Biochemistry &amp; Molecular Biology; Chemistry</t>
  </si>
  <si>
    <t>CQ8CK</t>
  </si>
  <si>
    <t>WOS:000360833600025</t>
  </si>
  <si>
    <t>Nagase, H; Kinnison, DE; Petersen, AK; Vitt, F; Brasseur, GP</t>
  </si>
  <si>
    <t>Nagase, H.; Kinnison, D. E.; Petersen, A. K.; Vitt, F.; Brasseur, G. P.</t>
  </si>
  <si>
    <t>Effects of injected ice particles in the lower stratosphere on the Antarctic ozone hole</t>
  </si>
  <si>
    <t>EARTHS FUTURE</t>
  </si>
  <si>
    <t>geoengineering</t>
  </si>
  <si>
    <t>ATMOSPHERIC CHEMISTRY; MODEL; DIFFUSION; DEPLETION; SURFACES; KINETICS; RECOVERY; VERSION; HCL</t>
  </si>
  <si>
    <t>The Antarctic ozone hole will continue to be observed in the next 35-50 years, although the emissions of chlorofluorocarbons (CFCs) have gradually been phased out during the last two decades. In this paper, we suggest a geo-engineering approach that will remove substantial amounts of hydrogen chloride (HCl) from the lower stratosphere in fall, and hence limit the formation of the Antarctic ozone hole in late winter and early spring. HCl will be removed by ice from the atmosphere at temperatures higher than the threshold under which polar stratospheric clouds (PSCs) are formed if sufficiently large amounts of ice are supplied to produce water saturation. A detailed chemical-climate numerical model is used to assess the expected efficiency of the proposed geo-engineering method, and specifically to calculate the removal of HCl by ice particles. The size of ice particles appears to be a key parameter: larger particles (with a radius between 10 and 100 mu m) appear to be most efficient for removing HCl. Sensitivity studies lead to the conclusions that the ozone recovery is effective when ice particles are supplied during May and June in the latitude band ranging from 70 degrees S to 90 degrees S and in the altitude layer ranging from 10 to 26 km. It appears, therefore, that supplying ice particles to the Antarctic lower stratosphere could be effective in reducing the depth of the ozone hole. In addition, photodegradation of CFCs might be accelerated when ice is supplied due to enhanced vertical transport of this efficient greenhouse gas.</t>
  </si>
  <si>
    <t>[Nagase, H.] Osaka Univ, Grad Sch Pharmaceut Sci, Osaka, Japan; [Nagase, H.; Petersen, A. K.; Brasseur, G. P.] Max Planck Inst Meteorol, D-20146 Hamburg, Germany; [Kinnison, D. E.; Vitt, F.; Brasseur, G. P.] Natl Ctr Atmospher Res, Boulder, CO 80307 USA</t>
  </si>
  <si>
    <t>Osaka University; Max Planck Society; National Center Atmospheric Research (NCAR) - USA</t>
  </si>
  <si>
    <t>Brasseur, GP (corresponding author), Max Planck Inst Meteorol, Bundesstr 55, D-20146 Hamburg, Germany.</t>
  </si>
  <si>
    <t>guy.brasseur@mpimet.mpg.de</t>
  </si>
  <si>
    <t>Vitt, Francis/0000-0002-8684-214X</t>
  </si>
  <si>
    <t>2328-4277</t>
  </si>
  <si>
    <t>Earth Future</t>
  </si>
  <si>
    <t>10.1002/2014EF000266</t>
  </si>
  <si>
    <t>Environmental Sciences; Geosciences, Multidisciplinary; Meteorology &amp; Atmospheric Sciences</t>
  </si>
  <si>
    <t>Environmental Sciences &amp; Ecology; Geology; Meteorology &amp; Atmospheric Sciences</t>
  </si>
  <si>
    <t>CN0YJ</t>
  </si>
  <si>
    <t>WOS:000358141200001</t>
  </si>
  <si>
    <t>Wright, NM; Müller, RD; Seton, M; Williams, SE</t>
  </si>
  <si>
    <t>Wright, Nicky M.; Mueller, R. Dietmar; Seton, Maria; Williams, Simon E.</t>
  </si>
  <si>
    <t>Revision of Paleogene plate motions in the Pacific and implications for the Hawaiian-Emperor bend</t>
  </si>
  <si>
    <t>GEOLOGY</t>
  </si>
  <si>
    <t>FRACTURE-ZONE; MANTLE; NORTH; SLAB; REORGANIZATION; SUBDUCTION; AGES; MA</t>
  </si>
  <si>
    <t>Understanding the relative motion between the Pacific plate and its neighboring plates in the Paleogene has important consequences for deciphering the relationship between absolute and relative plate motions in the Pacific Ocean basin, the history of circum-Pacific subduction, and the cause of the Hawaiian-Emperor bend (HEB). We quantitatively model the Farallon/Vancouver-Pacific-Antarctic seafloor spreading history from 67 to 33 Ma based on a comprehensive synthesis of magnetic anomaly and fracture identifications. We find a well-constrained increase from 75 +/- 5 mm/yr to 101 +/- 5 mm/yr in Pacific-Farallon full spreading rates between 57.6 Ma and 55.9 Ma, followed by a stepwise increase to 182 +/- 2 mm/yr from 49.7 to 40.1 Ma. The increases in Pacific-Farallon spreading rates are not accompanied by any statistically significant change in spreading direction. The 57.6-55.9 Ma surge of Pacific-Farallon spreading reflects an eastward acceleration in Farallon plate motion, as it precedes west Pacific subduction initiation and is not associated with any significant change in Pacific-Antarctic spreading. We interpret the increase in Pacific-Farallon spreading rates after ca. 50 Ma as a consequence of further acceleration in Farallon plate motion. We find no indication of a major change in Pacific plate absolute motion at this time. Our model suggests that changes in relative motion direction between the Pacific and Farallon and Pacific and Antarctic plates were insignificant around the formation time of the HEB (ca. 47.5 Ma), and the bend is largely a consequence of Hawaiian hotspot motion, which ceased rapid motion after 47 Ma.</t>
  </si>
  <si>
    <t>[Wright, Nicky M.; Mueller, R. Dietmar; Seton, Maria; Williams, Simon E.] Univ Sydney, Sch Geosci, EarthByte Grp, Sydney, NSW 2006, Australia</t>
  </si>
  <si>
    <t>University of Sydney</t>
  </si>
  <si>
    <t>Wright, NM (corresponding author), Univ Sydney, Sch Geosci, EarthByte Grp, Sydney, NSW 2006, Australia.</t>
  </si>
  <si>
    <t>Seton, Maria/H-8272-2013</t>
  </si>
  <si>
    <t>Seton, Maria/0000-0001-8541-1367; Williams, Simon/0000-0003-4670-8883; Wright, Nicky/0000-0002-5600-3193</t>
  </si>
  <si>
    <t>Australian Research Council [FL0992245, DP0987713]; Australian Research Council [DP0987713, FL0992245] Funding Source: Australian Research Council</t>
  </si>
  <si>
    <t>Australian Research Council(Australian Research Council); Australian Research Council(Australian Research Council)</t>
  </si>
  <si>
    <t>We thank M. Croon, S. Cande, and J. Stock for making their Hellinger plate reconstruction input files available to us. We also thank Charles DeMets and four anonymous reviewers for comments that significantly improved this manuscript. This research was funded by Australian Research Council grants FL0992245 and DP0987713.</t>
  </si>
  <si>
    <t>GEOLOGICAL SOC AMER, INC</t>
  </si>
  <si>
    <t>BOULDER</t>
  </si>
  <si>
    <t>PO BOX 9140, BOULDER, CO 80301-9140 USA</t>
  </si>
  <si>
    <t>0091-7613</t>
  </si>
  <si>
    <t>1943-2682</t>
  </si>
  <si>
    <t>10.1130/G36303.1</t>
  </si>
  <si>
    <t>CM3XT</t>
  </si>
  <si>
    <t>WOS:000357619400022</t>
  </si>
  <si>
    <t>Paul, S; Willmes, S; Gutjahr, O; Preusser, A; Heinemann, G</t>
  </si>
  <si>
    <t>Paul, Stephan; Willmes, Sascha; Gutjahr, Oliver; Preusser, Andreas; Heinemann, Guenther</t>
  </si>
  <si>
    <t>Spatial Feature Reconstruction of Cloud-Covered Areas in Daily MODIS Composites</t>
  </si>
  <si>
    <t>REMOTE SENSING</t>
  </si>
  <si>
    <t>SEA-ICE; COASTAL POLYNYAS; WEDDELL SEA; SATELLITE; GENERATION; EXCHANGE</t>
  </si>
  <si>
    <t>The opacity of clouds is the main problem for optical and thermal space-borne sensors, like the Moderate-Resolution Imaging Spectroradiometer (MODIS). Especially during polar nighttime, the low thermal contrast between clouds and the underlying snow/ice results in deficiencies of the MODIS cloud mask and affected products. There are different approaches to retrieve information about frequently cloud-covered areas, which often operate with large amounts of days aggregated into single composites for a long period of time. These approaches are well suited for static-nature, slow changing surface features (e.g., fast-ice extent). However, this is not applicable to fast-changing features, like sea-ice polynyas. Therefore, we developed a spatial feature reconstruction to derive information for cloud-covered sea-ice areas based on the surrounding days weighted directly proportional with their temporal proximity to the initial day of interest. Its performance is tested based on manually-screened and artificially cloud-covered case studies of MODIS-derived polynya area data for the polynya in the Brunt Ice Shelf region of Antarctica. On average, we are able to completely restore the artificially cloud-covered test areas with a spatial correlation of 0.83 and a mean absolute spatial deviation of 21%.</t>
  </si>
  <si>
    <t>[Paul, Stephan; Willmes, Sascha; Gutjahr, Oliver; Preusser, Andreas; Heinemann, Guenther] Univ Trier, Dept Environm Meteorol, D-54296 Trier, Germany</t>
  </si>
  <si>
    <t>Universitat Trier</t>
  </si>
  <si>
    <t>Paul, S (corresponding author), Univ Trier, Dept Environm Meteorol, Behringstr 21, D-54296 Trier, Germany.</t>
  </si>
  <si>
    <t>paul@uni-trier.de; willmes@uni-trier.de; gutjahr@uni-trier.de; preusser@uni-trier.de; heinemann@uni-trier.de</t>
  </si>
  <si>
    <t>Paul, Stephan/I-5918-2019; Willmes, Sascha/J-5796-2012; Paul, Stephan/F-7596-2015</t>
  </si>
  <si>
    <t>Paul, Stephan/0000-0002-5136-714X; Paul, Stephan/0000-0002-8813-0437; Preusser, Andreas/0000-0003-0134-6890; Heinemann, Gunther/0000-0002-4831-9016</t>
  </si>
  <si>
    <t>Deutsche Forschungs Gemeinschaft [HE2740/12]</t>
  </si>
  <si>
    <t>Deutsche Forschungs Gemeinschaft(German Research Foundation (DFG))</t>
  </si>
  <si>
    <t>The ongoing research by the author is funded by the Deutsche Forschungs Gemeinschaft in the framework of the priority program SPP1158 Antarctic Research with comparative investigations in Arctic ice areas by Grant HE2740/12. The authors want to thank the National Snow and Ice Data Center and the European Centre for Medium-Range Weather Forecasts for the provision of the here-used data at no cost. The helpful feedback of three anonymous reviewers, as well as the help of the editor significantly increased the value of this study and is very much appreciated by the authors.</t>
  </si>
  <si>
    <t>MDPI AG</t>
  </si>
  <si>
    <t>BASEL</t>
  </si>
  <si>
    <t>POSTFACH, CH-4005 BASEL, SWITZERLAND</t>
  </si>
  <si>
    <t>2072-4292</t>
  </si>
  <si>
    <t>REMOTE SENS-BASEL</t>
  </si>
  <si>
    <t>Remote Sens.</t>
  </si>
  <si>
    <t>10.3390/rs70505042</t>
  </si>
  <si>
    <t>Environmental Sciences; Geosciences, Multidisciplinary; Remote Sensing; Imaging Science &amp; Photographic Technology</t>
  </si>
  <si>
    <t>Environmental Sciences &amp; Ecology; Geology; Remote Sensing; Imaging Science &amp; Photographic Technology</t>
  </si>
  <si>
    <t>CM3PW</t>
  </si>
  <si>
    <t>Green Submitted, gold</t>
  </si>
  <si>
    <t>WOS:000357596200004</t>
  </si>
  <si>
    <t>Simkins, LM; Simms, AR; DeWitt, R</t>
  </si>
  <si>
    <t>Simkins, Lauren Miller; Simms, Alexander Ray; DeWitt, Regina</t>
  </si>
  <si>
    <t>Assessing the link between coastal morphology, wave energy and sea ice throughout the Holocene from Antarctic raised beaches</t>
  </si>
  <si>
    <t>JOURNAL OF QUATERNARY SCIENCE</t>
  </si>
  <si>
    <t>Antarctica; beaches; climate; sea ice; wave energy</t>
  </si>
  <si>
    <t>SOUTH SHETLAND-ISLANDS; OPTICALLY STIMULATED LUMINESCENCE; GLACIAL ISOSTATIC-ADJUSTMENT; REGENERATIVE-DOSE PROTOCOL; TERRA-NOVA BAY; MARGUERITE BAY; VICTORIA LAND; ROSS SEA; CLIMATE-CHANGE; ENSO VARIABILITY</t>
  </si>
  <si>
    <t>Post-glacial rebound has preserved beaches across many ice-free parts of the Antarctic coastline. These beaches typically contain gravel-to boulder-sized deposits and are built by high-magnitude waves. Five new ages from the western Antarctic Peninsula were added to a compilation of 282 published ages from Antarctic beaches. A reduced compilation based solely on those ages that date beach formation is used to assess variations in beach formation throughout the Holocene around Antarctica. We suggest the clustering of beach ages centered at 0.8 and 2.4 ka in the Antarctic Peninsula, 1.5, 3.6 and 6.0 ka in the Ross Sea, and a broad peak from 2.7 to 6.3 ka in East Antarctica - indicates periods of heightened wave exposure leading to increased beach formation. Measurements of clast roundness from raised beaches show more rounded material is coincident with periods of heightened beach formation, providing an independent means of assessing wave climate. A comparison of periods of increased beach formation with available sea-ice proxies suggests beach formation is synchronous with reduced sea-ice conditions and thus higher wave climate. As the presence or absence of sea ice determines open-water conditions, the factors that control sea ice directly influence Antarctic coastal evolution. Copyright (C) 2015 John Wiley &amp; Sons, Ltd.</t>
  </si>
  <si>
    <t>[Simkins, Lauren Miller; Simms, Alexander Ray] Univ Calif Santa Barbara, Dept Earth Sci, Santa Barbara, CA 93106 USA; [DeWitt, Regina] E Carolina Univ, Dept Phys, Greenville, NC 27858 USA</t>
  </si>
  <si>
    <t>University of California System; University of California Santa Barbara; University of North Carolina; East Carolina University</t>
  </si>
  <si>
    <t>Simkins, LM (corresponding author), Rice Univ, Dept Earth Sci, 6100 Main St, Houston, TX 77005 USA.</t>
  </si>
  <si>
    <t>lsimkins@rice.edu</t>
  </si>
  <si>
    <t>Simms, Alexander R/E-5609-2012</t>
  </si>
  <si>
    <t>Miller, Lauren/0000-0002-9075-5196; DeWitt, Regina/0000-0003-2876-5489; Simms, Alexander/0000-0001-5034-2189</t>
  </si>
  <si>
    <t>National Science Foundation; National Aeronautics and Space Administration under NSF [EAR-0735156]; NSF [OPP-0838781]</t>
  </si>
  <si>
    <t>National Science Foundation(National Science Foundation (NSF)); National Aeronautics and Space Administration under NSF; NSF(National Science Foundation (NSF))</t>
  </si>
  <si>
    <t>We thank E. Yukihara for the use of laboratory equipment for OSL measurements and J. Etourneau, X. Crosta, K. Katsuki, J. L. Conroy, C. M. Moy and S. L. Kanfoush for making their data available for comparison with results from this study. We also thank B. Streit, J. Garber, D. Livsey, C. Peterson, L. Reynoldsand S. Briggs for providing suggestions that greatly improved an early draft of the manuscript. R. Minzoni provided valuable insight into Antarctic climate proxies. We thank F. Preusser and anonymous reviewers for suggestions that greatly improved versions of the manuscript. UNAVCO, supported by the National Science Foundation and National Aeronautics and Space Administration under NSF Cooperative Agreement No. EAR-0735156, provided a Trimble differential GPS for field surveying. This project was funded by NSF grant OPP-0838781 to A.R.S. and R.D. We declare no conflict of interest.</t>
  </si>
  <si>
    <t>WILEY-BLACKWELL</t>
  </si>
  <si>
    <t>0267-8179</t>
  </si>
  <si>
    <t>1099-1417</t>
  </si>
  <si>
    <t>J QUATERNARY SCI</t>
  </si>
  <si>
    <t>J. Quat. Sci.</t>
  </si>
  <si>
    <t>10.1002/jqs.2782</t>
  </si>
  <si>
    <t>CM1BU</t>
  </si>
  <si>
    <t>WOS:000357415600005</t>
  </si>
  <si>
    <t>Flexas, MM; Schodlok, MP; Padman, L; Menemenlis, D; Orsi, AH</t>
  </si>
  <si>
    <t>Flexas, M. M.; Schodlok, M. P.; Padman, L.; Menemenlis, D.; Orsi, A. H.</t>
  </si>
  <si>
    <t>Role of tides on the formation of the Antarctic Slope Front at the Weddell-Scotia Confluence</t>
  </si>
  <si>
    <t>JOURNAL OF GEOPHYSICAL RESEARCH-OCEANS</t>
  </si>
  <si>
    <t>Open Science Symposium on Western Pacific Ocean Circulation and Climate</t>
  </si>
  <si>
    <t>OCT 15-17, 2012</t>
  </si>
  <si>
    <t>Qingdao, PEOPLES R CHINA</t>
  </si>
  <si>
    <t>Antarctic Slope Front; Antarctic Slope Current; tides; Scotia sea; numerical model; SASSI</t>
  </si>
  <si>
    <t>SEA CONTINENTAL-SLOPE; BOTTOM WATER PRODUCTION; ROSS SEA; OVERTURNING CIRCULATION; SOUTHERN-OCEAN; YERMAK PLATEAU; DIURNAL TIDES; SHELF BREAK; DEEP-OCEAN; MODEL</t>
  </si>
  <si>
    <t>The structure of the Antarctic Slope Front (ASF) and the associated Antarctic Slope Current (ASC) on the Scotia Sea side of the Weddell-Scotia Confluence (WSC) is described using data from a hydrographic survey and three 1 year long moorings across the continental slope. The ASC in this region flows westward along isobaths with an annual mean speed of approximate to 0.2 m s(-1), with time variability dominated by the K-1 and O-1 tidal diurnal constituents, a narrowband oscillation with approximate to 2-week period attributable to the spring/neap tidal cycle, and seasonal variability. Realistic and idealized high-resolution numerical simulations are used to determine the contribution of tides to the structure of the ASF and the speed of the ASC. Two simulations forced by realistic atmospheric forcing and boundary conditions integrated with and without tidal forcing show that tidal forcing is essential to reproduce the measured ASF/ASC cross-slope structure, the time variability at our moorings, and the reduced stratification within the WSC. Two idealized simulations run with tide-only forcing, one with a homogeneous ocean and the other with initial vertical stratification that is laterally homogeneous, show that tides can generate the ASC and ASF through volume flux convergence along the slope initiated by effects including the Lagrangian component of tidal rectification and mixing at the seabed and in the stratified ocean interior. Climate models that exclude the effects of tides will not correctly represent the ASF and ASC or their influence on the injection of intermediate and dense waters from the WSC to the deep ocean.</t>
  </si>
  <si>
    <t>[Flexas, M. M.; Schodlok, M. P.; Menemenlis, D.] CALTECH, Jet Prop Lab, Div Sci, Pasadena, CA 91125 USA; [Flexas, M. M.] UIB CSIC, IMEDEA, Palma De Mallorca, Spain; [Schodlok, M. P.] Univ Calif Los Angeles, Joint Inst Reg Earth Syst Sci &amp; Engn, Los Angeles, CA USA; [Padman, L.] Earth &amp; Space Res, Corvallis, OR USA; [Orsi, A. H.] Texas A&amp;M Univ, Dept Oceanog, College Stn, TX 77843 USA</t>
  </si>
  <si>
    <t>California Institute of Technology; National Aeronautics &amp; Space Administration (NASA); NASA Jet Propulsion Laboratory (JPL); Universitat de les Illes Balears; Consejo Superior de Investigaciones Cientificas (CSIC); ATTITUS Educacao; University of California System; University of California Los Angeles; Texas A&amp;M University System; Texas A&amp;M University College Station</t>
  </si>
  <si>
    <t>Flexas, MM (corresponding author), CALTECH, Jet Prop Lab, Div Sci, Pasadena, CA 91125 USA.</t>
  </si>
  <si>
    <t>msbert@jpl.nasa.gov</t>
  </si>
  <si>
    <t>Padman, Laurence/AAH-3808-2021; Flexas, Mar/GOV-3308-2022; Menemenlis, Dimitris/G-8091-2017</t>
  </si>
  <si>
    <t>Menemenlis, Dimitris/0000-0001-9940-8409; Flexas, Mar/0000-0002-0617-3004; Padman, Laurence/0000-0003-2010-642X</t>
  </si>
  <si>
    <t>Spanish Research and Innovation (I+D+i) National Plan [CGL2007-28783-E/ ANT, CTM2008-04623-E/ANT, CTM2009-08287-E/ANT, CTM2011-14056-E]; National Science Foundation [ANT-0818061, ANT-0830398, OCE-0961405]; National Aeronautics and Space Administration [NNX08AN67G]; National Aeronautics and Space Administration (ECCO2 project); NASA Postdoctoral Program; NASA; Division Of Ocean Sciences; Directorate For Geosciences [0961523, 0961405] Funding Source: National Science Foundation</t>
  </si>
  <si>
    <t>Spanish Research and Innovation (I+D+i) National Plan; National Science Foundation(National Science Foundation (NSF)); National Aeronautics and Space Administration(National Aeronautics &amp; Space Administration (NASA)); National Aeronautics and Space Administration (ECCO2 project); NASA Postdoctoral Program(National Aeronautics &amp; Space Administration (NASA)); NASA(National Aeronautics &amp; Space Administration (NASA)); Division Of Ocean Sciences; Directorate For Geosciences(National Science Foundation (NSF)NSF - Directorate for Geosciences (GEO))</t>
  </si>
  <si>
    <t>We thank everyone who made the oceanographic cruises successful, especially the scientists, technicians, officers, and crew onboard the RV Hesperides and RV Puerto Deseado. We are grateful for the assistance of John Walpert, Agusti Julia, Joan Puigdefabregas, and Jordi Cateura with the mooring design, construction, and deployment. Hong Zhang kindly provided the ECCO2 adjoint boundary conditions, and Xiaochun (Adam) Wang helped implementing the tidal forcing. Conversations with Gary Egbert, Eberhard Fahrbach, Andrew Thompson, and Victor Zlotnicki improved this work. This research was supported by the Spanish Research and Innovation (I+D+i) National Plan (CGL2007-28783-E/ ANT, CTM2008-04623-E/ANT, CTM2009-08287-E/ANT, and CTM2011-14056-E), the National Science Foundation (ANT-0818061, ANT-0830398, and OCE-0961405), the National Aeronautics and Space Administration (NNX08AN67G and ECCO2 project), and the NASA Postdoctoral Program administered by Oak Ridge Associated Universities. Data and products are available through the Spanish Polar Database website (http://hielo.igme.es/index.php/en/), NSF website (http://www.nsf.gov/), and ECCO2 website (http://ecco2.jpl.nasa.gov/). This research was carried out at the Jet Propulsion Laboratory, California Institute of Technology, under a contract with NASA. This is ESR contribution number 155. This work is dedicated to Agusti Julia (1940-2009) and Eberhard Fahrbach (1948-2013). We are grateful to Matthew Mazloff and one anonymous reviewer whose many perceptive comments greatly improved this manuscript.</t>
  </si>
  <si>
    <t>2169-9275</t>
  </si>
  <si>
    <t>2169-9291</t>
  </si>
  <si>
    <t>J GEOPHYS RES-OCEANS</t>
  </si>
  <si>
    <t>J. Geophys. Res.-Oceans</t>
  </si>
  <si>
    <t>10.1002/2014JC010372</t>
  </si>
  <si>
    <t>Oceanography</t>
  </si>
  <si>
    <t>CL0JI</t>
  </si>
  <si>
    <t>hybrid, Green Published</t>
  </si>
  <si>
    <t>WOS:000356628100027</t>
  </si>
  <si>
    <t>Cromwell, G; Tauxe, L; Halldórsson, SA</t>
  </si>
  <si>
    <t>Cromwell, G.; Tauxe, L.; Halldorsson, S. A.</t>
  </si>
  <si>
    <t>New paleointensity results from rapidly cooled Icelandic lavas: Implications for Arctic geomagnetic field strength</t>
  </si>
  <si>
    <t>JOURNAL OF GEOPHYSICAL RESEARCH-SOLID EARTH</t>
  </si>
  <si>
    <t>paleointensity; paleomagnetism; geomagnetism; Arctic; Iceland</t>
  </si>
  <si>
    <t>SUBMARINE BASALTIC GLASS; EARTHS MAGNETIC-FIELD; CRETACEOUS NORMAL SUPERCHRON; SKALAMAELIFELL EXCURSION; THELLIER EXPERIMENTS; SECULAR VARIATION; FLOWS; HYSTERESIS; INTENSITY; HISTORY</t>
  </si>
  <si>
    <t>The Earth's magnetic field is assumed to be a geocentric axial dipole (GAD) when averaged over sufficient time (10(5)-10(6)years). Recent investigations of global paleosecular variation and time-averaged field behavior on million year timescales generally support a predominantly dipole field in the Northern Hemisphere, but unique field structures at high southern latitudes suggest the presence of a substantial (g) over bar (0)(2) quadrupolar component. Average paleointensity results from Antarctica are approximately half the value predicted by a GAD field; this behavior has not been sufficiently investigated because there is a paucity of absolute paleointensity data from the high latitudes of the Arctic and Antarctic, so no adequate comparisons have been made between the two regions. We collected glassy volcanic material from 129 subaerial and subglacial volcanic units in Iceland in order to provide a suitable intensity data set at high northern latitudes. Forty-four sites met our very strict specimen and site level selection criteria. Four Holocene sites have a median intensity value of 55.8 +/- 15.6 mu T (virtual axial dipole moment=78.1 +/- 22.0ZAm(2)), consistent with the present-day field. Thirty-seven sites are between 11ka and 3.35Ma with a median intensity of 33.1 +/- 8.3 mu T (47.0 +/- 11.6ZAm(2)). This median intensity is indistinguishable from some long-term global field strength estimates. Reevaluation of existing high-latitude data suggests a general agreement with our Iceland results, but there are still too few Antarctic sites to adequately compare Arctic and Antarctic field behaviors.</t>
  </si>
  <si>
    <t>[Cromwell, G.; Tauxe, L.; Halldorsson, S. A.] Univ Calif San Diego, Scripps Inst Oceanog, Geosci Res Div, La Jolla, CA 92093 USA</t>
  </si>
  <si>
    <t>University of California System; University of California San Diego; Scripps Institution of Oceanography</t>
  </si>
  <si>
    <t>Cromwell, G (corresponding author), Occidental Coll, Dept Geol, Los Angeles, CA 90041 USA.</t>
  </si>
  <si>
    <t>cromwell@oxy.edu</t>
  </si>
  <si>
    <t>Halldorsson, Saemundur Ari/L-9560-2015</t>
  </si>
  <si>
    <t>Halldorsson, Saemundur Ari/0000-0002-9311-7704</t>
  </si>
  <si>
    <t>NSF [EAR114840, EAR1345003]; Directorate For Geosciences; Division Of Earth Sciences [1339505, 1345003] Funding Source: National Science Foundation; Division Of Earth Sciences; Directorate For Geosciences [1141840] Funding Source: National Science Foundation</t>
  </si>
  <si>
    <t>NSF(National Science Foundation (NSF)); Directorate For Geosciences; Division Of Earth Sciences(National Science Foundation (NSF)NSF - Directorate for Geosciences (GEO)); Division Of Earth Sciences; Directorate For Geosciences(National Science Foundation (NSF)NSF - Directorate for Geosciences (GEO))</t>
  </si>
  <si>
    <t>We would like to thank Leo Kristjansson and Johann Helgason for their scientific expertise and hospitality in planning and executing this project. Thank you to David Hilton for generously providing many of the Icelandic samples, Karl Gronvold for his work in the field, and Kristjan Saemundsson for clarifying several lava flow emplacement ages. We thank the staff at Vatnajokull National Park and Simon Bergur Sigurgeirsson for allowing us to access and sample many of the localities. Thanks to Jason Steindorf and Jesse Vavrek for their hard work in the lab and Erol Cromwell for preparing many of the samples. Thanks to Ron Shaar, Hubert Staudigel, and Jeff Gee for discussions and comments leading to the success of this project. And thank you to Cathy Constable, David Hilton, Catherine Johnson, and Tom Levy for their constructive reviews. This research was partially supported by NSF EAR114840 and EAR1345003 to L.T. All measurement data and results can be found online in the MagIC database at http://earthref.org/MAGIC.</t>
  </si>
  <si>
    <t>2169-9313</t>
  </si>
  <si>
    <t>2169-9356</t>
  </si>
  <si>
    <t>J GEOPHYS RES-SOL EA</t>
  </si>
  <si>
    <t>J. Geophys. Res.-Solid Earth</t>
  </si>
  <si>
    <t>10.1002/2014JB011828</t>
  </si>
  <si>
    <t>CK7YV</t>
  </si>
  <si>
    <t>WOS:000356454500006</t>
  </si>
  <si>
    <t>Bayle, S; Monestiez, P; Guinet, C; Nerini, D</t>
  </si>
  <si>
    <t>Bayle, Severine; Monestiez, Pascal; Guinet, Christophe; Nerini, David</t>
  </si>
  <si>
    <t>Moving toward finer scales in oceanography: Predictive linear functional model of Chlorophyll a profile from light data</t>
  </si>
  <si>
    <t>PROGRESS IN OCEANOGRAPHY</t>
  </si>
  <si>
    <t>SOUTHERN-OCEAN; ELEPHANT SEALS; DATA LOGGERS; FLUORESCENCE; REGRESSION; ANIMALS; PRODUCTIVITY; PLATFORMS; BLOOMS; WATERS</t>
  </si>
  <si>
    <t>The Southern Ocean plays a key role in ocean atmosphere carbon dioxide fluxes. Estimation of carbon exchanges between ocean and atmosphere must rely on accurate estimations of primary productivity which require measurements of phytoplankton concentration within the water column. In this paper, we are interested in relationships between primary productivity and light in the Antarctic ocean. The originality of this work is twofold. Starting from physical hypothesis, a statistical model is constructed for the prediction of Chlorophyll a (Chl a) profiles where light profiles are used as a covariate. Taking into account of the functional nature of the data, solutions are proposed to estimate continuous vertical profiles from discrete data sampled by elephant seals equipped with a new generation of oceanographic tags. Bootstrapped prediction intervals show a good quality of prediction of Chl a profiles, giving access to the shape of the profiles along depth and to the submesoscale structure of phytoplankton within the euphotic layer of the Southern Ocean. (C) 2015 Elsevier Ltd. All rights reserved.</t>
  </si>
  <si>
    <t>[Bayle, Severine; Monestiez, Pascal] INRA, Biostat &amp; Proc Spatiaux BioSP, UR546, F-84914 Avignon, France; [Guinet, Christophe] CEBC CNRS, F-79360 Villiers En Bois, France; [Nerini, David] Aix Marseille Univ, Pytheas Inst OSU, UMR 7294, Mediterranean Inst Oceanog, F-13288 Marseille 09, France</t>
  </si>
  <si>
    <t>INRAE; Centre National de la Recherche Scientifique (CNRS); Aix-Marseille Universite</t>
  </si>
  <si>
    <t>Nerini, D (corresponding author), Aix Marseille Univ, Pytheas Inst OSU, UMR 7294, Mediterranean Inst Oceanog, Campus Luminy,Case 901, F-13288 Marseille 09, France.</t>
  </si>
  <si>
    <t>severine.bayle@avignon.inra.fr; pascal.monestiez@a-vignon.inra.fr; christophe.guinet@cebc.cnrs.fr; david.nerini@univ-amu.fr</t>
  </si>
  <si>
    <t>Guinet, Christophe/AAR-8457-2020</t>
  </si>
  <si>
    <t>NERINI, DAVID/0000-0002-7995-1364; Monestiez, Pascal/0000-0001-5851-2699</t>
  </si>
  <si>
    <t>Provence-Alpes-Cote-d'Azur Regional Council; ANR project IPSOS-SEAL (French National Research Agency)</t>
  </si>
  <si>
    <t>Provence-Alpes-Cote-d'Azur Regional Council(Region Provence-Alpes-Cote d'Azur); ANR project IPSOS-SEAL (French National Research Agency)(Agence Nationale de la Recherche (ANR))</t>
  </si>
  <si>
    <t>The authors wish to thank the anonymous reviewers for their valuable comments and for the improvement of this work. the Provence-Alpes-Cote-d'Azur Regional Council is also thanked for funding. This work was funded by the ANR project IPSOS-SEAL (French National Research Agency). The authors also thank IPEV and Total Foundation.</t>
  </si>
  <si>
    <t>0079-6611</t>
  </si>
  <si>
    <t>PROG OCEANOGR</t>
  </si>
  <si>
    <t>Prog. Oceanogr.</t>
  </si>
  <si>
    <t>10.1016/j.pocean.2015.02.001</t>
  </si>
  <si>
    <t>CK9IN</t>
  </si>
  <si>
    <t>WOS:000356553900012</t>
  </si>
  <si>
    <t>Cochran, JR; Tinto, KJ; Bell, RE</t>
  </si>
  <si>
    <t>Cochran, James R.; Tinto, Kirsty J.; Bell, Robin E.</t>
  </si>
  <si>
    <t>Abbot Ice Shelf, structure of the Amundsen Sea continental margin and the southern boundary of the Bellingshausen Plate seaward of West Antarctica</t>
  </si>
  <si>
    <t>GEOCHEMISTRY GEOPHYSICS GEOSYSTEMS</t>
  </si>
  <si>
    <t>West Antarctica; Bellingshausen Plate; Amundsen Sea Embayment; continental rifting</t>
  </si>
  <si>
    <t>ANIMATED TECTONIC RECONSTRUCTION; GLACIAL GEOMORPHIC FEATURES; CRUSTAL STRUCTURE; PACIFIC MARGIN; GRAVITY-DATA; SUBDUCTION HISTORY; SEISMIC-REFLECTION; SUBGLACIAL GEOLOGY; THURSTON ISLAND; EMBAYMENT SHELF</t>
  </si>
  <si>
    <t>Inversion of NASA Operation IceBridge airborne gravity over the Abbot Ice Shelf in West Antarctica for subice bathymetry defines an extensional terrain made up of east-west trending rift basins formed during the early stages of Antarctica/Zealandia rifting. Extension is minor, as rifting jumped north of Thurston Island early in the rifting process. The Amundsen Sea Embayment continental shelf west of the rifted terrain is underlain by a deeper, more extensive sedimentary basin also formed during rifting between Antarctica and Zealandia. A well-defined boundary zone separates the mildly extended Abbot extensional terrain from the deeper Amundsen Embayment shelf basin. The shelf basin has an extension factor, , of 1.5-1.7 with 80-100 km of extension occurring across an area now 250 km wide. Following this extension, rifting centered north of the present shelf edge and proceeded to continental rupture. Since then, the Amundsen Embayment continental shelf appears to have been tectonically quiescent and shaped by subsidence, sedimentation, and the advance and retreat of the West Antarctic Ice Sheet. The Bellingshausen Plate was located seaward of the Amundsen Sea margin prior to incorporation into the Antarctic Plate at about 62 Ma. During the latter part of its independent existence, Bellingshausen plate motion had a clockwise rotational component relative to Antarctica producing convergence across the north-south trending Bellingshausen Gravity Anomaly structure at 94 degrees W and compressive deformation on the continental slope between 94 degrees W and 102 degrees W. Farther west, the relative motion was extensional along an east-west trending zone occupied by the Marie Byrd Seamounts.</t>
  </si>
  <si>
    <t>[Cochran, James R.; Tinto, Kirsty J.; Bell, Robin E.] Columbia Univ, Lamont Doherty Earth Observ, Palisades, NY 10964 USA</t>
  </si>
  <si>
    <t>Columbia University</t>
  </si>
  <si>
    <t>Cochran, JR (corresponding author), Columbia Univ, Lamont Doherty Earth Observ, Palisades, NY 10964 USA.</t>
  </si>
  <si>
    <t>jrc@ldeo.columbia.edu</t>
  </si>
  <si>
    <t>NASA [NNX09AR49G, NNX10AT69G, NNX13AD25A]; NASA [122477, NNX09AR49G, NNX10AT69G, 475108, NNX13AD25A, 105907] Funding Source: Federal RePORTER</t>
  </si>
  <si>
    <t>NASA(National Aeronautics &amp; Space Administration (NASA)); NASA(National Aeronautics &amp; Space Administration (NASA))</t>
  </si>
  <si>
    <t>The NASA Operation IceBridge airborne data and the inversions for bathymetry used in this paper are archived by the National Snow and Ice Data Center and are available at http://nsidc.org/data/icebridge. The GMT software package [Wessel and Smith, 1998] was used extensively in data analysis and preparation of figures. This work was supported by NASA grants NNX09AR49G, NNX10AT69G, and NNX13AD25A. We thank Karsten Gohl and two anonymous reviewers for comments and suggestions that greatly improved the manuscript and Frank Nitsche for valuable comments on an earlier draft.</t>
  </si>
  <si>
    <t>1525-2027</t>
  </si>
  <si>
    <t>GEOCHEM GEOPHY GEOSY</t>
  </si>
  <si>
    <t>Geochem. Geophys. Geosyst.</t>
  </si>
  <si>
    <t>10.1002/2014GC005570</t>
  </si>
  <si>
    <t>CL1NG</t>
  </si>
  <si>
    <t>WOS:000356710000011</t>
  </si>
  <si>
    <t>León, R; Gardner, C; van Putten, I; Hartmann, K</t>
  </si>
  <si>
    <t>Leon, Rafael; Gardner, Caleb; van Putten, Ingrid; Hartmann, Klaas</t>
  </si>
  <si>
    <t>Changes in the lease and permanent sale quota markets of a rock lobster fishery in response to stock abundance</t>
  </si>
  <si>
    <t>ICES JOURNAL OF MARINE SCIENCE</t>
  </si>
  <si>
    <t>ITQ fishery; owned/fished quotas; Tasmania; technical efficiency; temporary/permanent transfers</t>
  </si>
  <si>
    <t>MINIMUM INFORMATION-MANAGEMENT; PANEL-DATA; MULTISTATE MODELS; JASUS-EDWARDSII; BEHAVIOR; PACKAGE; CATCH</t>
  </si>
  <si>
    <t>Effective individual transferable quotas (ITQ) systems rebuild stocks and allow transfer of quotas to more efficient operators. This process requires functional markets for both quota sales and temporary quota leases. These markets are expected to respond to changes in economic rent from the fishery, which is influenced by stock abundance and the international rock lobster price. This research used multistate Markov modelling and Granger causality test to examine changes in the permanent and temporary quota trade in the Tasmanian rock lobster fishery quota market, during periods of both increasing and decreasing stock abundance. The permanent quota trade market was more active during the period of stock growth, while the quota lease market was active in both periods of stock growth and decline. In contrast to theoretical trends in ITQ fisheries, trades in both markets were not linked to the technical efficiency (i.e. catching capability) of operators, but were more driven by the quota owners' financial capacity (i.e. number of owned quotas). Prolonged and unexpected stock decline affected the quota market so that it deviated from the theoretical pattern of ITQ fisheries. Operators previously active in the market reduced their activity, while smaller operators and firms that previously had not traded became more active, so the fleet expanded with smaller operators entering.</t>
  </si>
  <si>
    <t>[Leon, Rafael; Gardner, Caleb; Hartmann, Klaas] Univ Tasmania, Inst Marine &amp; Antarctic Studies, Hobart, Tas 7001, Australia; [van Putten, Ingrid] CSIRO Marine &amp; Atmospher Res, CSIRO Wealth Oceans Natl Res Flagship, Hobart, Tas 7001, Australia</t>
  </si>
  <si>
    <t>University of Tasmania; Commonwealth Scientific &amp; Industrial Research Organisation (CSIRO)</t>
  </si>
  <si>
    <t>León, R (corresponding author), Univ Tasmania, Inst Marine &amp; Antarctic Studies, Private Bag 49, Hobart, Tas 7001, Australia.</t>
  </si>
  <si>
    <t>rafael.leon@utas.edu.au</t>
  </si>
  <si>
    <t>Hartmann, Klaas/B-3991-2008; León, Rafael I/N-6510-2014; van putten, ingrid/AAV-1301-2021; Gardner, Caleb/I-7086-2013</t>
  </si>
  <si>
    <t>van putten, ingrid/0000-0001-8397-9768; Gardner, Caleb/0000-0003-0324-4337</t>
  </si>
  <si>
    <t>OXFORD UNIV PRESS</t>
  </si>
  <si>
    <t>GREAT CLARENDON ST, OXFORD OX2 6DP, ENGLAND</t>
  </si>
  <si>
    <t>1054-3139</t>
  </si>
  <si>
    <t>1095-9289</t>
  </si>
  <si>
    <t>ICES J MAR SCI</t>
  </si>
  <si>
    <t>ICES J. Mar. Sci.</t>
  </si>
  <si>
    <t>10.1093/icesjms/fsu246</t>
  </si>
  <si>
    <t>Fisheries; Marine &amp; Freshwater Biology; Oceanography</t>
  </si>
  <si>
    <t>CK5AF</t>
  </si>
  <si>
    <t>WOS:000356233800028</t>
  </si>
  <si>
    <t>Hamer, DJ; Childerhouse, SJ; McKinlay, JP; Double, MC; Gales, NJ</t>
  </si>
  <si>
    <t>Hamer, Derek J.; Childerhouse, Simon J.; McKinlay, John P.; Double, Mike C.; Gales, Nick J.</t>
  </si>
  <si>
    <t>Two devices for mitigating odontocete bycatch and depredation at the hook in tropical pelagic longline fisheries</t>
  </si>
  <si>
    <t>acoustic; cetacean; conservation; economic; mortality; operational interactions; physical; toothed whale; tuna; viability</t>
  </si>
  <si>
    <t>FINNED PILOT WHALES; OPERATIONAL INTERACTIONS; MARINE MAMMALS; KILLER WHALES; BY-CATCH; GENETIC DIFFERENTIATION; POPULATION-STRUCTURE; NORTH-ATLANTIC; SPERM-WHALES; FISHING GEAR</t>
  </si>
  <si>
    <t>Odontocete bycatch on and depredation from tropical pelagic longlines is globally widespread, having negative impacts on the economic viability of affected fisheries and on the conservation of affected odontocete populations. Reports by fishers that depredating odontocetes avoid gear tangles has underpinned the development of simulated structures to physically deter depredating odontocetes. This study assessed the efficacy of two such devices developed to mitigate odontocete depredation and associated bycatch. Of particular interest was their impact on (i) soak depth and (ii) sink rate using truncated trials, before determining their impact under full operational conditions on rates of (iii) catch of the five most economically important fish, and (iv) odontocete depredation and bycatch, on changes in (v) fish survival and size, and (vi) setting and hauling speed. The results indicated that the inclusion of devices on longlines had negligible impact on soak depth, thus were unlikely to impact on the suite of fish specifically targeted and caught. The sink rate was slowed, perhaps by drag, trapped air, or propeller wash, although the addition of weight might remedy this if the devices were to be used in areas where seabird bycatch could occur. Most importantly, trials conducted in Australian and in Fijian waters indicated that pooled fish catch rates (i.e. albacore, yellowfin, bigeye, mahi mahi, and wahoo) increased in the presence of the devices, possibly because more fish were attracted by them or because more depredators were deterred. Catch rates on control gear next to gear with devices attached were higher than more distant control gear, suggesting the influences of the devices may have extended to adjacent branchlines. The size of caught fish was mostly unaffected, although the survival of yellowfin and bigeye increased significantly in the presence of the devices. Hauling was slowed by the use of the devices and the need for an extra crewmember during setting and hauling, which could be cost prohibitive in some fisheries, especially if economic benefits from their use are not obvious. Despite the small sample size, odontocete bycatch only occurred on unprotected fishing gear and all individuals were released alive, although their fate was uncertain; there was evidence of injuries sustained from the event. The outcomes are positive and should motivate stakeholders to view such devices as a potentially effective tool for mitigating odontocete bycatch and depredation in this and similar longline fisheries. Future efforts should focus on improving operational integration and reducing implementation costs to encourage voluntary uptake and thus avoid non-compliance and the need for costly monitoring. The use of this technology could bring about marked improvements to the conservation situation for affected odontocete populations and to the economic situation for affected longline fisheries.</t>
  </si>
  <si>
    <t>[Hamer, Derek J.; Childerhouse, Simon J.; McKinlay, John P.; Double, Mike C.; Gales, Nick J.] Australian Govt Environm Dept, Australian Antarctic Div, Kingston, Tas 7050, Australia; [Hamer, Derek J.] DBMS Global Oceans, West Hobart, Tas 7000, Australia; [Childerhouse, Simon J.] Blue Planet Marine New Zealand, Nelson 7050, New Zealand</t>
  </si>
  <si>
    <t>Australian Antarctic Division</t>
  </si>
  <si>
    <t>Hamer, DJ (corresponding author), Australian Govt Environm Dept, Australian Antarctic Div, 203 Channel Highway, Kingston, Tas 7050, Australia.</t>
  </si>
  <si>
    <t>arctocephalus@rocketmail.com</t>
  </si>
  <si>
    <t>McKinlay, John/0000-0003-4858-2604</t>
  </si>
  <si>
    <t>Ocean Fisheries Management Project; Devfish 2 Project; Fiji Tuna Boat Owners Association (FTBOA, Suva); International Whales and Marine Mammals Conservation Initiative</t>
  </si>
  <si>
    <t>The authors sincerely thank: Pacific Islands Forum Fisheries Agency (FFA) and World Wildlife Fund (WWF) South Pacific under the auspices of the Ocean Fisheries Management Project and the Devfish 2 Project, Fiji Tuna Boat Owners Association (FTBOA, Suva), and the Australian Commonwealth Government Department of the Environment under the auspices of the International Whales and Marine Mammals Conservation Initiative for much needed funds to develop the two prototype designs and to trial their efficacy at sea; Charles Hufflett and Tom Mayo (Solander Pacific, Suva), Brett Haywood (Sea Quest, Suva), Russell Dunham and Graham Southwick (Fiji Fish, Lami), and Gary Heilmann (De Brett Seafood, Mooloolaba) for making vessels available for trialling the devices and for logistical assistance; Fiji captains Vaisoni Nima Rainima (FV Solander 14), Sang Sik Oh (FV Sea Knight), Brendan (FV Seaka), John (FV Orchadia), and Osea Tulele (FV Poseidon) and Australian captains Mark Coker (FV Fortuna 2), Niki McCulloch (FV Sarah J), and Marty Wright (FV Markarna) for enthusiastic assistance at sea during sea trials; Pete and Ben Kibel (Fishtek, Devon) and Peter Canfield (3D Systems, Melbourne) for valuable advice and assistance during prototype design and production; and two anonymous reviewers and the responsible editor for extensive feedback that resulted in considerable improvement to the draft manuscript. Ethical approval to conduct the sea trials in Australian waters was granted by the Australian Commonwealth Government Antarctic Animal Ethics Committee (AAEC; permit number SOE27). The Fiji sea trials were approved by the Fiji Government Department of Fisheries and Forests and the Australian sea trials were approved by the Australian Fisheries Management Authority.</t>
  </si>
  <si>
    <t>10.1093/icesjms/fsv013</t>
  </si>
  <si>
    <t>WOS:000356233800040</t>
  </si>
  <si>
    <t>Luttinen, AV; Heinonen, JS; Kurhila, M; Jourdan, F; Mänttäri, I; Vuori, SK; Huhma, H</t>
  </si>
  <si>
    <t>Luttinen, Arto V.; Heinonen, Jussi S.; Kurhila, Matti; Jourdan, Fred; Manttari, Irmeli; Vuori, Saku K.; Huhma, Hannu</t>
  </si>
  <si>
    <t>Depleted Mantle-sourced CFB Magmatism in the Jurassic Africa-Antarctica Rift: Petrology and 40Ar/39Ar and U/Pb Chronology of the Vestfjella Dyke Swarm, Dronning Maud Land, Antarctica</t>
  </si>
  <si>
    <t>JOURNAL OF PETROLOGY</t>
  </si>
  <si>
    <t>contamination; flood basalt; isotopes; Karoo magmatism; mantle sources</t>
  </si>
  <si>
    <t>LARGE IGNEOUS PROVINCE; ENERGY-CONSTRAINED ASSIMILATION; TRACE-ELEMENT COMPOSITION; CANYON SANIDINE STANDARD; K-40 DECAY CONSTANTS; IMPROVED ACCURACY; GONDWANA BREAKUP; ANNANDAGSTOPPANE GRANITE; GEOLOGICAL CONSTRAINTS; JOINT DETERMINATION</t>
  </si>
  <si>
    <t>The Jurassic Vestfjella dyke swarm at the volcanic rifted margin of western Dronning Maud Land represents magmatism related to the incipient Africa-Antarctica rift zone; that is, rift-assemblage magmatism of the Karoo continental flood basalt (CFB) province. Geochemical and Nd-Sr isotopic data for basaltic and picritic dyke samples indicate diverse low-Ti and high-Ti tholeiitic compositions with epsilon(Nd)(180 Ma) ranging from +8 to -17. Combined with previously reported data on a subcategory of ferropicritic dykes, our new data facilitate grouping of the Vestfjella dyke swarm into seven geochemically distinct types. The majority of the dykes exhibit geochemical affinity to continental lithosphere and can be correlated with two previously identified chemical types (CT) of the wall-rock CFB lavas and are accordingly referred to as the CT1 and CT3 dykes. The less abundant Low-Nb and High-Nb dykes, a relatively enriched subtype of CT3 (CT3-E) dykes, and dykes belonging to the depleted and enriched ferropicrite suites represent magma types found only as intrusions. The chemically mid-ocean ridge basalt (MORB)-like Low-Nb and the depleted ferropicrite suite dykes represent, respectively, relatively high-and low-degree partial melting of the same overall depleted mantle (DM)-affinity source in the sublithospheric mantle. In contrast, we ascribe the chemically ocean island basalt (OIB)-like High-Nb dykes and the enriched ferropicrite suite dykes to melting of enriched components in the sublithospheric mantle. Geochemical modelling suggests that the low-Ti affinity CT1 and CT3, and high-Ti affinity CT3-E magma types of Vestfjella dyke may predominantly result from mixing of DM-sourced Low-Nb type magmas with &lt; 10 wt % of crust- and lithospheric mantle-derived melts. U/Pb zircon dating confirms synchronous emplacement of CT1 dykes and Karoo main-stage CFBs at 182.2 +/- 0.9 and 182.2 +/- 0.8 Ma, whereas two 40Ar/39Ar plagioclase plateau ages of 189.2 +/- 2.3 Ma (CT1) and 185.5 +/- 1.8 Ma (depleted ferropicrite suite), and a mini-plateau age of 186.9 +/- 2.8 Ma (CT3-E) for the Vestfjella dykes raise the question of whether the onset of rift-zone magmatism could predate the province-wide c. 179-183 Ma main stage of Karoo magmatism. Notably variable Ca/K spectra suggest that younger 40Ar/39Ar plagioclase plateau ages of 173, 170, 164, and 154 Ma are related to crystallization of secondary minerals during the late-stage tectono-magmatic development of the Antarctic rifted margin. The occurrence of rare MORB- and OIB-like magma types in Vestfjella and along the African and Antarctic rifted margins suggests melting of geochemically variable depleted and enriched sublithospheric mantle beneath the Africa-Antarctica rift zone. Our models for the Vestfjella dyke swarm indicate that the voluminous lithosphere-affinity low-Ti and high-Ti rift-assemblage tholeiites could have been derived from MORB-like parental magmas by contamination, which implies sublithospheric depleted mantle as the principal source of the CFB magmas of the Africa-Antarctica rift zone.</t>
  </si>
  <si>
    <t>[Luttinen, Arto V.; Heinonen, Jussi S.] Univ Helsinki, Finnish Museum Nat Hist, FIN-00014 Helsinki, Finland; [Kurhila, Matti; Manttari, Irmeli; Vuori, Saku K.; Huhma, Hannu] Geol Survey Finland, Espoo 02151, Finland; [Jourdan, Fred] Curtin Univ Technol, Western Australian Argon Isotope Facil, Dept Appl Geol, Perth, WA 6845, Australia; [Jourdan, Fred] Curtin Univ Technol, JdL CMS, Perth, WA 6845, Australia</t>
  </si>
  <si>
    <t>University of Helsinki; Geological Survey of Finland (GTK); Curtin University; Curtin University</t>
  </si>
  <si>
    <t>Luttinen, AV (corresponding author), Univ Helsinki, Finnish Museum Nat Hist, POB 44, FIN-00014 Helsinki, Finland.</t>
  </si>
  <si>
    <t>arto.luttinen@helsinki.fi</t>
  </si>
  <si>
    <t>Kurhila, Matti/ABD-5711-2020; Heinonen, Jussi/L-6152-2013</t>
  </si>
  <si>
    <t>Kurhila, Matti/0000-0001-5507-4822; Heinonen, Jussi/0000-0001-8998-4357; Jourdan, Fred/0000-0001-5626-4521; Luttinen, Arto Vesa/0000-0002-3129-0392</t>
  </si>
  <si>
    <t>Academy of Finland [252652]; Academy of Finland (AKA) [252652] Funding Source: Academy of Finland (AKA)</t>
  </si>
  <si>
    <t>Academy of Finland(Research Council of Finland); Academy of Finland (AKA)(Research Council of Finland)</t>
  </si>
  <si>
    <t>This study was funded by Academy of Finland grant 252652.</t>
  </si>
  <si>
    <t>0022-3530</t>
  </si>
  <si>
    <t>1460-2415</t>
  </si>
  <si>
    <t>J PETROL</t>
  </si>
  <si>
    <t>J. Petrol.</t>
  </si>
  <si>
    <t>10.1093/petrology/egv022</t>
  </si>
  <si>
    <t>CL1SD</t>
  </si>
  <si>
    <t>WOS:000356723700004</t>
  </si>
  <si>
    <t>Burri, L; Johnsen, L</t>
  </si>
  <si>
    <t>Burri, Lena; Johnsen, Line</t>
  </si>
  <si>
    <t>Krill Products: An Overview of Animal Studies</t>
  </si>
  <si>
    <t>NUTRIENTS</t>
  </si>
  <si>
    <t>N-3 FATTY-ACIDS; ISOELECTRIC SOLUBILIZATION/PRECIPITATION; NUTRITIONAL-VALUE; ANTARCTIC KRILL; CLINICAL-TRIALS; FISH-OIL; ENDOCANNABINOIDS; INFLAMMATION; BRAIN; DHA</t>
  </si>
  <si>
    <t>Many animal studies have been performed with krill oil (KO) and this review aims to summarize their findings and give insight into the mechanism of action of KO. Animal models that have been used in studies with KO include obesity, depression, myocardial infarction, chronic low-grade and ulcerative inflammation and are described in detail. Moreover, studies with KO in the form of krill powder (KP) and krill protein concentrate (KPC) as a mix of lipids and proteins are mentioned and compared to the effects of KO. In addition, differences in tissue uptake of the long-chain omega-3 polyunsaturated fatty acids eicosapentaenoic acid (EPA) and docosahexaenoic acid (DHA), when delivered in either phospholipid or triglyceride form, are addressed and the differential impact the delivery form has on gene expression profiles is explained. In our outlook, we try to highlight the potential of KO and KP supplementation in clinical settings and discuss health segments that have a high potential of showing krill product specific health benefits and warrant further clinical investigations.</t>
  </si>
  <si>
    <t>[Burri, Lena; Johnsen, Line] Aker BioMarine Antarctic AS, NO-0115 Oslo, Norway</t>
  </si>
  <si>
    <t>Burri, L (corresponding author), Aker BioMarine Antarctic AS, Fjordalleen 16, NO-0115 Oslo, Norway.</t>
  </si>
  <si>
    <t>lena.burri@akerbiomarine.com; line.johnsen@akerbiomarine.com</t>
  </si>
  <si>
    <t>MDPI</t>
  </si>
  <si>
    <t>ST ALBAN-ANLAGE 66, CH-4052 BASEL, SWITZERLAND</t>
  </si>
  <si>
    <t>2072-6643</t>
  </si>
  <si>
    <t>Nutrients</t>
  </si>
  <si>
    <t>10.3390/nu7053300</t>
  </si>
  <si>
    <t>Nutrition &amp; Dietetics</t>
  </si>
  <si>
    <t>CK5CT</t>
  </si>
  <si>
    <t>Green Submitted, Green Published, gold</t>
  </si>
  <si>
    <t>WOS:000356240500015</t>
  </si>
  <si>
    <t>Otero, RA; Soto-Acuña, S; Salazar, C; Oyarzún, JL</t>
  </si>
  <si>
    <t>Otero, Rodrigo A.; Soto-Acuna, Sergio; Salazar S., Christian; Luis Oyarzun, Jose</t>
  </si>
  <si>
    <t>New elasmosaurids (Sauropterygia, Plesiosauria) from the Late Cretaceous of the Magallanes Basin, Chilean Patagonia: Evidence of a faunal turnover during the Maastrichtian along the Weddellian Biogeographic Province</t>
  </si>
  <si>
    <t>ANDEAN GEOLOGY</t>
  </si>
  <si>
    <t>Austral plesiosaurs; Biogeography; Weddellian Province</t>
  </si>
  <si>
    <t>ARISTONECTES CABRERA; POSTCRANIAL SKELETON; NORTHERN PATAGONIA; MARINE REPTILES; POLYCOTYLIDAE; PACIFIC</t>
  </si>
  <si>
    <t>Several Upper Cretaceous plesiosaur specimens recovered from southernmost Chile are described here. These were collected from upper levels of the Dorotea Formation exposed on three different localities (Sierra Baguales, Cerro Castillo, and Dumestre). The new material includes the first record of Aristonectes (Plesiosauria, Elasmosauridae), previously recorded from Argentina, central Chile, and Antarctica. Additional specimens include associated postcranial skeletons as well as isolated elements. Among these, we recognize the presence of aristonectines in the three studied localities, while non-aristonectine elasmosaurids were only collected from Cerro Castillo. The specimen from Dumestre is remarkable by being a small-sized adult, indeterminate aristonectine, and could be related to known representatives from Antarctica. These new finds prove the abundance of aristonectines as well as intermediate elasmosaurids along the Magallanes Basin during the uppermost Cretaceous, while extreme long-necked elasmosaurids as well as polycotylids seems to be completely absent during this time span. This key record from southernmost Chile and its strategic placement in the middle part of the Weddellian Province gives the chance for complementing the paleobiogeography of Upper Cretaceous plesiosaurs from the Southern Hemisphere. As a first result, a faunal turnover is observed during the early Maastrichtian, when extreme (very-long necked) elasmosaurids and polycotylids disappeared from the austral record. Since the early Maastrichtian and towards the late Maastrichtian, aristonectines became differentially abundant along the southeastern Pacific and Antarctica, but moderately represented in the southwestern Atlantic. On contrary, intermediate elasmosaurids were scarce in the Antarctic-Pacific realm, but abundant in the Atlantic. The updated record of austral plesiosaurs suggest a first stage of interchange from the Northern into the Southern Hemisphere, and through the Atlantic seaway, at least since the Coniacian to the late Campanian-early Maastrichtian. During the early Maastrichtian, aristonectines were relatively frequent in the New Zealand-Antarctica archipelago, becoming abundant along southern South America during the late Maastrichtian.</t>
  </si>
  <si>
    <t>[Otero, Rodrigo A.; Soto-Acuna, Sergio] Univ Chile, Fac Ciencias, Dept Biol, Red Paleontol U Chile,Lab Ontogenia &amp; Filogenia, Palmeras 3425, Santiago, Chile; [Soto-Acuna, Sergio; Salazar S., Christian] Museo Nacl Hist Nat, Area Paleontol, Santiago, Chile</t>
  </si>
  <si>
    <t>Otero, RA (corresponding author), Univ Chile, Fac Ciencias, Dept Biol, Red Paleontol U Chile,Lab Ontogenia &amp; Filogenia, Palmeras 3425, Santiago, Chile.</t>
  </si>
  <si>
    <t>otero2112@gmail.com; arcosaurio@gmail.com; christian.salazar@mnhn.cl; paleogonia@yahoo.es</t>
  </si>
  <si>
    <t>Otero, Rodrigo/0000-0002-3046-2973; Soto Acuna, Sergio/0000-0002-9311-9355</t>
  </si>
  <si>
    <t>Antarctic Ring Project [ACT-105]; Conicyt-Chile</t>
  </si>
  <si>
    <t>Antarctic Ring Project; Conicyt-Chile(Comision Nacional de Investigacion Cientifica y Tecnologica (CONICYT))</t>
  </si>
  <si>
    <t>Logistics and research was supported by the Antarctic Ring Project ACT-105, Conicyt-Chile, and by the former Antarctic Ring Project ATG-04 (2007-2010, Conicyt-Chile). Especial thanks to Mr. H. Cardenas and M. Alvarez who granted access to their lands. Dr. N. Hiller, Dr. P. Scofield, and Dr. C. Vink (Canterbury Museum, Christchurch, New Zealand) are acknowledged for allowing the review of the specimens from New Zealand here commented. Thanks to K. Buldrini, J. Alarcon and J.P. Guevara (Museo Nacional de Historia Natural) for the preparation of the specimen SGO.PV.6580. Especial thanks to Dr. J. O'Gorman (Universidad de La Plata, Argentina) for the critical review of the manuscript and valuable comments that helped to improve it, and to L.E. Lara (Servicio Nacional de Geologia y Mineria, Chile) for the editorial process. R.A. Otero wants to dedicate this work to the respectful memory of E. Perez D'Angelo (former Instituto de Investigaciones Geologicas and Servicio Nacional de Geologia y Mineria, Chile), for his continuous support to the paleontological research in the Magallanes Region, and especially because of his dedication and generous help in the elaboration of our first contribution regarding plesiosaurs from Magallanes, on 2009. He lives in our permanent motivation for researching.</t>
  </si>
  <si>
    <t>SERVICIO NACIONAL GEOLOGIA MINERVA</t>
  </si>
  <si>
    <t>SANTIAGO</t>
  </si>
  <si>
    <t>AVDA SANTA MARIO 0104, CASILLA 10465, SANTIAGO, CHILE</t>
  </si>
  <si>
    <t>0718-7106</t>
  </si>
  <si>
    <t>ANDEAN GEOL</t>
  </si>
  <si>
    <t>Andean Geol.</t>
  </si>
  <si>
    <t>10.5027/andgeoV42n1-a05</t>
  </si>
  <si>
    <t>CK2ZJ</t>
  </si>
  <si>
    <t>WOS:000356084000005</t>
  </si>
  <si>
    <t>Otero, RA; Soto-Acuña, S</t>
  </si>
  <si>
    <t>Otero, Rodrigo A.; Soto-Acuna, Sergio</t>
  </si>
  <si>
    <t>New chondrichthyans from Bartonian-Priabonian levels of Rio de Las Minas and Sierra Dorotea, Magallanes Basin, Chilean Patagonia</t>
  </si>
  <si>
    <t>Cartilaginous fishes; Weddellian Province; Southernmost Chile</t>
  </si>
  <si>
    <t>ELASMOBRANCHII; SHARKS</t>
  </si>
  <si>
    <t>Here we studied new fossil chondrichthyans from two localities, Rio de Las Minas, and Sierra Dorotea, both in the Magallanes Region, southernmost Chile. In Rio de Las Minas, the upper section of the Priabonian Loreto Formation have yielded material referable to the taxa Megascyliorhinus sp., Pristiophorus sp., Rhinoptera sp., and Callorhinchus sp. In Sierra Dorotea, middle-to-late Eocene levels of the Rio Turbio Formation have provided teeth referable to the taxa Striatolamia macrota (Agassiz), Palaeohypotodus rutoti (Winkler), Squalus aff. weltoni Long, Carcharias sp., Paraorthacodus sp., Rhinoptera sp., and indeterminate Myliobatids. These new records show the presence of common chondrichtyan diversity along most of the Magallanes Basin. The new record of Paraorthacodus sp. and P. rutoti, support the extension of their respective biochrons in the Magallanes Basin and likely in the southeastern Pacific.</t>
  </si>
  <si>
    <t>[Otero, Rodrigo A.; Soto-Acuna, Sergio] Univ Chile, Fac Ciencias, Dept Biol, Red Paleontol Univ Chile,Lab Ontogenia &amp; Filogeni, Santiago, Chile; [Soto-Acuna, Sergio] Museo Nacl Hist Nat, Area Paleontol, Santiago, Chile</t>
  </si>
  <si>
    <t>Otero, RA (corresponding author), Univ Chile, Fac Ciencias, Dept Biol, Red Paleontol Univ Chile,Lab Ontogenia &amp; Filogeni, Palmeras 3425, Santiago, Chile.</t>
  </si>
  <si>
    <t>otero2112@gmail.com; arcosaurio@gmail.com</t>
  </si>
  <si>
    <t>The authors, fieldwork, logistics and research were supported by the Antarctic Ring Project ACT-105, Conicyt-Chile. Especial thanks to J.L. Oyarzun (Puerto Natales) for his valuable assistance on the first fieldworks and logistics. C. Underwood (Birkbeck University of London) and C. Pimiento (Florida Museum of Natural History) are especially thanked for the review and the valuable comments that helped to improve the original manuscript.</t>
  </si>
  <si>
    <t>10.5027/andgeoV42n2-a06</t>
  </si>
  <si>
    <t>gold, Green Published, Green Submitted</t>
  </si>
  <si>
    <t>WOS:000356084000006</t>
  </si>
  <si>
    <t>Ye, PP; Xie, ZQ; Yu, J; Kang, H</t>
  </si>
  <si>
    <t>Ye, Peipei; Xie, Zhouqing; Yu, Juan; Kang, Hui</t>
  </si>
  <si>
    <t>Spatial Distribution of Methanesulphonic Acid in the Arctic Aerosol Collected during the Chinese Arctic Research Expedition</t>
  </si>
  <si>
    <t>ATMOSPHERE</t>
  </si>
  <si>
    <t>ANTARCTIC SEA-ICE; BIOGENIC SULFUR AEROSOL; MARINE BOUNDARY-LAYER; DISSOLVED ORGANIC-MATTER; SALT SULFATE; DIMETHYL SULFIDE; OCEAN; PHYTOPLANKTON; CORE; DMS</t>
  </si>
  <si>
    <t>Methanesulphonic acid (MSA, mainly derived from marine biogenic emissions) has been frequently used to estimate the marine biogenic contribution. However, there are few reports on MSA over the Arctic Ocean, especially the central Arctic Ocean. Here, we analyzed MSA in aerosol samples collected over the ocean and seas during the Chinese Arctic Research Expedition (CHINARE 2012) using ion chromatography. The aerosol MSA concentrations over the Arctic Ocean varied considerably and ranged from non-detectable (ND) to 229 ng/m(3), with an average of 27 +/- 54 ng/m(3) (median: 10 ng/m(3)). We found the distribution of aerosol MSA exhibited an obvious regional variation, which was affected by biotic and abiotic factors. High values were generally observed in the Norwegian Sea; this phenomenon was attributed to high rates of phytoplankton primary productivity and dimethylsulfide (DMS) fluxes in this region. Concentrations over the pack ice region in the central Arctic Ocean were generally lower than over the open waters at the ice edge in the Chukchi Sea. This difference was the mainly caused by sea ice. In addition, we found that higher MSA concentrations were associated with warmer sea surface temperature (SST).</t>
  </si>
  <si>
    <t>[Ye, Peipei; Xie, Zhouqing] Univ Sci &amp; Technol China, Sch Life Sci, Hefei 230026, Peoples R China; [Ye, Peipei; Xie, Zhouqing; Yu, Juan; Kang, Hui] Univ Sci &amp; Technol China, Inst Polar Environm, Sch Earth &amp; Space Sci, Hefei 230026, Peoples R China</t>
  </si>
  <si>
    <t>Chinese Academy of Sciences; University of Science &amp; Technology of China, CAS; Chinese Academy of Sciences; University of Science &amp; Technology of China, CAS</t>
  </si>
  <si>
    <t>Xie, ZQ (corresponding author), Univ Sci &amp; Technol China, Sch Life Sci, Hefei 230026, Peoples R China.</t>
  </si>
  <si>
    <t>yepei@mail.ustc.edu.cn; zqxie@ustc.edu.cn; jyu1124@mail.ustc.edu.cn; rillian@ustc.eud.cn</t>
  </si>
  <si>
    <t>xie, zhouqing/P-9661-2019</t>
  </si>
  <si>
    <t>National Natural Science Foundation of China [41025020, 41176170]; Program of China Polar Environment Investigation and Assessment [CHINARE2011-2015]; Fundamental Research Funds for the Central Universities</t>
  </si>
  <si>
    <t>National Natural Science Foundation of China(National Natural Science Foundation of China (NSFC)); Program of China Polar Environment Investigation and Assessment; Fundamental Research Funds for the Central Universities(Fundamental Research Funds for the Central Universities)</t>
  </si>
  <si>
    <t>This research was supported by grants from the National Natural Science Foundation of China (Project No. 41025020, 41176170), the Program of China Polar Environment Investigation and Assessment (Project No. CHINARE2011-2015) and the Fundamental Research Funds for the Central Universities.</t>
  </si>
  <si>
    <t>2073-4433</t>
  </si>
  <si>
    <t>ATMOSPHERE-BASEL</t>
  </si>
  <si>
    <t>Atmosphere</t>
  </si>
  <si>
    <t>10.3390/atmos6050699</t>
  </si>
  <si>
    <t>Environmental Sciences; Meteorology &amp; Atmospheric Sciences</t>
  </si>
  <si>
    <t>Environmental Sciences &amp; Ecology; Meteorology &amp; Atmospheric Sciences</t>
  </si>
  <si>
    <t>CK5DJ</t>
  </si>
  <si>
    <t>WOS:000356242100008</t>
  </si>
  <si>
    <t>Chiswell, SM; Calil, PHR; Boyd, PW</t>
  </si>
  <si>
    <t>Chiswell, Stephen M.; Calil, Paulo H. R.; Boyd, Philip W.</t>
  </si>
  <si>
    <t>Spring blooms and annual cycles of phytoplankton: a unified perspective</t>
  </si>
  <si>
    <t>JOURNAL OF PLANKTON RESEARCH</t>
  </si>
  <si>
    <t>phytoplankton; annual cycles; spring blooms; mixed layer</t>
  </si>
  <si>
    <t>CRITICAL-DEPTH; VARIABILITY; CONVECTION; INITIATION; SVERDRUP; ONSET</t>
  </si>
  <si>
    <t>Several hypotheses exist that describe phytoplankton spring blooms in temperate and subpolar oceans: the critical depth, shoaling mixed layer (ML), critical turbulence, onset of stratification and disturbance-recovery hypotheses. These theories appear to be mutually exclusive and none of them describe the annual cycle of phytoplankton biomass. Here, we present a model of the annual cycle in phytoplankton that recognizes that phytoplankton are not always mixed throughout the so-called ML, and that it is important to distinguish between the surface biomass and depth-integrated phytoplankton. Once these important distinctions are made, the annual cycles and blooms in surface and depth-integrated phytoplankton can be described straightforwardly in terms of the physical drivers and biotic responses.</t>
  </si>
  <si>
    <t>[Chiswell, Stephen M.] Natl Inst Water &amp; Atmospher Res, Wellington, New Zealand; [Calil, Paulo H. R.] Univ Fed Rio Grande FURG, Inst Oceanog, Lab Dinam &amp; Modelagem Ocean DINAMO, BR-96201900 Rio Grande, Brazil; [Boyd, Philip W.] Univ Tasmania, Inst Marine &amp; Antarctic Studies, Hobart, Tas 7005, Australia</t>
  </si>
  <si>
    <t>National Institute of Water &amp; Atmospheric Research (NIWA) - New Zealand; Universidade Federal do Rio Grande; University of Tasmania</t>
  </si>
  <si>
    <t>Chiswell, SM (corresponding author), Natl Inst Water &amp; Atmospher Res, POB 14 901, Wellington, New Zealand.</t>
  </si>
  <si>
    <t>s.chiswell@niwa.cri.nz</t>
  </si>
  <si>
    <t>Calil, Paulo Henrique R./N-8055-2019; Boyd, Philip/J-7624-2014</t>
  </si>
  <si>
    <t>Calil, Paulo Henrique R./0000-0001-6361-1747; Chiswell, Stephen/0000-0002-5957-3706; Boyd, Philip/0000-0001-7850-1911</t>
  </si>
  <si>
    <t>New Zealand Government; Conselho Nacional de Desenvolvimento Cientifico e Tecnologico (CNPq) - Bolsa de Produtividade em Pesquisa [Process: 307385/2013-2]; University of Tasmania</t>
  </si>
  <si>
    <t>New Zealand Government; Conselho Nacional de Desenvolvimento Cientifico e Tecnologico (CNPq) - Bolsa de Produtividade em Pesquisa(Conselho Nacional de Desenvolvimento Cientifico e Tecnologico (CNPQ)); University of Tasmania</t>
  </si>
  <si>
    <t>S.M.C. was funded by a grant from the New Zealand Government to the National Institute of Water and Atmospheric Research. P.H.R.C. acknowledges support from Conselho Nacional de Desenvolvimento Cientifico e Tecnologico (CNPq) - Bolsa de Produtividade em Pesquisa (Process: 307385/2013-2). P.W.B. was supported by University of Tasmania.</t>
  </si>
  <si>
    <t>0142-7873</t>
  </si>
  <si>
    <t>1464-3774</t>
  </si>
  <si>
    <t>J PLANKTON RES</t>
  </si>
  <si>
    <t>J. Plankton Res.</t>
  </si>
  <si>
    <t>10.1093/plankt/fbv021</t>
  </si>
  <si>
    <t>Marine &amp; Freshwater Biology; Oceanography</t>
  </si>
  <si>
    <t>CK2KL</t>
  </si>
  <si>
    <t>WOS:000356039200002</t>
  </si>
  <si>
    <t>McGowran, B; Hill, RS</t>
  </si>
  <si>
    <t>McGowran, Brian; Hill, Robert S.</t>
  </si>
  <si>
    <t>Cenozoic climatic shifts in southern Australia</t>
  </si>
  <si>
    <t>TRANSACTIONS OF THE ROYAL SOCIETY OF SOUTH AUSTRALIA</t>
  </si>
  <si>
    <t>Cenozoic; climatic shifts; southern Australia; foraminifera; plant fossils; paleobiogeography; rain forests; environment change and evolution</t>
  </si>
  <si>
    <t>REGATTA POINT; EOCENE; NOTHOFAGACEAE; FORAMINIFERA; EXTINCTION; GREENHOUSE; EVOLUTION; NEOGENE; ONSET</t>
  </si>
  <si>
    <t>Early Paleogene southern Australia, which comprises the north shore of the Australo-Antarctic Gulf, was covered in the equivalent of extant wet-tropical lowland vegetation at 60-65 degrees S, most richly during the Early Eocene Climatic Optimum. Cooling at similar to 50Ma triggered the spread of Nothofagus warm-temperate rainforests. Cooling reversed at the Khirthar transgression at similar to 42Ma with extensive neritic carbonate seas, diverse rainforest biomes and massive coals on the continental margins. Coals and limestones are strongly associated in time, from the late Paleogene at similar to 42-40Ma (the Middle Eocene Climatic Optimum) to the early Neogene at similar to 16-14Ma (the Miocene Climatic Optimum). Photosymbiotic foraminifera from north of Australia ingressed into the neritic biomes on the Leeuwin Current, signalling warm pulses. Terrestrial floras were still wet-temperate at the continental margins, but during the Oligocene various plants, already coping with low nutrients from extensive deep weathering in the Paleogene, had to cope with cooling, sudden drops in global CO2 levels and a drying-out in the continental interior. The rapid expansion of the Antarctic ice sheet in the early Oligocene had biotic impacts and responses, but not the dramatic impact of the subsequent expansion at similar to 14Ma. Late Neogene and modern Australia became a subdued, undernourished, arid continent with damp fringes. Neritic seas and their carbonate factories shrank; rainforests reduced in aerial extent and coal formation ceased. The last major warming, which temporarily interrupted the overall cooling into the late Neogene (Pleistocene) icehouse was in the early Pliocene, although the biogeographic pulses on the Leeuwin Current have continued to the present. The modern, fire-adapted Eucalyptus forests have deep Neogene roots but underwent significant expansion only recently.</t>
  </si>
  <si>
    <t>[McGowran, Brian] Univ Adelaide, Dept Earth Sci, Adelaide, SA, Australia; [Hill, Robert S.] Univ Adelaide, Fac Sci, Adelaide, SA, Australia; [McGowran, Brian; Hill, Robert S.] S Australian Museum, Ctr Evolutionary Biol Biodivers, Adelaide, SA 5000, Australia</t>
  </si>
  <si>
    <t>University of Adelaide; University of Adelaide</t>
  </si>
  <si>
    <t>McGowran, B (corresponding author), Univ Adelaide, Dept Earth Sci, Adelaide, SA, Australia.</t>
  </si>
  <si>
    <t>brian.mcgowran@adelaide.edu.au</t>
  </si>
  <si>
    <t>Hill, Robert/AAB-1686-2019</t>
  </si>
  <si>
    <t>Hill, Robert/0000-0003-4564-4339</t>
  </si>
  <si>
    <t>0372-1426</t>
  </si>
  <si>
    <t>2204-0293</t>
  </si>
  <si>
    <t>T ROY SOC SOUTH AUST</t>
  </si>
  <si>
    <t>Trans. R. Soc. S. Aust.</t>
  </si>
  <si>
    <t>10.1080/03721426.2015.1035215</t>
  </si>
  <si>
    <t>CK6GN</t>
  </si>
  <si>
    <t>WOS:000356326600004</t>
  </si>
  <si>
    <t>Gusmeroli, A; Liu, L; Schaefer, K; Zhang, TJ; Schaefer, T; Grosse, G</t>
  </si>
  <si>
    <t>Gusmeroli, Alessio; Liu, Lin; Schaefer, Kevin; Zhang, Tingjun; Schaefer, Timothy; Grosse, Guido</t>
  </si>
  <si>
    <t>Active layer stratigraphy and organic layer thickness at a thermokarst site in Arctic Alaska identified using ground penetrating radar</t>
  </si>
  <si>
    <t>ARCTIC ANTARCTIC AND ALPINE RESEARCH</t>
  </si>
  <si>
    <t>2013 International Cryospheric Science Conference</t>
  </si>
  <si>
    <t>OCT, 2013</t>
  </si>
  <si>
    <t>Sanya City, PEOPLES R CHINA</t>
  </si>
  <si>
    <t>THAW DEPTH; PERMAFROST; RESOLUTION</t>
  </si>
  <si>
    <t>In permafrost terrains, the frozen-unfrozen boundary, located at the base of the active layer, is a prominent ground-penetrating radar (GPR) target and is typically used to retrieve active layer thickness. Less attention has been given to the capability of the GPR in detecting structures within the active layer. In this paper, using 500 MHz GPR data from a thermokarst site in the Arctic Coastal Plain, we demonstrate that GPR can retrieve, when present, the internal stratigraphy of the thawed layer. We recognized two types of thermokarst-related microtopographic units: dry-and-uniform peaty hummocks with a thin (similar to 30 cm) active layer and inter-hummock depressions with a thicker (similar to 60 cm) active layer characterized by two different layers-a surface peat layer on top of silt confirmed by test pits. Radar wave velocity analysis, done with a common-midpoint survey, suggests a contrast in volumetric water content (87% and 45% for the upper and lower layers, respectively). The subsurface radar wave velocity suggests that the porous peat layer contains more water (87% by volume) than the underlying silt layer (45% by volume), resulting in a strong dielectric contrast and a strong radar reflection. This study demonstrates the usefulness of GPR to measure the thickness and properties of the surface organic layer in permafrost regions.</t>
  </si>
  <si>
    <t>[Gusmeroli, Alessio] Univ Alaska Fairbanks, Int Arctic Res Ctr, Fairbanks, AK 99775 USA; [Liu, Lin] Chinese Univ Hong Kong, Fac Sci, Earth Syst Sci Programme, Shatin, Hong Kong, Peoples R China; [Schaefer, Kevin] Univ Colorado, Natl Snow &amp; Ice Data Ctr, Cooperat Inst Res Environm Sci, Boulder, CO 80309 USA; [Zhang, Tingjun] Lanzhou Univ, Coll Earth &amp; Environm Sci, MOE Key Lab Western Chinas Environm Syst, Lanzhou 730000, Peoples R China; [Schaefer, Timothy] Galmont Consulting, Chicago, IL 60016 USA; [Grosse, Guido] Univ Alaska Fairbanks, Inst Geophys, Fairbanks, AK 99775 USA</t>
  </si>
  <si>
    <t>University of Alaska System; University of Alaska Fairbanks; Chinese University of Hong Kong; University of Colorado System; University of Colorado Boulder; Lanzhou University; University of Alaska System; University of Alaska Fairbanks</t>
  </si>
  <si>
    <t>Liu, L (corresponding author), Chinese Univ Hong Kong, Fac Sci, Earth Syst Sci Programme, 315 Mong Man Wai, Shatin, Hong Kong, Peoples R China.</t>
  </si>
  <si>
    <t>liulin@cuhk.edu.hk</t>
  </si>
  <si>
    <t>Liu, Lin/Q-4237-2018; Grosse, Guido/F-5018-2011; ZHANG, TINGJUN/AAX-3662-2020</t>
  </si>
  <si>
    <t>Liu, Lin/0000-0002-9581-1337; Grosse, Guido/0000-0001-5895-2141; ZHANG, Tingjun/0000-0001-6974-9501; Gusmeroli, Alessio/0000-0002-8355-5591</t>
  </si>
  <si>
    <t>Alaska Climate Science Center from the United States Geological Survey [G10AC00588]; U.S. National Science Foundation (NSF) [ARC-1204013]; U.S. National Aeronautics and Space Administration (NASA), North American Carbon Program [NNX10AR63G]; U.S. National Oceanic and Atmospheric Administration (NOAA) grant [NA09OAR4310063]; U.S. National Science Foundation (NSF) grant [ARC 0901962]; Division Of Polar Programs; Directorate For Geosciences [1204167] Funding Source: National Science Foundation</t>
  </si>
  <si>
    <t>Alaska Climate Science Center from the United States Geological Survey; U.S. National Science Foundation (NSF)(National Science Foundation (NSF)); U.S. National Aeronautics and Space Administration (NASA), North American Carbon Program; U.S. National Oceanic and Atmospheric Administration (NOAA) grant; U.S. National Science Foundation (NSF) grant(National Science Foundation (NSF)); Division Of Polar Programs; Directorate For Geosciences(National Science Foundation (NSF)NSF - Directorate for Geosciences (GEO))</t>
  </si>
  <si>
    <t>The study described in this publication was supported by the Alaska Climate Science Center, funded by Cooperative Agreement Number G10AC00588 from the United States Geological Survey, by U.S. National Science Foundation (NSF) grant ARC-1204013, by the U.S. National Aeronautics and Space Administration (NASA) grant NNX10AR63G as part of the North American Carbon Program, the U.S. National Oceanic and Atmospheric Administration (NOAA) grant NA09OAR4310063. Support for Dr. Zhang and for the fieldwork support came from the U.S. National Science Foundation (NSF) grant ARC 0901962 to the University of Colorado at Boulder.</t>
  </si>
  <si>
    <t>1523-0430</t>
  </si>
  <si>
    <t>1938-4246</t>
  </si>
  <si>
    <t>ARCT ANTARCT ALP RES</t>
  </si>
  <si>
    <t>Arct. Antarct. Alp. Res.</t>
  </si>
  <si>
    <t>10.1657/AAAR00C-13-301</t>
  </si>
  <si>
    <t>Environmental Sciences; Geography, Physical</t>
  </si>
  <si>
    <t>CJ6TS</t>
  </si>
  <si>
    <t>WOS:000355627500002</t>
  </si>
  <si>
    <t>Mu, CC; Zhang, TJ; Wu, QB; Cao, B; Zhang, XK; Peng, XQ; Wan, XD; Zheng, L; Wang, QF; Cheng, GD</t>
  </si>
  <si>
    <t>Mu, Cuicui; Zhang, Tingjun; Wu, Qingbai; Cao, Bin; Zhang, Xiankai; Peng, Xiaoqing; Wan, Xudong; Zheng, Lei; Wang, Qingfeng; Cheng, Guodong</t>
  </si>
  <si>
    <t>Carbon and nitrogen properties of permafrost over the Eboling Mountain in the upper reach of Heihe River basin, Northwestern China</t>
  </si>
  <si>
    <t>SOIL ORGANIC-CARBON; CLIMATE; PEAT; STORAGE; ACCUMULATION; INDICATORS; DELTA-C-13; ISOTOPES; PATTERNS; RELEASE</t>
  </si>
  <si>
    <t>The sensitivity of soil carbon and nitrogen to warming is a major uncertainty in projections of climate. However, previous studies about soil organic carbon (SOC) stocks and potential emission predominantly concentrated on the shallow soil layer in high latitude ecosystems. In this study, we analyzed the SOC, total nitrogen (TN) and soil inorganic carbon (SIC) stocks, C/N ratios, and stable carbon isotope (delta C-13) in the active layer and permafrost layer on the Eboling Mountain in the upper reach of Heihe River basin, northwestern China. Our results showed that the average stocks of SOC, TN, and SIC in permafrost layer above soil parent materials (71.7 kg m(-2), 8.0 kg m(-2), 34.7 kg m(-2)) were much higher than those in the active layer (44.3 kg m(-2), 5.3 kg m(-2), 12.2 kg m(-2)). The delta C-13 pattern in the soil profiles indicated that historical drainage conditions and pedogenesis were important factors in determining soil organic matter (SOM) stocks in this permafrost region. The delta C-13 and C/N ratios of the transient layer and some layers of permafrost implied that the degradation of SOM was different. These results highlight that carbon and nitrogen in permafrost regions with Alpine Kobresia meadow could make significant contribution to China's terrestrial carbon cycle.</t>
  </si>
  <si>
    <t>[Mu, Cuicui; Zhang, Tingjun; Cao, Bin; Zhang, Xiankai; Peng, Xiaoqing; Wan, Xudong; Zheng, Lei] Lanzhou Univ, MOE Key Lab Western Chinas Environm Syst, Lanzhou 730000, Gansu, Peoples R China; [Wu, Qingbai; Wang, Qingfeng; Cheng, Guodong] Chinese Acad Sci, Lanzhou Univ, Cold &amp; Arid Reg Environm &amp; Engn Res Inst, State Key Lab Frozen Soil Engn, Lanzhou 730000, Gansu, Peoples R China; [Zhang, Tingjun] Lanzhou Univ, Coll Earth &amp; Environm Sci, Lanzhou 730000, Gansu, Peoples R China</t>
  </si>
  <si>
    <t>Lanzhou University; Lanzhou University; Chinese Academy of Sciences; Cold &amp; Arid Regions Environmental &amp; Engineering Research Institute, CAS; Lanzhou University</t>
  </si>
  <si>
    <t>Zhang, TJ (corresponding author), Lanzhou Univ, Coll Earth &amp; Environm Sci, Lanzhou 730000, Gansu, Peoples R China.</t>
  </si>
  <si>
    <t>tjzhang@lzu.edu.cn</t>
  </si>
  <si>
    <t>Cao, Bin/AAH-7172-2019; mu, cuicui/AAU-2733-2020; peng, xiaoqing/ABE-1509-2021; ZHANG, TINGJUN/AAX-3662-2020; Mu, Cuicui/KBD-1913-2024</t>
  </si>
  <si>
    <t>Cao, Bin/0000-0003-2473-2276; mu, cuicui/0000-0003-0630-9423; peng, xiaoqing/0000-0002-1789-7809; ZHANG, Tingjun/0000-0001-6974-9501</t>
  </si>
  <si>
    <t>National Key Scientific Research Project [2013CBA01802]; National Natural Science Foundation of China [91325202, 41330634]; Open Foundations of State Key Laboratory of Cryospheric Sciences [SKLCS-OP-2014-08]; State Key Laboratory of Frozen Soil Engineering [SKLFSE201408]</t>
  </si>
  <si>
    <t>National Key Scientific Research Project; National Natural Science Foundation of China(National Natural Science Foundation of China (NSFC)); Open Foundations of State Key Laboratory of Cryospheric Sciences; State Key Laboratory of Frozen Soil Engineering</t>
  </si>
  <si>
    <t>This work was supported by the National Key Scientific Research Project (grant 2013CBA01802), the National Natural Science Foundation of China (grants 91325202 and 41330634), the Open Foundations of State Key Laboratory of Cryospheric Sciences (grant SKLCS-OP-2014-08), and the State Key Laboratory of Frozen Soil Engineering (grant SKLFSE201408).</t>
  </si>
  <si>
    <t>INST ARCTIC ALPINE RES</t>
  </si>
  <si>
    <t>UNIV COLORADO, BOULDER, CO 80309 USA</t>
  </si>
  <si>
    <t>10.1657/AAAR00C-13-095</t>
  </si>
  <si>
    <t>Bronze, Green Published</t>
  </si>
  <si>
    <t>WOS:000355627500003</t>
  </si>
  <si>
    <t>Wang, QF; Zhang, TJ; Peng, XQ; Cao, B; Wu, QB</t>
  </si>
  <si>
    <t>Wang, Qingfeng; Zhang, Tingjun; Peng, Xiaoqing; Cao, Bin; Wu, Qingbai</t>
  </si>
  <si>
    <t>Changes of soil thermal regimes in the Heihe River Basin over Western China</t>
  </si>
  <si>
    <t>ACTIVE-LAYER THICKNESS; FREEZING PROCESSES; CENTRAL ALASKA; PERMAFROST; REGION; CLIMATE; VARIABILITY; STATE</t>
  </si>
  <si>
    <t>Investigation of the changes in soil thermal regimes is essential to the understanding of ecohydrological processes, resource development, and climate change. We use soil temperatures from 12 meteorological stations of the China Meteorological Administration in the Heihe River Basin to estimate soil seasonal freeze depth, the onset and end dates of soil freeze, and the duration of soil freeze. Based on the characteristics of the soil temperature in the seasonal freezing layer, the freeze/thaw processes of this layer were divided into four stages: the winter freezing stage, spring thawing stage, summer warming stage, and autumn cooling stage. Spring, summer, autumn, and winter ground surface temperatures in the basin exhibit significant increasing trends in 1972-2006, of 0.65 degrees C decade-1, 0.73 degrees C decade(-1), 0.48 degrees C decade(-1), and 0.44 degrees C decade(-1), respectively. Mean annual soil temperature at 0.0-0.20 m depths reveals an increasing trend of 0.58-0.63 degrees C decade(-1) in 1972-2006. The onset date of soil freeze, the end date of soil freeze, and the duration of soil freeze in 1972-2006 exhibit a statistically significant trend of +2 days decade(-1), -4 days decade(-1), and -6 days decade(-1), respectively. The maximum thickness of the seasonally frozen ground for 1960-2007 reveals a statistically significant trend of -4.0 cm decade(-1) and a net change of -19.2 cm for the 48-year period. These are all related to the increase in spring, summer, autumn, and winter air temperature and the mean annual air temperature in the basin, a possible result of global warming.</t>
  </si>
  <si>
    <t>[Wang, Qingfeng; Wu, Qingbai] Chinese Acad Sci, Cold &amp; Arid Reg Environm &amp; Engn Res Inst, State Key Lab Frozen Soil Engn, Lanzhou 730000, Gansu, Peoples R China; [Zhang, Tingjun; Peng, Xiaoqing; Cao, Bin] Lanzhou Univ, Coll Earth &amp; Environm Sci, MOE Key Lab Western Chinas Environm Syst, Lanzhou 730000, Peoples R China</t>
  </si>
  <si>
    <t>Chinese Academy of Sciences; Cold &amp; Arid Regions Environmental &amp; Engineering Research Institute, CAS; Lanzhou University</t>
  </si>
  <si>
    <t>Zhang, TJ (corresponding author), Lanzhou Univ, Coll Earth &amp; Environm Sci, MOE Key Lab Western Chinas Environm Syst, Lanzhou 730000, Peoples R China.</t>
  </si>
  <si>
    <t>ZHANG, TINGJUN/AAX-3662-2020; Cao, Bin/AAH-7172-2019; peng, xiaoqing/ABE-1509-2021</t>
  </si>
  <si>
    <t>Cao, Bin/0000-0003-2473-2276; peng, xiaoqing/0000-0002-1789-7809; ZHANG, Tingjun/0000-0001-6974-9501</t>
  </si>
  <si>
    <t>National Key Scientific Research Program of China [2013CBA01802]; Natural Science Foundation of China [91025013, 91325202]; State Key Laboratory of Frozen Soil Engineering [SKLFSE-ZQ-33, SKLFSE-ZY-06]; Chinese Academy of Sciences (CAS) Key Research Program [KZZD-EW-13]</t>
  </si>
  <si>
    <t>National Key Scientific Research Program of China; Natural Science Foundation of China(National Natural Science Foundation of China (NSFC)); State Key Laboratory of Frozen Soil Engineering; Chinese Academy of Sciences (CAS) Key Research Program</t>
  </si>
  <si>
    <t>This study is supported by the National Key Scientific Research Program of China (grant number 2013CBA01802), the Natural Science Foundation of China (grant numbers 91025013 and 91325202), the State Key Laboratory of Frozen Soil Engineering (grant numbers SKLFSE-ZQ-33 and SKLFSE-ZY-06), and the Chinese Academy of Sciences (CAS) Key Research Program (grant number KZZD-EW-13). We thank Dr. Songhe Wang of Xi'an University of Technology for revising the English draft.</t>
  </si>
  <si>
    <t>10.1657/AAAR00C-14-012</t>
  </si>
  <si>
    <t>WOS:000355627500005</t>
  </si>
  <si>
    <t>Liu, YG; Guo, ZM; Zhou, Q; Wu, XB; He, JQ</t>
  </si>
  <si>
    <t>Liu, Yinge; Guo, Zhongming; Zhou, Qi; Wu, Xiaobo; He, Jianqiao</t>
  </si>
  <si>
    <t>The climate characteristics of the first date of ≤0 °C temperature in East China</t>
  </si>
  <si>
    <t>FROST DAYS; TRENDS; EXTREMES</t>
  </si>
  <si>
    <t>In this paper the climate characteristics of the first date of &lt;= 0 degrees C temperature are analyzed; furthermore, the farming responses to climate warming are discussed using a climate diagnosis analysis and the least squares methods, which are based on the daily minimum temperature data in East China from 1961 to 2009. It was found that over the past 50 years there has been a trend of the first date of &lt;= 0 degrees C temperature being delayed at a rate of 1.6 days per 10 years; however, between 1961 and 1990 the first date of &lt;= 0 degrees C temperature arrived early at a rate of 1.8 days per 10 years, and then was delayed at a rate of 3.3 days per 10 years. Furthermore, the average first date of &lt;= 0 degrees C temperature is 30 October in northern regions, and the frequency of the first date of &lt;= 0 degrees C temperature is greater in October and November than in other months; however, the boundary of the first date of &lt;= 0 degrees C temperature shifts from south to north during September to December, and this has been especially evident since the 1990s. It was also found that in some southern stations, &lt;= 0 degrees C temperature never occurs. The first date of &lt;= 0 degrees C temperature occurs earlier in the north than in the south, and the interannual variation of the first date of &lt;= 0 degrees C temperature is large in low latitudes and small in high latitudes. Additionally, the sustained period of &lt;= 0 degrees C temperature, from beginning to end, decreased at a rate of 5 days per 10 years, which leads to a reduction in the length of the frost periods and causes a structural adjustment to the type of crops that can be planted. Therefore, the study reveals the significant effects that the first date of &lt;= 0 degrees C temperature can have on the length of frost periods and farming and provides useful findings with regard to the prevention of frost damage and agricultural management.</t>
  </si>
  <si>
    <t>[Liu, Yinge; Zhou, Qi] Baoji Univ Arts &amp; Sci, Dept Geog &amp; Environm Engn, Key Lab Disaster Monitoring &amp; Mech Simulating Sha, Baoji 721013, Shaanxi, Peoples R China; [Guo, Zhongming; Wu, Xiaobo; He, Jianqiao] Chinese Acad Sci, Cold &amp; Arid Reg Environm &amp; Engn Res Inst, Key Lab Cryosphere &amp; Environm, Lanzhou 730000, Gansu, Peoples R China</t>
  </si>
  <si>
    <t>Baoji University of Arts &amp; Sciences; Chinese Academy of Sciences; Cold &amp; Arid Regions Environmental &amp; Engineering Research Institute, CAS</t>
  </si>
  <si>
    <t>Liu, YG (corresponding author), Baoji Univ Arts &amp; Sci, Dept Geog &amp; Environm Engn, Key Lab Disaster Monitoring &amp; Mech Simulating Sha, 1 Hitech Ave, Baoji 721013, Shaanxi, Peoples R China.</t>
  </si>
  <si>
    <t>liuyg@lzb.ac.cn</t>
  </si>
  <si>
    <t>Zhou, Qi/AAB-7588-2021</t>
  </si>
  <si>
    <t>major National Scientific Research Program of Global Change Research of China [2010CB951400]; National Natural Science Foundation Key Project of China [41190084, 41201063, 41071359]; Key Laboratory Foundation Project of Shaanxi Province [09JS072, 13JS010]; Baoji College of Arts and Science Project [ZK11159]; Shaanxi Province Geography Key Discipline Project</t>
  </si>
  <si>
    <t>major National Scientific Research Program of Global Change Research of China; National Natural Science Foundation Key Project of China(National Natural Science Foundation of China (NSFC)); Key Laboratory Foundation Project of Shaanxi Province; Baoji College of Arts and Science Project; Shaanxi Province Geography Key Discipline Project</t>
  </si>
  <si>
    <t>This work was supported by the major National Scientific Research Program of Global Change Research of China (2010CB951400), National Natural Science Foundation Key Project of China (41190084, 41201063, 41071359), Key Laboratory Foundation Project of Shaanxi Province (09JS072, 13JS010), Baoji College of Arts and Science Project (ZK11159), and Shaanxi Province Geography Key Discipline Project.</t>
  </si>
  <si>
    <t>10.1657/AAAR00C-13-125</t>
  </si>
  <si>
    <t>WOS:000355627500006</t>
  </si>
  <si>
    <t>Ran, YH; Li, X; Jin, R; Guo, JW</t>
  </si>
  <si>
    <t>Ran, Youhua; Li, Xin; Jin, Rui; Guo, Jianwen</t>
  </si>
  <si>
    <t>Remote sensing of the mean annual surface temperature and surface frost number for mapping permafrost in China</t>
  </si>
  <si>
    <t>QINGHAI-TIBET PLATEAU; TEMPORAL VARIATIONS; ACTIVE LAYER; MODIS; DEGRADATION; TUNDRA; MODEL</t>
  </si>
  <si>
    <t>The use of satellite-infrared sensors to map permafrost distribution is a new research topic. Two important permafrost indices, the mean annual surface temperature (MAST) and the surface frost number (SFN), are estimated using MODIS Aqua/Terra LST products based on a pragmatic scheme proposed in this study. The advantage of this approach is that it allows the full use of every value at any time and at any pixel of MODIS LST products. This scheme is simple, easy to implement, and independent of other observations. The accuracy of the method depends only on the accuracy of the MODIS LST products. Eight years of data sets from 2003 to 2010 were generated using this scheme to reflect the spatial distribution of permafrost and the surface thermal state. A comparison between the southern/lower limit of permafrost and results from the 8-year average MAST and SFN show that the 0 degrees C MAST isotherm and 0.5 contour of SFN agree well with the identified southern/lower limits of permafrost in China.</t>
  </si>
  <si>
    <t>[Ran, Youhua; Li, Xin; Jin, Rui; Guo, Jianwen] Chinese Acad Sci, Cold &amp; Arid Reg Environm &amp; Engn Res Inst, Key Lab Remote Sensing Gansu Prov, Lanzhou 730000, Peoples R China; [Li, Xin] Chinese Acad Sci, Ctr Excellence Tibetan Plateau Earth Sci, Beijing 100101, Peoples R China</t>
  </si>
  <si>
    <t>Chinese Academy of Sciences; Cold &amp; Arid Regions Environmental &amp; Engineering Research Institute, CAS; Chinese Academy of Sciences</t>
  </si>
  <si>
    <t>Li, X (corresponding author), Chinese Acad Sci, Cold &amp; Arid Reg Environm &amp; Engn Res Inst, Key Lab Remote Sensing Gansu Prov, 320 West Donggang Rd, Lanzhou 730000, Peoples R China.</t>
  </si>
  <si>
    <t>lixin@lzb.ac.cn</t>
  </si>
  <si>
    <t>li, xin/HHS-9461-2022; jin, rui/KHW-6854-2024; Li, Xin/F-7473-2011; Ran, Youhua/Q-8041-2017; JIN, Rui/KFS-4048-2024</t>
  </si>
  <si>
    <t>Li, Xin/0000-0003-2999-9818; JIN, Rui/0000-0003-4544-6535</t>
  </si>
  <si>
    <t>National Natural Science Foundation of China [91225302, 41471359]; Cross-disciplinary Collaborative Teams Program for Science, Technology and Innovation of the Chinese Academy of Sciences</t>
  </si>
  <si>
    <t>National Natural Science Foundation of China(National Natural Science Foundation of China (NSFC)); Cross-disciplinary Collaborative Teams Program for Science, Technology and Innovation of the Chinese Academy of Sciences</t>
  </si>
  <si>
    <t>This study was supported by the National Natural Science Foundation of China (Grant No. 91225302, 41471359), and the Cross-disciplinary Collaborative Teams Program for Science, Technology and Innovation of the Chinese Academy of Sciences. The in situ LST data were downloaded from the Climatic Data Center, National Meteorological Information Center, China Meteorological Administration (http://cdc.cma.gov.cn/). We thank Professor Qingbai Wu for providing the modified map of permafrost distribution along the Qinghai-Tibet Highway and Railway.</t>
  </si>
  <si>
    <t>10.1657/AAAR00C-13-306</t>
  </si>
  <si>
    <t>WOS:000355627500007</t>
  </si>
  <si>
    <t>Chang, XL; Jin, HJ; Zhang, YL; He, RX; Luo, DL; Wang, YP; Lü, LZ; Zhang, QL</t>
  </si>
  <si>
    <t>Chang, Xiaoli; Jin, Huijun; Zhang, Yanlin; He, Ruixia; Luo, Dongliang; Wang, Yongping; Lu, Lanzhi; Zhang, Qiuliang</t>
  </si>
  <si>
    <t>Thermal impacts of boreal forest vegetation on active layer and permafrost soils in northern Da Xing'anling (Hinggan) Mountains, Northeast China</t>
  </si>
  <si>
    <t>QINGHAI-TIBET PLATEAU; CARBON RELEASE; DEGRADATION; DYNAMICS; SNOWMELT; CLIMATE; REGIME; TEMPERATURE; VARIABILITY; COVER</t>
  </si>
  <si>
    <t>A comprehensive observing system was established at the Da Xing'anling (Hinggan) Mountains Station (Gen'he) of China Forest Ecological Research Network (CFERN) in Northeast China in 2009 and gradually improved since in order to evaluate the influences of boreal forest vegetation with complex structures and various components on the thermal regimes of active layer and shallow permafrost soils. At three selected typical forest sites with similar micro-reliefs, soils, and drainage conditions, the soil temperatures on the ground surface and at various depths ranging from 0.05 to 5.0 m were measured with thermistor cables permanently installed in boreholes. The temperature data were compared and contrasted for various vegetative features. In a control experiment, trees and shrubs were removed to better understand the hydrothermal effects of vegetation removal. Results show that: (1) The vegetative layer provides an evident effect of thermal insulation on the ground. The ground temperature at the same depth was lower at a stand with denser vegetation when other conditions are held the same. (2) The ground warms up when the vegetation degrades, and the ground temperature rises from the vegetation degradation could reach much deeper in winter than in summer. (3) In cases of extensive vegetation degradation, the resultant ground warming persists for a long time, resulting in a deepening active layer.</t>
  </si>
  <si>
    <t>[Chang, Xiaoli; Jin, Huijun; Zhang, Yanlin; He, Ruixia; Luo, Dongliang; Wang, Yongping; Lu, Lanzhi] Chinese Acad Sci, Cold &amp; Arid Reg Environm &amp; Engn Res Inst, State Key Lab Frozen Soils Engn, Lanzhou 730000, Gansu, Peoples R China; [Zhang, Qiuliang] Inner Mongolia Agr Univ, Coll Forestry, CFERN, Da Xinganling Hinggan Mt Stn, Genhe 022300, Inner Mongolia, Peoples R China</t>
  </si>
  <si>
    <t>Chinese Academy of Sciences; Cold &amp; Arid Regions Environmental &amp; Engineering Research Institute, CAS; Inner Mongolia Agricultural University</t>
  </si>
  <si>
    <t>Jin, HJ (corresponding author), Chinese Acad Sci, Cold &amp; Arid Reg Environm &amp; Engn Res Inst, State Key Lab Frozen Soils Engn, Lanzhou 730000, Gansu, Peoples R China.</t>
  </si>
  <si>
    <t>hjjin@lzb.ac.cn</t>
  </si>
  <si>
    <t>Luo, Dongliang/Q-9637-2016; 张, 艳林/HIR-8253-2022</t>
  </si>
  <si>
    <t>Luo, Dongliang/0000-0001-5844-3638;</t>
  </si>
  <si>
    <t>Global Change Research Program of China [2010CB951402, 2010CB951404]; National Natural Science Foundation of China [41201066, J0930003/ J0109]; Open Fund of the State Key Laboratory of Frozen Soils Engineering [SKLFSE-ZT-14]</t>
  </si>
  <si>
    <t>Global Change Research Program of China; National Natural Science Foundation of China(National Natural Science Foundation of China (NSFC)); Open Fund of the State Key Laboratory of Frozen Soils Engineering</t>
  </si>
  <si>
    <t>This study was supported by the Global Change Research Program of China (grant numbers 2010CB951402 and 2010CB951404), and National Natural Science Foundation of China (grant numbers 41201066 and J0930003/ J0109). We also thank the Open Fund of the State Key Laboratory of Frozen Soils Engineering (grant number SKLFSE-ZT-14) for additional support. The authors are appreciative of the two unidentified reviewers for their hard work and generous assistance in improving the quality of the paper.</t>
  </si>
  <si>
    <t>10.1657/AAAR00C-14-016</t>
  </si>
  <si>
    <t>WOS:000355627500008</t>
  </si>
  <si>
    <t>Guo, ZM; Wang, NL; Wu, HB; Wu, YW; Wu, XJ; Li, QL</t>
  </si>
  <si>
    <t>Guo, Zhongming; Wang, Ninglian; Wu, Hongbo; Wu, Yuwei; Wu, Xuejiao; Li, Quanlian</t>
  </si>
  <si>
    <t>Variations in firn line altitude and firn zone area on Qiyi Glacier, Qilian Mountains, over the period of 1990 to 2011</t>
  </si>
  <si>
    <t>EQUILIBRIUM-LINE; MASS-BALANCE; SNOWLINE; PERU; CLIMATE</t>
  </si>
  <si>
    <t>Firn line altitude is an indicator of equilibrium line altitude (ELA) and plays an important role in predicting climate behavior and global change. Landsat 30-m resolution data from clear sky at the end of 21 summer melt seasons (July and August, 1990-2011) were used to obtain the firn lines and extract the glacier boundary at Qiyi Glacier in the Qilian Mountains of China. High-resolution Advanced Spaceborne Thermal Emission and Reflection Radiometer 30-m resolution Global Digital Elevation Model (ASTER GDEM) was employed to obtain the firn line altitudes. The firn line altitudes on the Qiyi Glacier increased from 4540 m a.s.l. to 5000 m a.s.l. during the study period, a rise of 460 m. Changes in firn line altitudes had good positive correlations with air temperature data and were in good agreement with measured and simulated ELA changes. The calculated firn zone area decreased (increased) with the increase (decrease) of firn line altitude. Linear regression was used to fit the variational trend, indicating that the firn zone area decreased by similar to 1.19 km(2), with a change rate 0.057 km(2) a(-1), during the study period. The firn zone area ratio decreased from 76.2% to 18.1% during the same time.</t>
  </si>
  <si>
    <t>[Guo, Zhongming; Wang, Ninglian; Wu, Hongbo; Wu, Yuwei; Wu, Xuejiao; Li, Quanlian] Univ Chinese Acad Sci, Cold &amp; Arid Reg Environm &amp; Engn Res Inst, State Key Lab Cryospher Sci, Lanzhou 730000, Peoples R China; [Guo, Zhongming] Nanjing Xiaozhuang Univ, Sch Environm Sci, Nanjing 211171, Jiangsu, Peoples R China; [Wang, Ninglian] Chinese Acad Sci, Ctr Excellence Tibetan Plateau Earth Sci, Beijing 100101, Peoples R China</t>
  </si>
  <si>
    <t>Chinese Academy of Sciences; University of Chinese Academy of Sciences, CAS; Cold &amp; Arid Regions Environmental &amp; Engineering Research Institute, CAS; Nanjing Xiaozhuang University; Chinese Academy of Sciences</t>
  </si>
  <si>
    <t>Wang, NL (corresponding author), Univ Chinese Acad Sci, Cold &amp; Arid Reg Environm &amp; Engn Res Inst, State Key Lab Cryospher Sci, Lanzhou 730000, Peoples R China.</t>
  </si>
  <si>
    <t>nlwang@lzb.ac.cn</t>
  </si>
  <si>
    <t>Chinese Academy of Sciences [XDB03030204]; National Natural Science Foundation of China [41190084, 41371095]; State Key Laboratory of Cryospheric Science [SKLCS-OP-2014-03]</t>
  </si>
  <si>
    <t>Chinese Academy of Sciences(Chinese Academy of Sciences); National Natural Science Foundation of China(National Natural Science Foundation of China (NSFC)); State Key Laboratory of Cryospheric Science</t>
  </si>
  <si>
    <t>This work was supported by the Strategic Priority Research Program (B) of the Chinese Academy of Sciences (Grant No. XDB03030204), the National Natural Science Foundation of China (Grant Nos. 41190084 and 41371095), and the State Key Laboratory of Cryospheric Science (NO. SKLCS-OP-2014-03). We thank the Earth Resources Observation and Science (EROS) Data Center-National Aeronautics and Space Administration (NASA)/U.S. Geological Survey for the use of available satellite imagery. We would also like to thank the National Oceanic and Atmospheric Administration (NOAA) National Climatic Data Center for providing the meteorological data.</t>
  </si>
  <si>
    <t>10.1657/AAAR00C-13-303</t>
  </si>
  <si>
    <t>WOS:000355627500010</t>
  </si>
  <si>
    <t>Wei, JF; Liu, SY; Guo, WQ; Xu, JL; Bao, WJ; Shangguan, DH</t>
  </si>
  <si>
    <t>Wei Junfeng; Liu Shiyin; Guo Wanqin; Xu Junli; Bao Weijia; Shangguan Donghui</t>
  </si>
  <si>
    <t>Changes in glacier volume in the north bank of the Bangong Co Basin from 1968 to 2007 based on historical topographic maps, SRTM, and ASTER stereo images</t>
  </si>
  <si>
    <t>MULTITEMPORAL AERIAL IMAGES; DIGITAL ELEVATION MODELS; TIBETAN PLATEAU; ACCURACY ASSESSMENT; QILIAN MOUNTAINS; SWEDEN 1959-99; MASS-LOSS; PENETRATION; SHAN; AREA</t>
  </si>
  <si>
    <t>Heterogeneous mass wastage has been found across the northwestern Tibet Plateau, and both slight positive and negative average mass budgets were observed using different data sets during the past decades. The north bank of the Bangong Co Basin partly covers the Western Kunlun Mountains and Karakoram Mountains. The assessment of glacier mass budget in this region over a long period is of particular interest to understanding the regional diversity of the mass changes of glaciers. Changes in glacier mass in the area of concern were assessed by differentiation of digital elevation models (DEMs) from the earliest available topographic maps, the Shuttle Radar Terrain Mission (SRTM), and the Advanced Space-borne Thermal Emission and Reflection Radiometer (ASTER) stereo images. Results show that glaciers in this basin have in general experienced a decelerated mass loss but with regional differences. Glaciers were found to have lost a volume of 4.45 +/- 0.63 km(3) from 1968 to 2007, corresponding to -0.18 +/- 0.03 m a(-1) water equivalent (w.e.) in the north bank of the Bangong Co Basin. Loss of glacier mass in this region from 1999 to 2007 was 0.11 +/- 0.12 m w.e. a(-1), which was approximately half the loss that occurred from 1968 to 1999 (-0.20 +/- 0.01 m w.e. a(-1)). From 1968 to 1999, higher mass losses were found in the north with smaller losses in the south, while from 1999 to 2007 there was more loss of mass in the southeast and a somewhat balanced mass budget in the northeast.</t>
  </si>
  <si>
    <t>[Wei Junfeng; Liu Shiyin; Guo Wanqin; Xu Junli; Bao Weijia; Shangguan Donghui] Chinese Acad Sci, Cold &amp; Arid Reg Environm &amp; Engn Res Inst, State Key Lab Cryospher Sci, Lanzhou 730000, Peoples R China; [Wei Junfeng; Xu Junli; Bao Weijia] Univ Chinese Acad Sci, Beijing 100049, Peoples R China</t>
  </si>
  <si>
    <t>Chinese Academy of Sciences; Cold &amp; Arid Regions Environmental &amp; Engineering Research Institute, CAS; Chinese Academy of Sciences; University of Chinese Academy of Sciences, CAS</t>
  </si>
  <si>
    <t>Wei, JF (corresponding author), Chinese Acad Sci, Cold &amp; Arid Reg Environm &amp; Engn Res Inst, State Key Lab Cryospher Sci, 320 Donggang West Rd, Lanzhou 730000, Peoples R China.</t>
  </si>
  <si>
    <t>weijunfeng@lzb.ac.cn; liusy@lzb.ac.cn</t>
  </si>
  <si>
    <t>Liu, Shiyin/AAT-4278-2020; Wei, Junfeng/G-5694-2014; Guo, Wanqin/E-7553-2015</t>
  </si>
  <si>
    <t>Liu, Shiyin/0000-0002-9625-7497;</t>
  </si>
  <si>
    <t>National Natural Science Foundation of China [41190084]; Ministry of Science and Technology of China (MOST) [2013FY111400, 2012BAC19B07]; Key Research Program of Chinese Academy of Sciences [KZZD-EW-12-1]; MOST [2006FY110200]</t>
  </si>
  <si>
    <t>National Natural Science Foundation of China(National Natural Science Foundation of China (NSFC)); Ministry of Science and Technology of China (MOST)(Ministry of Science and Technology, China); Key Research Program of Chinese Academy of Sciences(Chinese Academy of Sciences); MOST</t>
  </si>
  <si>
    <t>This work was supported by the National Natural Science Foundation of China (Grant 41190084), the Ministry of Science and Technology of China (MOST) (Grants 2013FY111400 and 2012BAC19B07), and the Key Research Program of Chinese Academy of Sciences (KZZD-EW-12-1). The data sets used in the study were a result of an immediate past project from the MOST (Grant 2006FY110200). Satellite images were from USGS and the U.S. National Aeronautics and Space Administration (NASA).</t>
  </si>
  <si>
    <t>10.1657/AAAR00C-13-129</t>
  </si>
  <si>
    <t>WOS:000355627500011</t>
  </si>
  <si>
    <t>Sun, SB; Che, T; Wang, J; Li, HY; Hao, XH; Wang, ZY; Wang, J</t>
  </si>
  <si>
    <t>Sun, Shaobo; Che, Tao; Wang, Jian; Li, Hongyi; Hao, Xiaohua; Wang, Zengyan; Wang, Jie</t>
  </si>
  <si>
    <t>Estimation and analysis of snow water equivalents based on C-band SAR data and field measurements</t>
  </si>
  <si>
    <t>MICROWAVE DIELECTRIC BEHAVIOR; EASTERN CANADA; WET SOIL; BACKSCATTER; COVER; DEPTH; SCATTERING; PARAMETERS; SIGNATURES; SURFACE</t>
  </si>
  <si>
    <t>The spatial distribution of the snow water equivalent (SWE) of ground snow cover is one of the most important variables for understanding and simulating cold-region hydrological processes in high mountain areas. In this paper, the characteristics of C-band synthetic aperture radar (SAR) data in an area of shallow dry snow cover were analyzed based on microwave backscattering models and field snow cover measurements. The analysis revealed that the backscattering of shallow dry snow cover was dominated by the scattering of the snow-ground interface, and the dielectric constant and roughness parameters of the underlying frozen soil were the primary factors that affected the total scattering. The dielectric constant of the soil depended on the amount of liquid water present in the soil, and the amount of liquid water was primarily determined by the soil temperature. Furthermore, the insulation properties (thermal resistance) of the snow cover affected the underlying soil temperature. Consequently, the snow cover characteristics affected the backscattering signal recorded by the SAR sensors. Based on an investigation involving ENVISAT-ASAR data and simultaneous ground-based snow observations conducted on 14 March 2008, we found that the snow temperature decreased with increasing snow depth when the snow depth was less than 20 cm, and the temperature increased with decreasing snow depth when the snow depth exceeded 20 cm. Additionally, the amount of liquid water in the underlying frozen soil rapidly increased with increasing temperature. To estimate the SWE, we used a small number of field measurements data and SAR ratio images to develop two equations. The first equation defined the relationship between the snow's thermal resistance and backscattering ratio, and the second equation yielded the SWE from the estimated thermal resistance of the snow-covered area. The root mean square and relative errors of the estimated SWE were approximately 7.41 mm and 6.17%, respectively. The derived SWE also indicated that blowing snow and sun radiation were two primary factors that determined the spatial distribution of snow cover in mountainous areas.</t>
  </si>
  <si>
    <t>[Sun, Shaobo; Che, Tao; Wang, Jian; Li, Hongyi; Hao, Xiaohua; Wang, Zengyan; Wang, Jie] Chinese Acad Sci, Cold &amp; Arid Reg Environm &amp; Engn Res Inst, Heihe Remote Sensing Expt Res Stn, Key Lab Remote Sensing Gansu Prov, Lanzhou 730000, Peoples R China; [Che, Tao] Chinese Acad Sci, CAS Ctr Excellence Tibetan Plateau Earth Sci, Beijing 100101, Peoples R China; [Sun, Shaobo; Wang, Zengyan; Wang, Jie] Univ Chinese Acad Sci, Beijing 100049, Peoples R China; [Sun, Shaobo] Chinese Acad Sci, Inst Geog Sci &amp; Nat Resources Res, Beijing 100101, Peoples R China</t>
  </si>
  <si>
    <t>Chinese Academy of Sciences; Cold &amp; Arid Regions Environmental &amp; Engineering Research Institute, CAS; Chinese Academy of Sciences; Chinese Academy of Sciences; University of Chinese Academy of Sciences, CAS; Chinese Academy of Sciences; Institute of Geographic Sciences &amp; Natural Resources Research, CAS</t>
  </si>
  <si>
    <t>Che, T (corresponding author), Chinese Acad Sci, Cold &amp; Arid Reg Environm &amp; Engn Res Inst, Heihe Remote Sensing Expt Res Stn, Key Lab Remote Sensing Gansu Prov, 320 Donggang West Rd, Lanzhou 730000, Peoples R China.</t>
  </si>
  <si>
    <t>chetao@lab.ac.cn</t>
  </si>
  <si>
    <t>Che, Tao/K-7136-2013; li, hongyi/G-2018-2011; Wang, Jian/Q-8872-2017</t>
  </si>
  <si>
    <t>li, hongyi/0000-0001-7583-6003;</t>
  </si>
  <si>
    <t>Chinese Academy of Sciences Project [KZCX2-XB3-15]; China State Key Basic Research Project [2013CBA01802]; Chinese National Natural Science Foundation [41271356]; ASAR data in the framework of the Dragon 2 program [5322]</t>
  </si>
  <si>
    <t>Chinese Academy of Sciences Project(Chinese Academy of Sciences); China State Key Basic Research Project; Chinese National Natural Science Foundation(National Natural Science Foundation of China (NSFC)); ASAR data in the framework of the Dragon 2 program</t>
  </si>
  <si>
    <t>The authors thank all of the participants in the 2008 WATER cold region study. This study was supported by the Chinese Academy of Sciences Project (KZCX2-XB3-15), the China State Key Basic Research Project (2013CBA01802), and the Chinese National Natural Science Foundation (41271356). The ESA provided the ASAR data in the framework of the Dragon 2 program (Project ID 5322). We thank two anonymous reviewers for their helpful comments and suggestions, which significantly improved this paper.</t>
  </si>
  <si>
    <t>10.1657/AAAR00C-13-135</t>
  </si>
  <si>
    <t>WOS:000355627500012</t>
  </si>
  <si>
    <t>Han, TD; Li, XY; Gao, MJ; Sillanpää, M; Pu, HZ; Lu, CY</t>
  </si>
  <si>
    <t>Han, Tianding; Li, Xiangying; Gao, Mingjie; Sillanpaa, Mika; Pu, Hongzheng; Lu, Chengyang</t>
  </si>
  <si>
    <t>Electrical conductivity during the ablation process of the Glacier No. 1 at the headwaters of the Urumqi River in the Tianshan Mountains</t>
  </si>
  <si>
    <t>EASTERN TIEN-SHAN; MAJOR-ION CHEMISTRY; SNOW-FIRN PACK; BULK MELTWATERS; WEST GREENLAND; CHINA; SWITZERLAND; DAROLLA; HYDROCHEMISTRY; PROVENANCE</t>
  </si>
  <si>
    <t>Electrical conductivity (EC) in aerosols, snow, and meltwater were evaluated at the headwater of the Urumqi River during the ablation seasons of 2003-2008. The results show that EC in meltwater can indicate the intensity of glacier ablation, which negatively correlated with air temperature and discharge. During the early ablation period, EC presents a fluctuation trend and runoff may be primarily from snow, frozen soil, and groundwater. EC decreases to the lowest level during the peak-flow period and runoff flows rapidly through a hydrological system predominantly in ice-walled conduits. EC increases to the highest level during the late ablation period, and runoff transports slowly through a distributed hydrological system at the ice-rock interface. EC in meltwater is far greater than in aerosols, surface snow, and precipitation, which are closely related to atmospheric circulation and dust loading. EC in snow pits denote the spatial variation of snow melting, the enrichment and loss of dissolved ions, and are affected by air temperature. The key ions to determine EC in meltwater are HCO3-, Ca2+ and SO42-, and its dominant control might be biogeochemical pyrite oxidation coupled with calcite and/or dolomite dissolution.</t>
  </si>
  <si>
    <t>[Han, Tianding; Li, Xiangying; Pu, Hongzheng] Chinese Acad Sci, Cold &amp; Arid Reg Environm &amp; Engn Res Inst, State Key Lab Cryospher Sci, Lanzhou 730000, Peoples R China; [Li, Xiangying] Hohai Univ, Coll Hydrol &amp; Water Resources, State Key Lab Hydrol Water Resources &amp; Hydraul En, Nanjing 210098, Jiangsu, Peoples R China; [Gao, Mingjie] Shenzhen Environm Engn Sci &amp; Technol Ctr Co, Shenzhen 518000, Peoples R China; [Sillanpaa, Mika] Lappeenranta Univ Technol, Lab Green Chem, Mikkeli 50130, Finland; [Lu, Chengyang] Yellow River Conservancy Commiss, Upstream Hydrol &amp; Water Resources Bur, Lanzhou 730030, Peoples R China</t>
  </si>
  <si>
    <t>Chinese Academy of Sciences; Cold &amp; Arid Regions Environmental &amp; Engineering Research Institute, CAS; Hohai University; Lappeenranta-Lahti University of Technology LUT</t>
  </si>
  <si>
    <t>Li, XY (corresponding author), Chinese Acad Sci, Cold &amp; Arid Reg Environm &amp; Engn Res Inst, State Key Lab Cryospher Sci, Lanzhou 730000, Peoples R China.</t>
  </si>
  <si>
    <t>shaanxilxy@163.com</t>
  </si>
  <si>
    <t>Sillanpää, Mika E T/G-1366-2011; XiangYing, LI/AFQ-3817-2022</t>
  </si>
  <si>
    <t>Sillanpää, Mika E T/0000-0003-3247-5337;</t>
  </si>
  <si>
    <t>National Natural Science Foundation of China [41271035, 41201060]; Chinese Academy of Sciences (CAS) [KJZD-EW-G03-04]; National Science and Technology Support Program [2013BAB05B03]; Academy of Finland [268170]; Open Foundation of State Key Laboratory of Frozen Soil Engineering [SKLFSE201411]; Open Foundation of State Key Laboratory of Cryospheric Science [SKLCS-OP-2014-06]; West Light Program for Talent Cultivation of CAS; Fundamental Research Funds for the Central Universities [2014B16914]; Special Fund of State Key Laboratory of Hydrology-Water Resources and Hydraulic Engineering [20145027312]</t>
  </si>
  <si>
    <t>National Natural Science Foundation of China(National Natural Science Foundation of China (NSFC)); Chinese Academy of Sciences (CAS)(Chinese Academy of Sciences); National Science and Technology Support Program; Academy of Finland(Research Council of Finland); Open Foundation of State Key Laboratory of Frozen Soil Engineering; Open Foundation of State Key Laboratory of Cryospheric Science; West Light Program for Talent Cultivation of CAS; Fundamental Research Funds for the Central Universities(Fundamental Research Funds for the Central Universities); Special Fund of State Key Laboratory of Hydrology-Water Resources and Hydraulic Engineering</t>
  </si>
  <si>
    <t>This study was supported by the National Natural Science Foundation of China (41271035, 41201060), Chinese Academy of Sciences (CAS) (KJZD-EW-G03-04), National Science and Technology Support Program (2013BAB05B03), Academy of Finland (Decision numbers 268170), Open Foundation of State Key Laboratory of Frozen Soil Engineering (SKLFSE201411), Open Foundation of State Key Laboratory of Cryospheric Science (SKLCS-OP-2014-06), West Light Program for Talent Cultivation of CAS, Fundamental Research Funds for the Central Universities (2014B16914), and Special Fund of State Key Laboratory of Hydrology-Water Resources and Hydraulic Engineering (20145027312). The authors thank their colleagues who worked in the Tianshan Glaciological Station.</t>
  </si>
  <si>
    <t>10.1657/AAAR00C-13-138</t>
  </si>
  <si>
    <t>WOS:000355627500013</t>
  </si>
  <si>
    <t>Liu, Q; Liu, SY; Guo, WQ; Nie, Y; Shangguan, DH; Xu, JL; Yao, XJ</t>
  </si>
  <si>
    <t>Liu Qiao; Liu Shiyin; Guo Wanqin; Nie Yong; Shangguan Donghui; Xu Junli; Yao Xiaojun</t>
  </si>
  <si>
    <t>Glacier changes in the Lancang River Basin, China, between 1968-1975 and 2005-2010</t>
  </si>
  <si>
    <t>CLIMATE-CHANGE; AREA CHANGES; MOUNTAINS; INVENTORY; RETREAT; SLOPE; PRECIPITATION; SENSITIVITY; IMPACTS; MASSIF</t>
  </si>
  <si>
    <t>The Lancang River Basin (LRB) crosses from the higher inland Tibet Plateau to lower south Asia. Glaciers in upper reaches of the basin are significant reservoirs of freshwater and are considered to contribute substantially to the runoff of the Lancang River. In this study, we present the results of glacier inventories of the LRB and demonstrate its changes during the past 40 years, based on investigations conducted during two periods: the first (1968-1975) and the second (2005-2010) glacier inventory of China. Total area of the 423 measured glaciers in the LRB decreased by 98.50+/- 26.61 km(2) from 328.16+/- 20.29 km(2) in 1968-1975 to 229.66+/- 16.48 km(2) in 2005-2010, indicating a loss in total glacier area of about 30%+/- 8% during the past 40 years (at a mean area loss rate of 0.75%+/- 0.2% a(-1)), which is comparable to glacier changes in other regions of high Asia. Southern glaciers in the LRB have experienced greater area loss than the northern inland Tibet regions, indicating more sensitivity of temperate glaciers to climate warming. The general warming trend but with less significant precipitation changes during the past 50 years (1960-2010), which has been confirmed by the observation of several meteorological stations across from the south to the north of the basin, could be one of the main causes accounting for the overall glacier recessions in the LRB.</t>
  </si>
  <si>
    <t>[Liu Qiao; Nie Yong] Chinese Acad Sci, Inst Mt Hazards &amp; Environm, Key Lab Mt Surface Proc &amp; Ecol Regulat, Chengdu 610041, Peoples R China; [Liu Shiyin; Guo Wanqin; Shangguan Donghui; Xu Junli] Chinese Acad Sci, Cold &amp; Arid Reg Environm &amp; Engn Res Inst, State Key Lab Cryospher Sci, Lanzhou 730000, Peoples R China; [Yao Xiaojun] Northwest Normal Univ, Geog &amp; Environm Coll, Lanzhou 730070, Peoples R China</t>
  </si>
  <si>
    <t>Chinese Academy of Sciences; Institute of Mountain Hazards &amp; Environment, CAS; Chinese Academy of Sciences; Cold &amp; Arid Regions Environmental &amp; Engineering Research Institute, CAS; Northwest Normal University - China</t>
  </si>
  <si>
    <t>Liu, Q (corresponding author), Chinese Acad Sci, Inst Mt Hazards &amp; Environm, Key Lab Mt Surface Proc &amp; Ecol Regulat, 9,Block 4,South Renmin Rd, Chengdu 610041, Peoples R China.</t>
  </si>
  <si>
    <t>liuqiao@imde.ac.cn</t>
  </si>
  <si>
    <t>Guo, Wanqin/E-7553-2015; Liu, Shiyin/AAT-4278-2020; Liu, Qiao/H-6525-2011</t>
  </si>
  <si>
    <t>Liu, Shiyin/0000-0002-9625-7497; nie, yong/0000-0002-6075-8564</t>
  </si>
  <si>
    <t>Ministry of Science and Technology (MOST) of China [2012BAC19B07, 2013BAC10B01]; National Natural Science Foundation of China [41371094]; MOST [2006FY110200]</t>
  </si>
  <si>
    <t>Ministry of Science and Technology (MOST) of China(Ministry of Science and Technology, China); National Natural Science Foundation of China(National Natural Science Foundation of China (NSFC)); MOST</t>
  </si>
  <si>
    <t>The authors are very grateful to two anonymous reviewers for their comments to improve the manuscript, and Ludwig Braun and Susan Braun-Clarke for their help in polishing the language. This work was funded by a program supported by the Ministry of Science and Technology (MOST) of China (grants 2012BAC19B07 and 2013BAC10B01) and the National Natural Science Foundation of China (grant 41371094). The data sets used in the study were a result of an immediate past project from the MOST (grant 2006FY110200). Satellite images were from the U.S. Geological Survey (USGS).</t>
  </si>
  <si>
    <t>10.1657/AAAR0013-104</t>
  </si>
  <si>
    <t>WOS:000355627500014</t>
  </si>
  <si>
    <t>Koch, B; Edwards, PJ; Blanckenhorn, WU; Walter, T; Hofer, G</t>
  </si>
  <si>
    <t>Koch, Baerbel; Edwards, Peter J.; Blanckenhorn, Wolf U.; Walter, Thomas; Hofer, Gabriela</t>
  </si>
  <si>
    <t>Shrub encroachment affects the diversity of plants, butterflies, and grasshoppers on two Swiss subalpine pastures</t>
  </si>
  <si>
    <t>JUNIPERUS-VIRGINIANA; HABITAT USE; SUCCESSION; COMMUNITIES; CONSEQUENCES; GRASSLANDS; CATTLE; SOIL; PATTERNS; ALPS</t>
  </si>
  <si>
    <t>The plant and insect communities of many summer pastures in the Swiss Alps are changing as they become encroached by woody plants. To understand the implications for overall biodiversity, we need to determine how different taxonomic groups respond to shrub encroachment. We investigated effects of encroachment upon species diversity of vascular plants, butterflies, and grasshoppers on two subalpine pastures (Mesocco and Guarda). On each site, we recognized a sequence of vegetation types representing a gradient of increasing shrub cover. The number of rare plant species was strongly affected by the degree of encroachment, with areas dominated by either dwarf shrubs or Alnus viridis having fewer species than areas of open grassland. In the Mesocco site, we also found differences in other measures of plant species richness (total species richness, number of herbaceous species) and in the number of grasshopper species. While plant richness was highest in grassland-dominated vegetation types, the species richness of grasshoppers was highest in types with a low to intermediate cover of dwarf shrubs. We found no effect of shrub cover upon butterfly species richness at either site. Biotic factors (shrub cover, grazing intensity, and also vegetation-related variables for the insect groups) explained a larger proportion of the variance in species composition of both plants and insects than did large-scale abiotic factors (altitude, aspect, and slope). Our results demonstrate that shrub encroachment is a threat to the biodiversity of subalpine grassland ecosystems. We recommend conservation actions that prevent extensive shrub encroachment but promote a mosaic of small areas at different successional stages.</t>
  </si>
  <si>
    <t>[Koch, Baerbel; Walter, Thomas; Hofer, Gabriela] Agroscope Reckenholz Tanikon Res Stn ART, CH-8046 Zurich, Switzerland; [Koch, Baerbel; Edwards, Peter J.] ETH, Inst Integrat Biol, CH-8092 Zurich, Switzerland; [Blanckenhorn, Wolf U.] Univ Zurich, Inst Evolutionary Biol &amp; Environm Studies, CH-8057 Zurich, Switzerland</t>
  </si>
  <si>
    <t>Swiss Federal Research Station Agroscope; Swiss Federal Research Station for Agroecology &amp; Agriculture; Swiss Federal Institutes of Technology Domain; ETH Zurich; University of Zurich</t>
  </si>
  <si>
    <t>Koch, B (corresponding author), Agroscope Reckenholz Tanikon Res Stn ART, Reckenholzstr 191, CH-8046 Zurich, Switzerland.</t>
  </si>
  <si>
    <t>baerbel.koch@hotmail.com</t>
  </si>
  <si>
    <t>Swiss Federal Office for the Environment (FOEN); Armasuisse; Kanton graubunden; Ricola; Sophie und Karl Binding Stiftung</t>
  </si>
  <si>
    <t>We thank Serge Buholzer, Nina Richner, Anna Staubli, and Rafael Wuest for help in the field. Thank you also to the landowners that permitted access to the field sites. We are grateful to Felix Herzog, Rafael Wuest, and four anonymous reviewers for valuable criticism. The study is affiliated to the AlpFUTUR project (www.alpfutur.ch) and was partly funded by the Swiss Federal Office for the Environment (FOEN), Armasuisse, Kanton graubunden, Ricola, and Sophie und Karl Binding Stiftung.</t>
  </si>
  <si>
    <t>10.1657/AAAR0013-093</t>
  </si>
  <si>
    <t>WOS:000355627500015</t>
  </si>
  <si>
    <t>Fritz, SC; Brinson, BE; Billups, WE; Thompson, LG</t>
  </si>
  <si>
    <t>Fritz, Sherilyn C.; Brinson, Bruce E.; Billups, W. E.; Thompson, Lonnie G.</t>
  </si>
  <si>
    <t>Diatoms at &gt;5000 meters in the Quelccaya Summit Dome Glacier, Peru</t>
  </si>
  <si>
    <t>LAKE TITICACA; SOUTH-AMERICA; ICE-CORE; BACILLARIOPHYCEAE; BOLIVIA; PATTERNS; UBIQUITY; RECORDS; DUST</t>
  </si>
  <si>
    <t>Diatoms were found in late Holocene age ice-core samples recovered from the Quelccaya Summit Dome in the tropical Andes of Peru and were imaged by environmental scanning electron microscopy and identified. Freshwater diatoms in the genera Hantzschia, Pinnularia, and Aulacoseira were the most common taxa in the samples and indicate a freshwater source for the material, which also is suggested by the presence of the freshwater alga Volvox. The overall species composition of the diatoms suggests that the majority of taxa originated from a high-elevation lake or wetland in the cordillera surrounding the ice cap. The abundant diatom valves, up to 70 mu m in size, likely were transported to the ice via wind.</t>
  </si>
  <si>
    <t>[Fritz, Sherilyn C.] Univ Nebraska, Dept Earth &amp; Atmospher Sci, Lincoln, NE 68588 USA; [Fritz, Sherilyn C.] Univ Nebraska, Sch Biol Sci, Lincoln, NE 68588 USA; [Brinson, Bruce E.; Billups, W. E.] Rice Univ, Dept Chem, Houston, TX 77005 USA; [Brinson, Bruce E.; Billups, W. E.] Rice Univ, Richard E Smalley Inst Nanoscale Sci &amp; Technol, Houston, TX 77005 USA; [Thompson, Lonnie G.] Ohio State Univ, Byrd Polar &amp; Climate Res Ctr, Columbus, OH 43210 USA; [Thompson, Lonnie G.] Ohio State Univ, Sch Earth Sci, Mendenhall Lab 275, Columbus, OH 43210 USA</t>
  </si>
  <si>
    <t>University of Nebraska System; University of Nebraska Lincoln; University of Nebraska System; University of Nebraska Lincoln; Rice University; Rice University; University System of Ohio; Ohio State University; University System of Ohio; Ohio State University</t>
  </si>
  <si>
    <t>Fritz, SC (corresponding author), Univ Nebraska, Dept Earth &amp; Atmospher Sci, 214 Bessey Hall, Lincoln, NE 68588 USA.</t>
  </si>
  <si>
    <t>sfritz2@unl.edu</t>
  </si>
  <si>
    <t>Welch Foundation [C-0490]; Directorate For Geosciences; Division Of Earth Sciences [1251678, 1251581] Funding Source: National Science Foundation</t>
  </si>
  <si>
    <t>Welch Foundation(The Welch Foundation); Directorate For Geosciences; Division Of Earth Sciences(National Science Foundation (NSF)NSF - Directorate for Geosciences (GEO))</t>
  </si>
  <si>
    <t>We would like to thank the Welch Foundation (C-0490) for financial support, the Byrd Polar and Climate Research Center for providing samples, and the Shared Equipment Authority at Rice University for use of their instrumentation suite. National Science Foundation (EAR)-1251678 to Fritz supported manuscript preparation.</t>
  </si>
  <si>
    <t>10.1657/AAAR0014-075</t>
  </si>
  <si>
    <t>WOS:000355627500017</t>
  </si>
  <si>
    <t>Bougeois, L; Williams, B; Halfar, J; Konar, B; Adey, W; Kronz, A; Wortmann, UG</t>
  </si>
  <si>
    <t>Bougeois, Laurie; Williams, Branwen; Halfar, Jochen; Konar, Brenda; Adey, Walter; Kronz, Andreas; Wortmann, Ulrich G.</t>
  </si>
  <si>
    <t>Does the coralline alga Leptophytum foecundum (Kjellman) capture paleoenvironmental variability in the Arctic Ocean?</t>
  </si>
  <si>
    <t>MG/CA RATIOS; RED ALGAE; ICE; TEMPERATURE; GROWTH; ISLANDICA; RECORD; SR/CA; PROXY; BAY</t>
  </si>
  <si>
    <t>Records of high resolution climate variability in the past are essential to understanding the climate change observed today. This is particularly true for Arctic regions, which are rapidly warming. Prior to instrumental data, proxy records can be extracted from high-latitude climate archives to provide critical records of past Arctic climate variability. Here, we investigate the feasibility of extracting records of climate and environmental variability from the skeleton of the crustose coralline alga Leptophytum foecundum from offshore the Sagavanirktok River in the Beaufort Sea. Although this alga forms an annually banded skeleton, age chronologies were established with difficulty due to the large uncalcified reproductive structures relative to low annual growth rates. Average measurements of skeletal Mg content, delta O-18(alga) values, and delta C-13(alga) values were consistent among the analyzed specimens, but time series of these parameters only significantly correlated between two of the collected specimens for delta O-18(alga). No clear trends in environmental variability explained the patterns in the skeletal geochemistry over time. This suggests that ambient seawater combined with freshwater from the Sagavanirktok River drives the geochemistry of L. foecundum at this site. Thus, coralline algal specimens located near variable sources of low-salinity waters are not ideal organisms to use as proxy archives.</t>
  </si>
  <si>
    <t>[Bougeois, Laurie; Williams, Branwen; Halfar, Jochen] Univ Toronto, Dept Chem &amp; Phys Sci, Mississauga, ON L5L 1C6, Canada; [Bougeois, Laurie] Univ Rennes 1, CNRS, UMR 6118, Geosci Rennes, F-35000 Rennes, France; [Bougeois, Laurie] Univ Paris 06, CNRS, UMR 7193, Inst Sci Terre Paris, F-75005 Paris, France; [Konar, Brenda] Univ Alaska Fairbanks, Inst Marine Sci, Fairbanks, AK 99775 USA; [Adey, Walter] Smithsonian Inst, Dept Bot, Washington, DC 20013 USA; [Kronz, Andreas] Univ Gottingen, Geowissensch Zentrum, D-37077 Gottingen, Germany; [Wortmann, Ulrich G.] Univ Toronto, Dept Earth Sci, Toronto, ON M5S 3B1, Canada</t>
  </si>
  <si>
    <t>University of Toronto; University Toronto Mississauga; Universite de Rennes; Centre National de la Recherche Scientifique (CNRS); CNRS - National Institute for Earth Sciences &amp; Astronomy (INSU); Centre National de la Recherche Scientifique (CNRS); CNRS - National Institute for Earth Sciences &amp; Astronomy (INSU); Sorbonne Universite; University of Alaska System; University of Alaska Fairbanks; Smithsonian Institution; Smithsonian National Museum of Natural History; University of Gottingen; University of Toronto</t>
  </si>
  <si>
    <t>Williams, B (corresponding author), Scripps Coll, Pitzer Coll, Claremont Mckenna Coll, M Keck Sci Dept, 925 North Mills Ave, Claremont, CA 91711 USA.</t>
  </si>
  <si>
    <t>bwilliams@kecksci.claremont.edu</t>
  </si>
  <si>
    <t>Adey, Walter H./G-2858-2011; Kronz, Andreas/V-2621-2019; Wortmann, Ulrich Georg/AGN-5440-2022</t>
  </si>
  <si>
    <t>Kronz, Andreas/0000-0001-5655-4633; Wortmann, Ulrich Georg/0000-0001-7854-9173; Williams, Branwen/0000-0001-6378-9828; Adey, Walter/0000-0001-9823-2501</t>
  </si>
  <si>
    <t>Natural Science and Engineering Research Council (Canada) Discovery Grant</t>
  </si>
  <si>
    <t>Mathew Schellekens provided the data for Sag River. Hong Li assisted with the isotope analyses at the Geology Department at University of Toronto. Sophie Padie and Phoebe Chan provided assistance with data interpretation and statistical analyses. Analyses and visualizations of Beaufort Sea SST used in this paper were produced with the Giovanni online data system, developed and maintained by the U.S. National Aeronautics and Space Administration (NASA) Goddard Earth Sciences Data and Information Services Center (GES DISC). Funding was provided by a Natural Science and Engineering Research Council (Canada) Discovery Grant to Halfar.</t>
  </si>
  <si>
    <t>10.1657/AAAR0014-061</t>
  </si>
  <si>
    <t>WOS:000355627500018</t>
  </si>
  <si>
    <t>Bai, XX; Yan, HM; Zhu, YZ; Peng, P</t>
  </si>
  <si>
    <t>Bai Xi-Xuan; Yan Hao-Ming; Zhu Yao-Zhong; Peng Peng</t>
  </si>
  <si>
    <t>GOCE mean dynamic topography and its associated geostrophic current based on the regional filtering method</t>
  </si>
  <si>
    <t>CHINESE JOURNAL OF GEOPHYSICS-CHINESE EDITION</t>
  </si>
  <si>
    <t>Chinese</t>
  </si>
  <si>
    <t>Mean dynamic ocean topography (MDT); Geostrophic current velocity; Spectral-wise method; Buoys; Filter radius</t>
  </si>
  <si>
    <t>SEA-SURFACE; GRAVITY-FIELD; SATELLITE; GRACE; PACIFIC; OCEAN</t>
  </si>
  <si>
    <t>The Gravity field and steady-state ocean circulation explorer (GOCE) satellite mission which measures the Earth's gravity field with an unprecedented accuracy at short spatial scales promises to significantly advance the research of geodetic ocean mean dynamic topography (MDT). To fully exploit the GOCE' s advantages and precisely determine the MDT and its associated geostrophic currents globally and regionally, we must quantify the spatial resolution of GOCE-derived MDT and the geostrophic currents' retrieving ability of GOCE. Global MDT is firstly retrieved from the GOCE earth gravity field model (GO-CONS-GCF-2-TIM5) and the altimetry sea surface height model (CNES_CLS2011_MSS) by the spectral-wise approach which can effectively suppress the omission errors. Then the Gaussian filter method is used to suppress the noise of raw MDT results. To acquire the optimal spatial filter radius of the Gaussian filter, we calculate the RMS difference between the buoy-derived geostrophic currents and those calculated from the geodetic MDT with different filter radii. Those filter radii which make the above RMS difference acquired to be minimum are the best choice of the Gaussian filter radius. Based on this filter radius determining strategy, the optimal filter radii of MDT are determined in regional, zonal and global areas. The above optimal MDTs are then used to determine the corresponding geostrophic current fields. Finally, the characteristics of GOCE-derived geostrophic currents are studied carefully by three statistics factors, i.e. the RMS differences, correlation coefficients, and the speed proportion coefficients, between geodetic and buoy-derived geostrophic currents data. (1) The optimal spatial filter radii of GOCE MDT are 102 km, 131 km, 154 km and 127 km in the regions of south and north latitudes greater than 40 degrees, between 20 degrees and 40 degrees, less than 20 degrees and the global range, respectively, which are 24 km, 27 km, 21 km and 27 km better than that of GRACE. (2) The comparison between geostrophic currents acquired from MDT and buoy data shows that 1) in strong current regions, the speed ( amplitude of velocity) of buoy derived geostrophic current can be explained 70% by geostrophic current acquired from MDT; and 2) the geostrophic current speeds derived from GOCE and altimeter data are closer to the buoy data compared with that of GRACE and altimeter data. (3) The correlation coefficients of geostrophic speed derived from two different geodetic MDTs (GOCE and GRACE) and buoy-derived current speed have obvious spatial characteristics. The correlation coefficients based on GOCE results are higher than that of GRACE in the Antarctic circumpolar current region, north Atlantic region and Agulhas region, but vice versa in the equator region. (4) The RMS differences of geostrophic current velocity calculated from GOCE MDT and buoy-derived current velocity are generally smaller than that of GRACE in strong geostrophic currents regions (except the equator region). For example, the above RMS differences in GOCE results are 16% and 24% smaller than that of GRACE results in the North Atlantic and Agulhas region, respectively. Firstly, the regional optimized filter radii of MDT are somewhat distinct in different regions. The filter radius is shorter in strong current regions than the low current speed regions at the same latitude, which decreases with the increasing latitude on average. Secondly, the GOCE geoid has good signal to noise ratio at short wavelength than that of GRACE geoid, which enables the use of shorter optimal filter radius of corresponding GOCE based MDT than that of the earlier GRACE based MDT. Furthermore, shorter optimal filter radius of GOCE based MDT ensures the GOCE based MDT and its associated geostrophic currents retain more information on small spatial scales. Lastly, the GOCE-based geostrophic currents are better than that of GRACE-based results in middle and high latitude regions.</t>
  </si>
  <si>
    <t>[Bai Xi-Xuan; Yan Hao-Ming; Zhu Yao-Zhong; Peng Peng] Chinese Acad Sci, State Key Lab Geodesy &amp; Earths Dynam, Inst Geodesy &amp; Geophys, Wuhan 430077, Peoples R China; [Bai Xi-Xuan] Univ Chinese Acad Sci, Beijing 100049, Peoples R China</t>
  </si>
  <si>
    <t>Chinese Academy of Sciences; Innovation Academy for Precision Measurement Science &amp; Technology, CAS; Chinese Academy of Sciences; University of Chinese Academy of Sciences, CAS</t>
  </si>
  <si>
    <t>Yan, HM (corresponding author), Chinese Acad Sci, State Key Lab Geodesy &amp; Earths Dynam, Inst Geodesy &amp; Geophys, Wuhan 430077, Peoples R China.</t>
  </si>
  <si>
    <t>baixx87@whigg.ac.cn; yhm@whigg.ac.cn</t>
  </si>
  <si>
    <t>SCIENCE PRESS</t>
  </si>
  <si>
    <t>BEIJING</t>
  </si>
  <si>
    <t>16 DONGHUANGCHENGGEN NORTH ST, BEIJING 100717, PEOPLES R CHINA</t>
  </si>
  <si>
    <t>0001-5733</t>
  </si>
  <si>
    <t>CHINESE J GEOPHYS-CH</t>
  </si>
  <si>
    <t>Chinese J. Geophys.-Chinese Ed.</t>
  </si>
  <si>
    <t>10.6038/cjg20150507</t>
  </si>
  <si>
    <t>CJ6XZ</t>
  </si>
  <si>
    <t>WOS:000355639800007</t>
  </si>
  <si>
    <t>McGeoch, MA; Shaw, JD; Terauds, A; Lee, JE; Chown, SL</t>
  </si>
  <si>
    <t>McGeoch, Melodie A.; Shaw, Justine D.; Terauds, Aleks; Lee, Jennifer E.; Chown, Steven L.</t>
  </si>
  <si>
    <t>Monitoring biological invasion across the broader Antarctic: A baseline and indicator framework</t>
  </si>
  <si>
    <t>GLOBAL ENVIRONMENTAL CHANGE-HUMAN AND POLICY DIMENSIONS</t>
  </si>
  <si>
    <t>Alien species; Aichi Target 9; Red List Index; Southern Ocean Islands; Sub-Antarctic; Driver-pressure-state-response</t>
  </si>
  <si>
    <t>SOUTHERN-OCEAN ISLANDS; RED-LIST-INDEXES; MARION ISLAND; PLANT INVASIONS; TERRESTRIAL ECOSYSTEM; ENVIRONMENTAL-CHANGE; PROPAGULE PRESSURE; MACQUARIE ISLAND; CLIMATE-CHANGE; IMPACTS</t>
  </si>
  <si>
    <t>Biological invasion is one of the key threats to the conservation of the broader Antarctic region. We provide an evidence-based assessment of the status of biological invasion in the region as a basis for future monitoring and management. We adapted the indicator framework for global biological invasion monitoring by collating information on (i) numbers of alien species and those invasive species impacting biodiversity (ii) trends in the extinction risks of native species impacted by invasive species and (iii) trends in relevant agreements, management intention and species eradications. Drivers of invasion including risk-associated human activities and trends were also evaluated. The number and trends in activities associated with invasion risk are broadly distributed across the region and increasing. Over 560 alien species from a wide range of taxa occupy the region, concentrated largely on the Southern Ocean Islands, with a high proportion of these considered to be invasive and to have negative biodiversity impacts. There has been a decline in the conservation status of species in the region that are impacted by invasives. Although policy responses to deal with the problem have increased since the 1970s, as have the number of successful eradications, management implementation statistics are patchy and progress in this area less apparent. The Antarctic Biological Invasions Indicator (ABII) provides a system for information exchange across the region and a vehicle for targeted monitoring and surveillance. It also enables inclusion of the region in global efforts to track both IAS and interventions for managing the threat. In a region that appears particularly prone to impacts from alien species, substantial further effort is needed to implement and monitor the effectiveness of management responses. (C) 2015 Elsevier Ltd. All rights reserved.</t>
  </si>
  <si>
    <t>[McGeoch, Melodie A.; Chown, Steven L.] Monash Univ, Sch Biol Sci, Clayton, Vic 3800, Australia; [Shaw, Justine D.] Univ Queensland, Sch Biol Sci, St Lucia, Qld 4072, Australia; [Shaw, Justine D.; Terauds, Aleks] Australian Antarctic Div, Dept Environm, Kingston, Tas 7050, Australia; [Lee, Jennifer E.] Govt South Georgia &amp; South Sandwich Isl, Stanley, Falkland Island, South Africa</t>
  </si>
  <si>
    <t>Monash University; University of Queensland; Australian Antarctic Division</t>
  </si>
  <si>
    <t>McGeoch, MA (corresponding author), Monash Univ, Sch Biol Sci, Clayton, Vic 3800, Australia.</t>
  </si>
  <si>
    <t>melodie.mcgeoch@monash.edu; justine.shaw@aad.gov.au; aleks.terauds@aad.gov.au; env@gov.gs; steven.chown@monash.edu</t>
  </si>
  <si>
    <t>Terauds, Aleks/A-4991-2010; Chown, Steven/ABD-7646-2021; McGeoch, Melodie/F-8353-2011; Chown, Steven/H-3347-2011</t>
  </si>
  <si>
    <t>McGeoch, Melodie/0000-0003-3388-2241; Shaw, Justine/0000-0002-9603-2271; Chown, Steven/0000-0001-6069-5105; Terauds, Aleks/0000-0001-7804-6648</t>
  </si>
  <si>
    <t>Monash University</t>
  </si>
  <si>
    <t>Monash University(Monash University)</t>
  </si>
  <si>
    <t>We thank Yves Frenot, John Cooper, Peter Ryan, Dana Bergstrom, Peter Convey, Mark Lebouvier, David Walton and Morgan Lythe for useful discussion and comments. This work was supported in part by a Monash University Larkins Fellowship to MM.</t>
  </si>
  <si>
    <t>0959-3780</t>
  </si>
  <si>
    <t>1872-9495</t>
  </si>
  <si>
    <t>GLOBAL ENVIRON CHANG</t>
  </si>
  <si>
    <t>Glob. Environ. Change-Human Policy Dimens.</t>
  </si>
  <si>
    <t>10.1016/j.gloenvcha.2014.12.012</t>
  </si>
  <si>
    <t>Environmental Sciences; Environmental Studies; Geography</t>
  </si>
  <si>
    <t>Environmental Sciences &amp; Ecology; Geography</t>
  </si>
  <si>
    <t>CJ8RH</t>
  </si>
  <si>
    <t>WOS:000355770700011</t>
  </si>
  <si>
    <t>Li, ZY; Yuan, XY; Cui, XQ</t>
  </si>
  <si>
    <t>Li, Zhengyang; Yuan, Xiangyan; Cui, Xiangqun</t>
  </si>
  <si>
    <t>Alignment metrology for the Antarctica Kunlun Dark Universe Survey Telescope</t>
  </si>
  <si>
    <t>MONTHLY NOTICES OF THE ROYAL ASTRONOMICAL SOCIETY</t>
  </si>
  <si>
    <t>methods: miscellaneous; telescopes</t>
  </si>
  <si>
    <t>Dome A is the highest point on the Antarctic Plateau, and the Chinese expedition team was the first to arrive there in 2005 January. It is an excellent site for astronomical observations. The Kunlun Dark Universe Survey Telescope (KDUST), a proposed next-generation Chinese Antarctic optical telescope, is currently being planned. KDUST is a coaxial three-mirror anastigmatic telescope with an entrance pupil diameter of 2.5 m and a field of view of 1 degrees 5. The telescope should be fully aligned in order to achieve diffraction-limited image quality. Based on the current optical model for KDUST, in this study we describe a modified alignment metrology and give the preliminary results of numerical simulations. Using the acquisition of field-dependent aberrations, the algorithm, which is based on double Zernike polynomial decomposition and the least-squares fitting method, delivers a suitable set of corrections for resolving misalignments including the multi-axis motion of the secondary and tertiary mirrors. Moreover, the algorithm can also be used to calculate the primary mirror's low-order figure errors mixing with the misalignments of the secondary mirror.</t>
  </si>
  <si>
    <t>[Li, Zhengyang; Yuan, Xiangyan; Cui, Xiangqun] Chinese Acad Sci, Nanjing Inst Astron Opt &amp; Technol, Natl Astron Observ, Nanjing 210042, Jiangsu, Peoples R China; [Li, Zhengyang; Yuan, Xiangyan; Cui, Xiangqun] Chinese Acad Sci, Nanjing Inst Astron Opt &amp; Technol, Key Lab Astron Opt &amp; Technol, Nanjing 210042, Jiangsu, Peoples R China; [Li, Zhengyang] Univ Chinese Acad Sci, Beijing 100049, Peoples R China</t>
  </si>
  <si>
    <t>Chinese Academy of Sciences; Nanjing Institute of Astronomical Optics &amp; Technology, NAOC, CAS; National Astronomical Observatory, CAS; Chinese Academy of Sciences; Nanjing Institute of Astronomical Optics &amp; Technology, NAOC, CAS; Chinese Academy of Sciences; University of Chinese Academy of Sciences, CAS</t>
  </si>
  <si>
    <t>Li, ZY (corresponding author), Chinese Acad Sci, Nanjing Inst Astron Opt &amp; Technol, Natl Astron Observ, Nanjing 210042, Jiangsu, Peoples R China.</t>
  </si>
  <si>
    <t>zyli@niaot.ac.cn</t>
  </si>
  <si>
    <t>National Natural Science Fund of China [11190011]; National Key Basic Research Programme of China (973 Programme) [2013CB834901]</t>
  </si>
  <si>
    <t>National Natural Science Fund of China(National Natural Science Foundation of China (NSFC)); National Key Basic Research Programme of China (973 Programme)(National Basic Research Program of China)</t>
  </si>
  <si>
    <t>We would like thank Dr Bai Hua for useful discussions and suggestions for the calculation. We are grateful for the support of the National Natural Science Fund of China (11190011) and the National Key Basic Research Programme of China (973 Programme 2013CB834901).</t>
  </si>
  <si>
    <t>0035-8711</t>
  </si>
  <si>
    <t>1365-2966</t>
  </si>
  <si>
    <t>MON NOT R ASTRON SOC</t>
  </si>
  <si>
    <t>Mon. Not. Roy. Astron. Soc.</t>
  </si>
  <si>
    <t>MAY 1</t>
  </si>
  <si>
    <t>10.1093/mnras/stv268</t>
  </si>
  <si>
    <t>CJ2WO</t>
  </si>
  <si>
    <t>WOS:000355345600031</t>
  </si>
  <si>
    <t>Bychkova, VI; Rubinshtein, KG; Makshtas, AP</t>
  </si>
  <si>
    <t>Bychkova, V. I.; Rubinshtein, K. G.; Makshtas, A. P.</t>
  </si>
  <si>
    <t>Assessing the sensitivity of the WRF-ARW model to the methods of Arctic ice cover description</t>
  </si>
  <si>
    <t>RUSSIAN METEOROLOGY AND HYDROLOGY</t>
  </si>
  <si>
    <t>WRF-ARW model; ice cover; Arctic basin</t>
  </si>
  <si>
    <t>Compared are several experiments with the polar version ofthe WRF-ARW model. In one case, ice characteristics (concentration and temperature) are provided by the GFS (Global Forecasting System) center, and in the other case, are obtained using the ice model of Arctic and Antarctic Research Institute. Determined are the degree of sensitivity of the WRF-ARW regional hydrodynamic model to the different methods of ice cover description and their effects on the forecast of surface meteorological parameters in the Arctic. Presented are the skill scores of numerical forecasts obtained using different sources of data on ice surface thermophysical characteristics.</t>
  </si>
  <si>
    <t>[Bychkova, V. I.; Rubinshtein, K. G.] Hydrometeorol Res Ctr Russian Federat, Moscow 123242, Russia; [Makshtas, A. P.] Arctic &amp; Antarctic Res Inst, St Petersburg 199397, Russia</t>
  </si>
  <si>
    <t>Arctic &amp; Antarctic Research Institute</t>
  </si>
  <si>
    <t>Bychkova, VI (corresponding author), Hydrometeorol Res Ctr Russian Federat, Bolshoi Predtechenskii Per 11-13, Moscow 123242, Russia.</t>
  </si>
  <si>
    <t>er-riad@mail.ru</t>
  </si>
  <si>
    <t>Russian Foundation for Basic Research [mol_a 12-05-31346, mol_a 12-05-31312, 12-05-97014_r_povolzh'e_a, FP7-IRSES-Climseas]</t>
  </si>
  <si>
    <t>Russian Foundation for Basic Research(Russian Foundation for Basic Research (RFBR)Spanish Government)</t>
  </si>
  <si>
    <t>The research was partially supported by the Russian Foundation for Basic Research (grants mol_a 12-05-31346, mol_a 12-05-31312, 12-05-97014_r_povolzh'e_a, and FP7-IRSES-Climseas).</t>
  </si>
  <si>
    <t>PLEIADES PUBLISHING INC</t>
  </si>
  <si>
    <t>MOSCOW</t>
  </si>
  <si>
    <t>PLEIADES PUBLISHING INC, MOSCOW, 00000, RUSSIA</t>
  </si>
  <si>
    <t>1068-3739</t>
  </si>
  <si>
    <t>1934-8096</t>
  </si>
  <si>
    <t>RUSS METEOROL HYDRO+</t>
  </si>
  <si>
    <t>Russ. Meteorol. Hydrol.</t>
  </si>
  <si>
    <t>10.3103/S1068373915050039</t>
  </si>
  <si>
    <t>CJ9LH</t>
  </si>
  <si>
    <t>WOS:000355823300003</t>
  </si>
  <si>
    <t>Waugh, SM; Barbraud, C; Adams, L; Freeman, AND; Wilson, KJ; Wood, G; Landers, TJ; Baker, GB</t>
  </si>
  <si>
    <t>Waugh, Susan M.; Barbraud, Christophe; Adams, Lynn; Freeman, Amanda N. D.; Wilson, Kerry-Jayne; Wood, Graham; Landers, Todd J.; Baker, G. Barry</t>
  </si>
  <si>
    <t>Modeling the demography and population dynamics of a subtropical seabird, and the influence of environmental factors</t>
  </si>
  <si>
    <t>CONDOR</t>
  </si>
  <si>
    <t>population model; survival; environmental effects; Hoki fishery; sea-surface temperature anomalies; recruitment; Westland Petrel; Procellaria westlandica</t>
  </si>
  <si>
    <t>PETRELS PROCELLARIA-WESTLANDICA; CLIMATE-CHANGE; FISHERIES; RECAPTURE; SURVIVAL; BYCATCH; SYSTEM; TRENDS; MARK; RECRUITMENT</t>
  </si>
  <si>
    <t>The use of long-term ecological datasets to explore the importance of the effects of environmental variability on higher predator populations has been focused mainly on high-latitude areas. We modeled the population dynamics of the Westland Petrel (Procellaria westlandica), which spends its time mostly in subtropical waters during both breeding and the interbreeding migration across the Pacific Ocean. We found that the population has slowly increased since the early 1970s, a result of high adult survival, high fecundity (0.6 of all eggs laid survived to fledge) and moderate mean age at first return to the colony (7.7 yr; a recruitment age typical for this genus), strong recruitment rate of juveniles, and negligible emigration. The modeled population trends were supported by similar rates of increase in nest occupancy since 2001 and nest density since 2007. Annual adult survival for breeders was the same for both sexes (0.954, 95% CI: 0.918-0.975) and constant across years. However, nonbreeders had lower survival rates than breeders, and, among nonbreeders, males tended to survive better (0.926, 95% CI: 0.917-0.934) than females (0.917, 95% CI: 0.900-0.931). Breeders transitioned to the nonbreeding state at a rate of 0.232 and nonbreeders to the breeding state at a rate of 0.295. Sea-surface temperature anomalies had a negative effect on adult survival during the breeding period and a positive effect on survival outside the breeding season. Local marine productivity as measured by fishery catches was strongly correlated with adult survival: Years with a greater fish catch were also years of higher adult survival. Despite many threats operating throughout the breeding and foraging range of Westland Petrels, it appears that marine environmental change is a strongly influential factor for the species, with uncertainty in population growth due to predicted increases in sea-surface temperature in the future.</t>
  </si>
  <si>
    <t>[Waugh, Susan M.] Museum New Zealand Papa Tongarewa, Wellington, New Zealand; [Barbraud, Christophe] Univ La Rochelle, CNRS, Ctr Etud Biol Chize, UMR7372, Villiers En Bois, France; [Adams, Lynn] Dept Conservat, Wellington, New Zealand; [Freeman, Amanda N. D.] Sch Field Studies, Ctr Rainforest Studies, Yungaburra, Qld, Australia; [Wood, Graham] Dept Conservat, Westport, New Zealand; [Landers, Todd J.] Auckland Council, Auckland, New Zealand; [Landers, Todd J.] Auckland Museum, Auckland, New Zealand; [Landers, Todd J.] Univ Auckland, Sch Biol Sci, Auckland 1, New Zealand; [Baker, G. Barry] Univ Tasmania, Inst Marine &amp; Antarctic Studies, Hobart, Tas, Australia; [Baker, G. Barry] Latitude 42 Environm Consultants Pty Ltd, Kettering, Tas, Australia</t>
  </si>
  <si>
    <t>La Rochelle Universite; Centre National de la Recherche Scientifique (CNRS); CNRS - Institute of Ecology &amp; Environment (INEE); University of Auckland; University of Tasmania</t>
  </si>
  <si>
    <t>Waugh, SM (corresponding author), Museum New Zealand Papa Tongarewa, Wellington, New Zealand.</t>
  </si>
  <si>
    <t>susan.waugh@tepapa.govt.nz</t>
  </si>
  <si>
    <t>Barbraud, Christophe/A-5870-2012</t>
  </si>
  <si>
    <t>Barbraud, Christophe/0000-0003-0146-212X; Baker, G. Barry/0000-0003-4766-8182</t>
  </si>
  <si>
    <t>Foundation for Science, Research Technology</t>
  </si>
  <si>
    <t>From 1995 onwards, S.M.W.'s visits were enabled by funding and assistance from the Foundation for Science, Research &amp; Technology. Te Papa funded a large proportion of the years of study on this species. No funders had any input into the content of the manuscript, nor required their approval before submission or publication.</t>
  </si>
  <si>
    <t>1938-5129</t>
  </si>
  <si>
    <t>Condor</t>
  </si>
  <si>
    <t>10.1650/CONDOR-14-141.1</t>
  </si>
  <si>
    <t>Ornithology</t>
  </si>
  <si>
    <t>CJ2LG</t>
  </si>
  <si>
    <t>Green Accepted, Bronze, Green Submitted</t>
  </si>
  <si>
    <t>WOS:000355315500002</t>
  </si>
  <si>
    <t>Straube, N; Leslie, RW; Clerkin, PJ; Ebert, DA; Rochel, E; Corrigan, S; Li, CH; Naylor, GJP</t>
  </si>
  <si>
    <t>Straube, Nicolas; Leslie, Robin W.; Clerkin, Paul J.; Ebert, David A.; Rochel, Elisabeth; Corrigan, Shannon; Li, Chenhong; Naylor, Gavin J. P.</t>
  </si>
  <si>
    <t>On the occurrence of the Southern Lanternshark, Etmopterus granulosus, off South Africa, with comments on the validity of E-compagnoi</t>
  </si>
  <si>
    <t>DEEP-SEA RESEARCH PART II-TOPICAL STUDIES IN OCEANOGRAPHY</t>
  </si>
  <si>
    <t>Circum-Antarctic; Cryptic species; Lanternsharks; Southern Hemisphere</t>
  </si>
  <si>
    <t>POPULATION-STRUCTURE; SHARK; SQUALIFORMES; DIVERSITY</t>
  </si>
  <si>
    <t>The Southern Lanternshark, Etmopterus granulosus, is a large species of Lanternshark that has been a source of long-standing taxonomic confusion. Recent work suggests E. granulosus to be conspecific with the New Zealand Giant Lanternshark, Etmopterus baxteri, suggesting that the species may be widespread throughout the Southern Hemisphere. The taxonomic affinity of populations off South Africa, however, has remained uncertain. Herein we show that South African samples are also conspecific with E. granulosus based on both molecular and morphometric data. These results extend the known distribution range of this species to South Africa and the southern Indian Ocean, strengthening the hypothesis that E. granulosus has a circum-Antarctic distribution. In addition we show that there is a cryptic, granulosus-like species in South African waters that can likely be assigned to Etmopterus compagnoi. (C) 2014 Elsevier Ltd. All rights reserved.</t>
  </si>
  <si>
    <t>[Straube, Nicolas; Rochel, Elisabeth; Corrigan, Shannon; Naylor, Gavin J. P.] Coll Charleston, Hollings Marine Lab, Charleston, SC 29412 USA; [Leslie, Robin W.] Dept Agr Forestry &amp; Fisheries, Fisheries Management, ZA-8012 Cape Town, South Africa; [Clerkin, Paul J.; Ebert, David A.] Moss Landing Marine Labs, Pacific Shark Res Ctr, Moss Landing, CA 95039 USA; [Li, Chenhong] Shanghai Ocean Univ, Minist Educ, Key Lab Explorat &amp; Utilizat Aquat Genet Resources, Shanghai 201306, Peoples R China</t>
  </si>
  <si>
    <t>College of Charleston; Moss Landing Marine Laboratories; Shanghai Ocean University</t>
  </si>
  <si>
    <t>Straube, N (corresponding author), Coll Charleston, Hollings Marine Lab, 331 Ft Johnson Rd, Charleston, SC 29412 USA.</t>
  </si>
  <si>
    <t>nstraube09@googlemail.com; robl@daff.gov.za; pclerkin@mlml.calstate.edu; debert@mlml.calstate.edu; rocheler@cofc.edu; corrigans@cofc.edu; lichenhong.unl@gmail.com; naylorg@cofc.edu</t>
  </si>
  <si>
    <t>Corrigan, Shannon/AAV-5862-2020</t>
  </si>
  <si>
    <t>Corrigan, Shannon/0000-0003-0093-5028; Leslie, Rob/0000-0003-2693-3469; Straube, Nicolas/0000-0001-7047-1084</t>
  </si>
  <si>
    <t>National Science Foundation (NSF) Grant Chondrichthyan Tree of Life [DEB 1132229]; Division Of Environmental Biology; Direct For Biological Sciences [1132229] Funding Source: National Science Foundation</t>
  </si>
  <si>
    <t>National Science Foundation (NSF) Grant Chondrichthyan Tree of Life(National Science Foundation (NSF)); Division Of Environmental Biology; Direct For Biological Sciences(National Science Foundation (NSF)NSF - Directorate for Biological Sciences (BIO))</t>
  </si>
  <si>
    <t>This project was supported by the National Science Foundation (NSF) Grant Chondrichthyan Tree of Life, DEB 1132229 to GJPN. DAE would like to acknowledge institutional support from Moss Landing Marine Laboratories.</t>
  </si>
  <si>
    <t>0967-0645</t>
  </si>
  <si>
    <t>1879-0100</t>
  </si>
  <si>
    <t>DEEP-SEA RES PT II</t>
  </si>
  <si>
    <t>Deep-Sea Res. Part II-Top. Stud. Oceanogr.</t>
  </si>
  <si>
    <t>10.1016/j.dsr2.2014.04.004</t>
  </si>
  <si>
    <t>CI8XQ</t>
  </si>
  <si>
    <t>WOS:000355055400002</t>
  </si>
  <si>
    <t>Pérez-Ortega, S; Garrido-Benavent, I; De Los Ríos, A</t>
  </si>
  <si>
    <t>Perez-Ortega, Sergio; Garrido-Benavent, Isaac; De Los Rios, Asuncion</t>
  </si>
  <si>
    <t>Austrostigmidium, a new austral genus of lichenicolous fungi close to rock-inhabiting meristematic fungi in Teratosphaeriaceae</t>
  </si>
  <si>
    <t>LICHENOLOGIST</t>
  </si>
  <si>
    <t>Antarctica; Capnodiales; Dothideomycetes; lichen; lifestyle switch; phylogenetic analysis; symbiosis; ultrastructure</t>
  </si>
  <si>
    <t>RIBOSOMAL DNA; BLACK FUNGI; PHYLOGENY; ASCOMYCOTA; EVOLUTION; TAXONOMY; LICHENS; LIFE</t>
  </si>
  <si>
    <t>The new genus of lichenicolous fungi Austrostigmidium is described from Antarctica and Tierra del Fuego (Chile). It is characterized by the presence of black pseudothecia, pseudoparaphyses, fissitunicate, I-, KI- asci and 3-septate hyaline ascospores. So far, the only known species grows on Mastodia tessellata (Verrucariales, Eurotiomycetes). The new genus is compared with anatomically close genera. Based on nuLSU and nuSSU markers we inferred its phylogenetic relationships and found that it belongs to the family Teratosphaeriaceae (Capnodiales, Dothideomycetes) and is closely related to rock-inhabiting fungal species, as well as to the hyphomycetous lichenicolous fungus Xanthoriicola. Finally, the host-parasite interface has been analyzed by means of transmission electron microscopy and fluorescence microscopy in order to describe the interactions among the new fungus and the symbionts forming the host lichen.</t>
  </si>
  <si>
    <t>[Perez-Ortega, Sergio; Garrido-Benavent, Isaac; De Los Rios, Asuncion] CSIC, Dept Biogeoquim &amp; Ecol Microbiana, Museo Nacl Ciencias Nat, E-28045 Madrid, Spain</t>
  </si>
  <si>
    <t>Consejo Superior de Investigaciones Cientificas (CSIC); CSIC - Museo Nacional de Ciencias Naturales (MNCN)</t>
  </si>
  <si>
    <t>Pérez-Ortega, S (corresponding author), CSIC, Dept Biogeoquim &amp; Ecol Microbiana, Museo Nacl Ciencias Nat, C Serrano 115 Dpdo, E-28045 Madrid, Spain.</t>
  </si>
  <si>
    <t>sperezortega@mncn.csic.es</t>
  </si>
  <si>
    <t>Garrido-Benavent, Isaac/AAA-1982-2020; de los Rios, Asuncion/L-3694-2014; Perez-Ortega, Sergio/G-1257-2016</t>
  </si>
  <si>
    <t>Garrido-Benavent, Isaac/0000-0002-5230-225X; de los Rios, Asuncion/0000-0002-0266-3516; Perez-Ortega, Sergio/0000-0002-5411-3698</t>
  </si>
  <si>
    <t>[CTM2012-38222-C02- 02]; [FPU AP2012-3556]</t>
  </si>
  <si>
    <t>;</t>
  </si>
  <si>
    <t>This work was funded by the grants CTM2012-38222-C02- 02 and FPU AP2012-3556. The authors would like to thank Virginia Souza for technical assistance and UTM (BAE Juan Carlos I) for their logistical support during Antarctic sample collection. We also thank Fernando Fernandez-Mendoza (Universitat Graz), Clara Laguna (UCM, Madrid), Juan Carlos Galindo (UCA, Cadiz), Ulrik Sochting (University of Copenhagen) and Joanne Romagni (St. Thommas University) for contributing with collections. We are obliged to Leopoldo Garcia Sancho (UCM, Madrid) for his support during the collection of samples in Tierra del Fuego by the first author. We also would like to thank Paul Diederich and an anonymous reviewer for their suggestions and comments on the original manuscript.</t>
  </si>
  <si>
    <t>CAMBRIDGE UNIV PRESS</t>
  </si>
  <si>
    <t>CAMBRIDGE</t>
  </si>
  <si>
    <t>EDINBURGH BLDG, SHAFTESBURY RD, CB2 8RU CAMBRIDGE, ENGLAND</t>
  </si>
  <si>
    <t>0024-2829</t>
  </si>
  <si>
    <t>1096-1135</t>
  </si>
  <si>
    <t>Lichenologist</t>
  </si>
  <si>
    <t>10.1017/S0024282915000031</t>
  </si>
  <si>
    <t>Plant Sciences; Mycology</t>
  </si>
  <si>
    <t>CJ2KP</t>
  </si>
  <si>
    <t>WOS:000355313600001</t>
  </si>
  <si>
    <t>Morrison, AK; England, MH; Hogg, AM</t>
  </si>
  <si>
    <t>Morrison, Adele K.; England, Matthew H.; Hogg, Andrew McC.</t>
  </si>
  <si>
    <t>Response of Southern Ocean Convection and Abyssal Overturning to Surface Buoyancy Perturbations</t>
  </si>
  <si>
    <t>JOURNAL OF CLIMATE</t>
  </si>
  <si>
    <t>ANTARCTIC BOTTOM WATER; SEA-LEVEL RISE; FRESH-WATER; NORTH-ATLANTIC; CLIMATE-CHANGE; GLOBAL HEAT; DEEP; ICE; TEMPERATURE; VARIABILITY</t>
  </si>
  <si>
    <t>This study explores how buoyancy-driven modulations in the abyssal overturning circulation affect Southern Ocean temperature and salinity in an eddy-permitting ocean model. Consistent with previous studies, the modeled surface ocean south of 50 degrees S cools and freshens in response to enhanced surface freshwater fluxes. Paradoxically, upper-ocean cooling also occurs for small increases in the surface relaxation temperature. In both cases, the surface cooling and freshening trends are linked to reduced convection and a slowing of the abyssal overturning circulation, with associated changes in oceanic transport of heat and salt. For small perturbations, convective shutdown does not begin immediately, but instead develops via a slow feedback between the weakened overturning circulation and buoyancy anomalies. Two distinct phases of surface cooling are found: an initial smaller trend associated with the advective (overturning) adjustment of up to similar to 60 yr, followed by more rapid surface cooling during the convective shutdown period. The duration of the first advective phase decreases for larger forcing perturbations. As may be expected during the convective shutdown phase, the deep ocean warms and salinifies for both types of buoyancy perturbation. However, during the advective phase, the deep ocean freshens in response to freshwater perturbations but salinifies in the surface warming perturbations. The magnitudes of the modeled surface and abyssal trends during the advective phase are comparable to the recent observed multidecadal Southern Ocean temperature and salinity changes.</t>
  </si>
  <si>
    <t>[Morrison, Adele K.; Hogg, Andrew McC.] Australian Natl Univ, Res Sch Earth Sci, Canberra, ACT, Australia; [Morrison, Adele K.; Hogg, Andrew McC.] Australian Natl Univ, ARC Ctr Excellence Climate Syst Sci, Canberra, ACT, Australia; [England, Matthew H.] Univ New S Wales, Climate Change Res Ctr, Sydney, NSW, Australia; [England, Matthew H.] Univ New S Wales, ARC Ctr Excellence Climate Syst Sci, Sydney, NSW, Australia</t>
  </si>
  <si>
    <t>Australian National University; Australian National University; ARC Centre of Excellence for Climate System Science; University of New South Wales Sydney; University of New South Wales Sydney; ARC Centre of Excellence for Climate System Science</t>
  </si>
  <si>
    <t>Morrison, AK (corresponding author), Princeton Univ, Program Atmospher &amp; Ocean Sci, 300 Forrestal Rd, Princeton, NJ 08544 USA.</t>
  </si>
  <si>
    <t>adelem@princeton.edu</t>
  </si>
  <si>
    <t>Hogg, Andy/AAZ-8733-2021; England, Matthew/A-7539-2011; Hogg, Andy McC./A-7553-2011; Morrison, Adele/C-1774-2012</t>
  </si>
  <si>
    <t>Hogg, Andy/0000-0001-5898-7635; England, Matthew/0000-0001-9696-2930; Hogg, Andy McC./0000-0001-5898-7635; Morrison, Adele/0000-0002-9904-4980</t>
  </si>
  <si>
    <t>Australian Research Council [FT120100842, FL100100214]; Australian Commonwealth Government; Australian Research Council [FT120100842, FL100100214] Funding Source: Australian Research Council</t>
  </si>
  <si>
    <t>Australian Research Council(Australian Research Council); Australian Commonwealth Government(Australian Government); Australian Research Council(Australian Research Council)</t>
  </si>
  <si>
    <t>AMH was supported by Australian Research Council Future Fellowship FT120100842 and MHE by Australian Research Council Laureate Fellowship FL100100214. The analysis in section 6 is based on data made freely available by the International Argo Program and the national programs that contribute to it (http://www.argo.ucsd.edu). The Argo Program is part of the Global Ocean Observing System. The numerical model was run on the NCI National Facility in Canberra, Australia, which is supported by the Australian Commonwealth Government. We wish to thank Anand Gnanadesikan, Bob Hallberg, and three anonymous reviewers for providing useful feedback on the original manuscript, and Nicola Maher for valuable discussions regarding the observational datasets and trends.</t>
  </si>
  <si>
    <t>AMER METEOROLOGICAL SOC</t>
  </si>
  <si>
    <t>BOSTON</t>
  </si>
  <si>
    <t>45 BEACON ST, BOSTON, MA 02108-3693 USA</t>
  </si>
  <si>
    <t>0894-8755</t>
  </si>
  <si>
    <t>1520-0442</t>
  </si>
  <si>
    <t>J CLIMATE</t>
  </si>
  <si>
    <t>J. Clim.</t>
  </si>
  <si>
    <t>10.1175/JCLI-D-14-00110.1</t>
  </si>
  <si>
    <t>CH9QE</t>
  </si>
  <si>
    <t>Bronze, Green Submitted</t>
  </si>
  <si>
    <t>WOS:000354370100022</t>
  </si>
  <si>
    <t>Dolhi, JM; Teufel, AG; Kong, WD; Morgan-Kiss, RM</t>
  </si>
  <si>
    <t>Dolhi, Jenna M.; Teufel, Amber G.; Kong, Weidong; Morgan-Kiss, Rachael M.</t>
  </si>
  <si>
    <t>Diversity and spatial distribution of autotrophic communities within and between ice-covered Antarctic lakes (McMurdo Dry Valleys)</t>
  </si>
  <si>
    <t>LIMNOLOGY AND OCEANOGRAPHY</t>
  </si>
  <si>
    <t>POLAR NIGHT; MIXOTROPHIC CRYPTOPHYTES; MICROBIAL EUKARYOTES; OXIDIZING BACTERIA; TEMPORAL DYNAMICS; RUBISCO GENOTYPES; TAYLOR GLACIER; NITROUS-OXIDE; BLOOD FALLS; FORM-II</t>
  </si>
  <si>
    <t>We compared the spatial distribution and diversity of autotrophic microbial communities among four permanently ice-covered, chemically stratified lakes located in the Taylor (Lakes Bonney-east and west lobes, Fryxell), and Wright (Lake Vanda) Valleys of the McMurdo Dry Valleys (Victoria Land, Antarctica). Clone libraries were constructed for major carbon fixation genes (rbcL isoforms IA/B and ID; cbbM; nifJ). Real time quantitative polymerase chain reaction assays were also developed for each of these markers of autotrophy to assess the influence of lake physicochemical factors on spatial trends in major photosynthetic and chemolithoautotrophic groups. Both lobes of Lake Bonney were dominated by Ribulose-1, 5-bisphosphate carboxylase oxygenase (RubisCO) form ID rbcL (haptophytes and stramenopiles), while Lake Fryxell was dominated by rbcL form ID-harboring cryptophytes. Lake Vanda was the least productive lake and was dominated by form IA/B rbcL (cyanobacteria and chlorophytes) and form ID rbcL (stramenopiles). Autotrophic carbon fixation genes from photosynthetic organisms were generally positively correlated with light availability. Chemolithoautotrophic organisms harboring form II RubisCO were detected in only two of the four lakes (west lobe Lake Bonney and Fryxell) and were associated with the presence of either sulfide (Fryxell) or dimethylated sulfur compounds (west lobe Lake Bonney).</t>
  </si>
  <si>
    <t>[Dolhi, Jenna M.; Teufel, Amber G.; Morgan-Kiss, Rachael M.] Miami Univ, Dept Microbiol, Oxford, OH USA; [Kong, Weidong] Chinese Acad Sci, Key Lab Alpine Ecol &amp; Biodivers, Inst Tibetan Plateau Res, Beijing 100101, Peoples R China</t>
  </si>
  <si>
    <t>University System of Ohio; Miami University; Chinese Academy of Sciences; Institute of Tibetan Plateau Research, CAS</t>
  </si>
  <si>
    <t>Morgan-Kiss, RM (corresponding author), Miami Univ, Dept Microbiol, Oxford, OH 45056 USA.</t>
  </si>
  <si>
    <t>morganr2@miamioh.edu</t>
  </si>
  <si>
    <t>Kong, Weidong/H-7432-2012</t>
  </si>
  <si>
    <t>Kong, Weidong/0000-0001-9682-1484; Morgan-kiss, Rachael/0000-0003-4783-5358</t>
  </si>
  <si>
    <t>NSF Office of Polar Programs [OPP-1056396]; Directorate For Geosciences; Office of Polar Programs (OPP) [1056396] Funding Source: National Science Foundation</t>
  </si>
  <si>
    <t>NSF Office of Polar Programs(National Science Foundation (NSF)); Directorate For Geosciences; Office of Polar Programs (OPP)(National Science Foundation (NSF)NSF - Directorate for Geosciences (GEO))</t>
  </si>
  <si>
    <t>The authors thank the McMurdo LTER limnology team, Ratheon Polar Services and PHI helicopters for logistical assistance in the field. We thank Andor J. Kiss and the Center for Bioinformatics and Functional Genomics at Miami University for assistance with qPCR and Nicholas Ketchum for assistance with clone library construction. This work was supported by NSF Office of Polar Programs Grant OPP-1056396.</t>
  </si>
  <si>
    <t>0024-3590</t>
  </si>
  <si>
    <t>1939-5590</t>
  </si>
  <si>
    <t>LIMNOL OCEANOGR</t>
  </si>
  <si>
    <t>Limnol. Oceanogr.</t>
  </si>
  <si>
    <t>10.1002/lno.10071</t>
  </si>
  <si>
    <t>Limnology; Oceanography</t>
  </si>
  <si>
    <t>CI1GA</t>
  </si>
  <si>
    <t>WOS:000354490100020</t>
  </si>
  <si>
    <t>Onuma, R; Horiguchi, T</t>
  </si>
  <si>
    <t>Onuma, Ryo; Horiguchi, Takeo</t>
  </si>
  <si>
    <t>Kleptochloroplast Enlargement, Karyoklepty and the Distribution of the Cryptomonad Nucleus in Nusuttodinium (= Gymnodinium) aeruginosum (Dinophyceae)</t>
  </si>
  <si>
    <t>PROTIST</t>
  </si>
  <si>
    <t>Cryptomonad nucleus; karyoklepty; kleptochloroplast; morphological transition; Nusuttodinium aeruginosum; ultrastructure</t>
  </si>
  <si>
    <t>DINOFLAGELLATE AMYLAX-TRIACANTHA; CILIATE MESODINIUM-RUBRUM; NUCLEOMORPH DIVISION; AMPHIDINIUM-POECILOCHROUM; ANTARCTIC DINOFLAGELLATE; MARINE DINOFLAGELLATE; ACIDOTUM DINOPHYCEAE; PERIDINIUM-BALTICUM; MYRIONECTA-RUBRA; ULTRASTRUCTURE</t>
  </si>
  <si>
    <t>The unarmoured freshwater dinoflagellate Nusuttodinium (= Gymnodinium) aeruginosum retains a cryptomonad-derived kleptochloroplast and nucleus, the former of which fills the bulk of its cell volume. The paucity of studies following morphological changes to the kleptochloroplast with time make it unclear how the kleptochloroplast enlarges and why the cell ultimately loses the cryptomonad nucleus. We observed, both at the light and electron microscope level, morphological changes to the kleptochloroplast incurred by the enlargement process under culture conditions. The distribution of the cryptomonad nucleus after host cell division was also investigated. The volume of the kleptochloroplast increased more than 20-fold, within 120 h of ingestion of the cryptomonad. Host cell division was not preceded by cryptomonad karyokinesis so that only one of the daughter cells inherited a cryptomonad nucleus. The fate of all daughter cells originating from a single cell through five generations was closely monitored, and this observation revealed that the cell that inherited the cryptomonad nucleus consistently possessed the largest kleptochloroplast for that generation. Therefore, this study suggests that some important cryptomonad nucleus division mechanism is lost during ingestion process, and that the cryptomonad nucleus carries important information for the enlargement of the kleptochloroplast. (C) 2015 Elsevier GmbH. All rights reserved.</t>
  </si>
  <si>
    <t>[Onuma, Ryo] Hokkaido Univ, Grad Sch Sci, Dept Nat Hist Sci, Sapporo, Hokkaido 0600810, Japan; [Horiguchi, Takeo] Hokkaido Univ, Fac Sci, Dept Nat Hist Sci, Sapporo, Hokkaido 0600810, Japan</t>
  </si>
  <si>
    <t>Hokkaido University; Hokkaido University</t>
  </si>
  <si>
    <t>Horiguchi, T (corresponding author), Hokkaido Univ, Fac Sci, Dept Nat Hist Sci, North 10,West 8, Sapporo, Hokkaido 0600810, Japan.</t>
  </si>
  <si>
    <t>horig@mail.sci.hokudai.ac.jp</t>
  </si>
  <si>
    <t>Onuma, Ryo/AAI-2075-2020; Horiguchi, Takeo/D-7612-2012; Onuma, Ryo/AAZ-4295-2020</t>
  </si>
  <si>
    <t>Horiguchi, Takeo/0000-0002-6118-8460; Onuma, Ryo/0000-0003-1592-0814</t>
  </si>
  <si>
    <t>Japan Society for the Promotion of Science [24370034]</t>
  </si>
  <si>
    <t>Japan Society for the Promotion of Science(Ministry of Education, Culture, Sports, Science and Technology, Japan (MEXT)Japan Society for the Promotion of Science)</t>
  </si>
  <si>
    <t>We thank Dr. Stuart D. Sym for reading the manuscript. This work was partly supported by the Grant-in-Aid by the Japan Society for the Promotion of Science (No. 24370034).</t>
  </si>
  <si>
    <t>ELSEVIER GMBH, URBAN &amp; FISCHER VERLAG</t>
  </si>
  <si>
    <t>JENA</t>
  </si>
  <si>
    <t>OFFICE JENA, P O BOX 100537, 07705 JENA, GERMANY</t>
  </si>
  <si>
    <t>1434-4610</t>
  </si>
  <si>
    <t>Protist</t>
  </si>
  <si>
    <t>10.1016/j.protis.2015.01.004</t>
  </si>
  <si>
    <t>CI8JJ</t>
  </si>
  <si>
    <t>WOS:000355018300002</t>
  </si>
  <si>
    <t>Le Maho, Y</t>
  </si>
  <si>
    <t>Le Maho, Yvon</t>
  </si>
  <si>
    <t>ANTARCTIC PENGUINS AS A SOURCE OF NEW PHYSIOLOGICAL CONCEPTS AND BIOMEDICAL INNOVATION</t>
  </si>
  <si>
    <t>ACTA PHYSIOLOGICA</t>
  </si>
  <si>
    <t>[Le Maho, Yvon] CNRS, Inst Pluridisciplinaire Hubert Curien, F-67087 Strasbourg, France; [Le Maho, Yvon] Univ Strasbourg, F-67087 Strasbourg, France</t>
  </si>
  <si>
    <t>Universites de Strasbourg Etablissements Associes; Universite de Strasbourg; Centre National de la Recherche Scientifique (CNRS); Universites de Strasbourg Etablissements Associes; Universite de Strasbourg</t>
  </si>
  <si>
    <t>1748-1708</t>
  </si>
  <si>
    <t>1748-1716</t>
  </si>
  <si>
    <t>ACTA PHYSIOL</t>
  </si>
  <si>
    <t>Acta Physiol.</t>
  </si>
  <si>
    <t>Physiology</t>
  </si>
  <si>
    <t>CI1TY</t>
  </si>
  <si>
    <t>WOS:000354528800002</t>
  </si>
  <si>
    <t>Ryan, PG; Dilley, BJ; Jones, C; Bond, AL</t>
  </si>
  <si>
    <t>Ryan, Peter G.; Dilley, Ben J.; Jones, Christopher; Bond, Alexander L.</t>
  </si>
  <si>
    <t>Blue Petrels Halobaena caerulea discovered breeding on Gough Island</t>
  </si>
  <si>
    <t>OSTRICH</t>
  </si>
  <si>
    <t>Blue Petrel; Gough Island; northward expansion; subantarctic</t>
  </si>
  <si>
    <t>The Blue Petrel Halobaena caerulea breeds at five subantarctic island groups and at islands off southern Chile in a narrow latitudinal band from 47 degrees to 56 degrees S on either side of the Antarctic Polar Front. We found a colony on Gough Island (40 degrees S, 10 degrees W), central South Atlantic Ocean, more than 700 km north of its known breeding range. Breeding appears to take place later than at colonies farther south. Although the colony is in a fairly frequently visited part of the island, it might have been overlooked rather than representing a recent range extension.</t>
  </si>
  <si>
    <t>[Ryan, Peter G.; Dilley, Ben J.; Jones, Christopher] Univ Cape Town, DST NRF Ctr Excellence, Percy Fitzpatrick Inst African Ornithol, ZA-7925 Cape Town, South Africa; [Bond, Alexander L.] Royal Soc Protect Birds, Ctr Conservat Sci, Sandy SG19 2DL, Beds, England</t>
  </si>
  <si>
    <t>National Research Foundation - South Africa; University of Cape Town; Royal Society for Protection of Birds</t>
  </si>
  <si>
    <t>Ryan, PG (corresponding author), Univ Cape Town, DST NRF Ctr Excellence, Percy Fitzpatrick Inst African Ornithol, ZA-7925 Cape Town, South Africa.</t>
  </si>
  <si>
    <t>pryan31@gmail.com</t>
  </si>
  <si>
    <t>Bond, Alexander L/A-3786-2010</t>
  </si>
  <si>
    <t>Bond, Alexander/0000-0003-2125-7238; Jones, Christopher/0000-0002-4112-1912</t>
  </si>
  <si>
    <t>NATL INQUIRY SERVICES CENTRE PTY LTD</t>
  </si>
  <si>
    <t>GRAHAMSTOWN</t>
  </si>
  <si>
    <t>19 WORCESTER STREET, PO BOX 377, GRAHAMSTOWN 6140, SOUTH AFRICA</t>
  </si>
  <si>
    <t>0030-6525</t>
  </si>
  <si>
    <t>1727-947X</t>
  </si>
  <si>
    <t>Ostrich</t>
  </si>
  <si>
    <t>1-2</t>
  </si>
  <si>
    <t>10.2989/00306525.2015.1005558</t>
  </si>
  <si>
    <t>CI2JB</t>
  </si>
  <si>
    <t>WOS:000354571500021</t>
  </si>
  <si>
    <t>Wei, JJ; Wu, XF; Melia, F</t>
  </si>
  <si>
    <t>Wei, Jun-Jie; Wu, Xue-Feng; Melia, Fulvio</t>
  </si>
  <si>
    <t>TESTING COSMOLOGICAL MODELS WITH TYPE Ic SUPER LUMINOUS SUPERNOVAE</t>
  </si>
  <si>
    <t>ASTRONOMICAL JOURNAL</t>
  </si>
  <si>
    <t>cosmic background radiation; cosmological parameters; cosmology: observations; cosmology: theory; distance scale; supernovae: general</t>
  </si>
  <si>
    <t>KULLBACKS SYMMETRIC DIVERGENCE; HUBBLE-SPACE-TELESCOPE; GAMMA-RAY BURSTS; SUPERLUMINOUS SUPERNOVAE; CT UNIVERSE; R-H; IA SUPERNOVAE; ULTRALUMINOUS SUPERNOVAE; LEGACY SURVEY; DARK-ENERGY</t>
  </si>
  <si>
    <t>The use of type Ic super luminous supernovae (SLSNe Ic) to examine the cosmological expansion introduces a new standard ruler with which to test theoretical models. The sample suitable for this kind of work now includes 11 SLSNe Ic, which have thus far been used solely in tests involving the. cold dark matter (Lambda CDM) model. In this paper, we broaden the base of support for this new, important cosmic probe by using these observations to carry out a one-on-one comparison between the R-h = ct and Lambda CDM cosmologies. We individually optimize the parameters in each cosmological model by minimizing the chi(2) statistic. We also carry out Monte Carlo simulations based on these current SLSNe Ic measurements to estimate how large the sample would have to be in order to rule out either model at a similar to 99.7% confidence level. The currently available sample indicates a likelihood of similar to 70-80% that the R-h = ct universe is the correct cosmology versus similar to 20-30% for the standard model. These results are suggestive, though not yet compelling, given the current limited number of SLSNe Ic. We find that if the real cLosmology is Lambda CDM, a sample of similar to 240 SLSNe Ic would be sufficient to rule out R-h = ct at this level of confidence, while similar to 480 SLSNe Ic would be required to rule out Lambda CDM if the real universe is instead R-h = ct. This difference in required sample size reflects the greater number of free parameters available to fit the data with Lambda CDM. If such SLSNe Ic are commonly detected in the future, they could be a powerful tool for constraining the dark-energy equation of state in Lambda CDM, and differentiating between this model and the R-h = ct universe.</t>
  </si>
  <si>
    <t>[Wei, Jun-Jie; Wu, Xue-Feng; Melia, Fulvio] Chinese Acad Sci, Purple Mt Observ, Nanjing 210008, Jiangsu, Peoples R China; [Wei, Jun-Jie] Univ Chinese Acad Sci, Beijing 100049, Peoples R China; [Melia, Fulvio] Univ Arizona, Dept Phys, Program Appl Math, Tucson, AZ 85721 USA; [Melia, Fulvio] Univ Arizona, Dept Astron, Tucson, AZ 85721 USA; [Wu, Xue-Feng] Chinese Ctr Antarctic Astron, Nanjing 210008, Jiangsu, Peoples R China; [Wu, Xue-Feng] Nanjing Univ, Purple Mt Observ, Joint Ctr Particle Nucl Phys &amp; Cosmol, Nanjing 210008, Jiangsu, Peoples R China</t>
  </si>
  <si>
    <t>Chinese Academy of Sciences; Nanjing Institute of Astronomical Optics &amp; Technology, NAOC, CAS; Purple Mountain Observatory, CAS; Chinese Academy of Sciences; University of Chinese Academy of Sciences, CAS; University of Arizona; University of Arizona; Chinese Academy of Sciences; Nanjing Institute of Astronomical Optics &amp; Technology, NAOC, CAS; Nanjing University; Purple Mountain Observatory, CAS</t>
  </si>
  <si>
    <t>Wei, JJ (corresponding author), Chinese Acad Sci, Purple Mt Observ, Nanjing 210008, Jiangsu, Peoples R China.</t>
  </si>
  <si>
    <t>jjwei@pmo.ac.cn; xfwu@pmo.ac.cn; fmelia@email.arizona.edu</t>
  </si>
  <si>
    <t>Melia, Fulvio/V-4197-2018; Wu, Xuefeng/G-5316-2015</t>
  </si>
  <si>
    <t>Melia, Fulvio/0000-0002-8014-0593; Wei, Jun-Jie/0000-0003-0162-2488; Wu, Xuefeng/0000-0002-6299-1263</t>
  </si>
  <si>
    <t>National Basic Research Program (973 Program) of China [2014CB845800, 2013CB834900]; National Natural Science Foundation of China [11322328, 11373068, 11173064, 11233008]; One-Hundred-Talents Program; Youth Innovation Promotion Association; Strategic Priority Research Program The Emergence of Cosmological Structures of the Chinese Academy of Sciences [XDB09000000]; Natural Science Foundation of Jiangsu Province [BK2012890]; Amherst College; Chinese Academy of Sciences Visiting Professorships for Senior International Scientists [2012T1J0011]; Chinese State Administration of Foreign Experts Affairs [GDJ20120491013]</t>
  </si>
  <si>
    <t>National Basic Research Program (973 Program) of China(National Basic Research Program of China); National Natural Science Foundation of China(National Natural Science Foundation of China (NSFC)); One-Hundred-Talents Program(Chinese Academy of Sciences); Youth Innovation Promotion Association; Strategic Priority Research Program The Emergence of Cosmological Structures of the Chinese Academy of Sciences; Natural Science Foundation of Jiangsu Province(Natural Science Foundation of Jiangsu Province); Amherst College; Chinese Academy of Sciences Visiting Professorships for Senior International Scientists; Chinese State Administration of Foreign Experts Affairs</t>
  </si>
  <si>
    <t>We are very grateful to Cosimo Inserra for helpful, clarifying discussions, and especially to Stephen Smartt for his thoughtful review of the manuscript, which has led to an improvement in the presentation of our results. This work is partially supported by the National Basic Research Program (973 Program) of China (Grants 2014CB845800 and 2013CB834900), the National Natural Science Foundation of China (grants Nos. 11322328, 11373068, 11173064, and 11233008), the One-Hundred-Talents Program and the Youth Innovation Promotion Association, and the Strategic Priority Research Program The Emergence of Cosmological Structures (Grant No. XDB09000000) of the Chinese Academy of Sciences, and the Natural Science Foundation of Jiangsu Province (grant no. BK2012890). F.M. is also grateful to Amherst College for its support through a John Woodruff Simpson Lectureship, and to Purple Mountain Observatory in Nanjing, China, for its hospitality while this work was being carried out. This work was partially supported by grant 2012T1J0011 from The Chinese Academy of Sciences Visiting Professorships for Senior International Scientists, and grant GDJ20120491013 from the Chinese State Administration of Foreign Experts Affairs.</t>
  </si>
  <si>
    <t>0004-6256</t>
  </si>
  <si>
    <t>1538-3881</t>
  </si>
  <si>
    <t>ASTRON J</t>
  </si>
  <si>
    <t>Astron. J.</t>
  </si>
  <si>
    <t>10.1088/0004-6256/149/5/165</t>
  </si>
  <si>
    <t>CH5HC</t>
  </si>
  <si>
    <t>Bronze, Green Submitted, Green Published</t>
  </si>
  <si>
    <t>WOS:000354065200016</t>
  </si>
  <si>
    <t>Del Carlo, P; Di Roberto, A; Di Vincenzo, G; Bertagnini, A; Landi, P; Pompilio, M; Colizza, E; Giordano, G</t>
  </si>
  <si>
    <t>Del Carlo, P.; Di Roberto, A.; Di Vincenzo, G.; Bertagnini, A.; Landi, P.; Pompilio, M.; Colizza, E.; Giordano, G.</t>
  </si>
  <si>
    <t>Late Pleistocene-Holocene volcanic activity in northern Victoria Land recorded in Ross Sea (Antarctica) marine sediments</t>
  </si>
  <si>
    <t>BULLETIN OF VOLCANOLOGY</t>
  </si>
  <si>
    <t>Antarctica; Melbourne volcanic province; Gravity cores; Marine tephra; 40Ar-39Ar dating</t>
  </si>
  <si>
    <t>SOUTHERN MCMURDO SOUND; TEPHRA LAYERS; ICE-CORE; MOUNT EREBUS; EXPLOSIVE ERUPTIONS; FRONTIER MOUNTAIN; DECAY CONSTANTS; AND-2A CORE; SIPLE DOME; BYRD LAND</t>
  </si>
  <si>
    <t>Eight pyroclastic fall deposits have been identified in cores of Late Pleistocene-Holocene marine sediments from the Ross Sea (Antarctica), and their components, granulometry and clast morphologies were analysed. Sedimentological, petrographic and geochemical analysis of clasts, with 40Ar-39Ar dating of alkali feldspar grains, indicate that during this period at least five explosive eruptions of mid to high intensity (plinian to subplinian) occurred, and that three of these eruptions took place from Mount Melbourne volcanic complex, between 137.1 +/- 3.4 and 12 ka. Geochemical comparison of the studied tephra with micro- and crypto-tephra recovered from deep Antarctic ice cores and from nearby englacial tephra at Frontier Mountain indicates that eruptive activity in the Melbourne Volcanic Province of northern Victoria Land was intense during the Late Pleistocene-Holocene, but only a general area of provenance for the majority of the identified tephra can be identified.</t>
  </si>
  <si>
    <t>[Del Carlo, P.; Di Roberto, A.; Bertagnini, A.; Landi, P.; Pompilio, M.] Ist Nazl Geofis &amp; Vulcanol, Sez Pisa, I-56126 Pisa, Italy; [Di Vincenzo, G.] CNR, Ist Geosci &amp; Georisorse, I-56124 Pisa, Italy; [Colizza, E.] Univ Trieste, Dipartimento Matemat &amp; Geosci, I-34127 Trieste, Italy; [Giordano, G.] Univ Rome Tre, Dipartimento Sci Geol, I-00146 Rome, Italy</t>
  </si>
  <si>
    <t>Istituto Nazionale Geofisica e Vulcanologia (INGV); Consiglio Nazionale delle Ricerche (CNR); Istituto di Geoscienze e Georisorse (IGG-CNR); University of Trieste; Roma Tre University</t>
  </si>
  <si>
    <t>Del Carlo, P (corresponding author), Ist Nazl Geofis &amp; Vulcanol, Sez Pisa, Via Faggiola 32, I-56126 Pisa, Italy.</t>
  </si>
  <si>
    <t>delcarlo@pi.ingv.it</t>
  </si>
  <si>
    <t>Del Carlo, Paola/AAH-1725-2019; Pompilio, Massimo/M-5380-2019; Di Roberto, Alessio/AAH-1595-2019; Pompilio, Massimo N/C-5892-2008; Giordano, Guido/ABC-4130-2021; Bertagnini, Antonella/K-8587-2015; LANDI, Patrizia/K-8736-2015</t>
  </si>
  <si>
    <t>Pompilio, Massimo/0000-0002-0742-0679; Di Roberto, Alessio/0000-0003-1167-8290; Bertagnini, Antonella/0000-0003-4075-2242; LANDI, Patrizia/0000-0002-8463-5710; Del Carlo, Paola/0000-0001-5506-4579; DI VINCENZO, GIANFRANCO/0000-0002-9669-9789; GIORDANO, Guido/0000-0002-5819-443X; Colizza, Ester/0000-0002-9026-6667</t>
  </si>
  <si>
    <t>Italian Programma Nazionale di Ricerche in Antartide (PNRA) [PdR2010/A2.12]; PNRA project</t>
  </si>
  <si>
    <t>Italian Programma Nazionale di Ricerche in Antartide (PNRA); PNRA project</t>
  </si>
  <si>
    <t>A. Cavallo of INGV Sezione di Roma is acknowledged for assistance inmicroprobe analyses. This work was funded by the Italian Programma Nazionale di Ricerche in Antartide (PNRA), PdR2010/A2.12: Glacial and interglacial transitions deduced by the multidisciplinary study of marine sediments in the Ross Sea (Antarctica). A. Di Roberto benefited from a postdoctoral grant from the above-mentioned PNRA project. J.D.L. White, S. Rocchi and two anonymous reviewers are kindly acknowledged for their constructive revision of the manuscript.</t>
  </si>
  <si>
    <t>0258-8900</t>
  </si>
  <si>
    <t>1432-0819</t>
  </si>
  <si>
    <t>B VOLCANOL</t>
  </si>
  <si>
    <t>Bull. Volcanol.</t>
  </si>
  <si>
    <t>10.1007/s00445-015-0924-0</t>
  </si>
  <si>
    <t>CH7BZ</t>
  </si>
  <si>
    <t>WOS:000354191900003</t>
  </si>
  <si>
    <t>La, HS; Lee, H; Kang, D; Lee, S; Shin, HC</t>
  </si>
  <si>
    <t>La, Hyoung Sul; Lee, Hyungbeen; Kang, Donhyug; Lee, SangHoon; Shin, Hyoung Chul</t>
  </si>
  <si>
    <t>Ex situ echo sounder target strengths of ice krill Euphausia crystallorophias</t>
  </si>
  <si>
    <t>CHINESE JOURNAL OF OCEANOLOGY AND LIMNOLOGY</t>
  </si>
  <si>
    <t>ice krill; Euphausia crystallorophias; ex situ target strength; split-beam echo sounder</t>
  </si>
  <si>
    <t>ANTARCTIC KRILL; ROSS-SEA; ACOUSTIC SCATTERING; 120 KHZ; SUPERBA; ZOOPLANKTON; ABUNDANCE; ORIENTATION; MODEL</t>
  </si>
  <si>
    <t>Ice krill is the keystone species in the neritic ecosystem in the Southern Ocean, where it replaces the more oceanic Antarctic krill. It is essential to understand the variation of target strength (TS in dB re 1 m(2)) with the different body size to accurately estimate ice krill stocks. However, there is comparatively little knowledge of the acoustic backscatter of ice krill. The TS of individual, formalin-preserved, tethered ice krill was measured in a freshwater test tank at 38, 120, and 200 kHz with a calibrated split-beam echo sounder system. Mean TS was obtained from 21 individual ice krill with a broad range of body lengths (L: 13-36 mm). The length (L, mm) to wet weight (W; mg) relationship for ice krill was W=0.001218x10(3) x L (3.53) (R (2) =0.96). The mean TS-to-length relationship were TS38 kHz =-177.4+57log(10) (L), (R (2) = 0.86); TS120 kHz = -129.9+31.56log(10) (L), (R (2) =0.87); and TS200 kHz =-117.6+24.66log(10) (L), (R (2) =0.84). Empirical estimates of the relationship between the TS and body length of ice krill were established at 38, 120, and 200 kHz and compared with predictions obtained from both the linear regression model of Greene et al. (1991) and the Stochastic Distorted Wave Born Approximation (SDWBA) model. This result might be applied to improve acoustic detection and density estimation of ice krill in the Southern Ocean. Further comparative studies are needed with in situ target strength including various body lengths of ice krill.</t>
  </si>
  <si>
    <t>[La, Hyoung Sul; Lee, SangHoon; Shin, Hyoung Chul] Korea Inst Ocean Sci &amp; Technol, Korea Polar Res Inst, Div Polar Ocean Environm Res, Ansan, Gyeonggi Do, South Korea; [Lee, Hyungbeen; Kang, Donhyug] Korea Inst Ocean Sci &amp; Technol, Maritime Secur Res Ctr, Ansan, Gyeonggi Do, South Korea</t>
  </si>
  <si>
    <t>Korea Institute of Ocean Science &amp; Technology (KIOST); Korea Polar Research Institute (KOPRI); Korea Institute of Ocean Science &amp; Technology (KIOST)</t>
  </si>
  <si>
    <t>Kang, D (corresponding author), Korea Inst Ocean Sci &amp; Technol, Maritime Secur Res Ctr, Ansan, Gyeonggi Do, South Korea.</t>
  </si>
  <si>
    <t>dhkang@kiost.ac</t>
  </si>
  <si>
    <t>La, Hyoung Sul/0000-0003-1285-580X</t>
  </si>
  <si>
    <t>Korea Polar Research Institute [PP14020]; Korea Institute of Ocean Science and Technology [PN65250]</t>
  </si>
  <si>
    <t>Korea Polar Research Institute(Korea Polar Research Institute of Marine Research Placement (KOPRI)); Korea Institute of Ocean Science and Technology</t>
  </si>
  <si>
    <t>Supported by the Korea Polar Research Institute (No. PP14020) and the Korea Institute of Ocean Science and Technology (No. PN65250)</t>
  </si>
  <si>
    <t>16 DONGHUANGCHENGGEN NORTH ST, BEIJING, 100717, PEOPLES R CHINA</t>
  </si>
  <si>
    <t>0254-4059</t>
  </si>
  <si>
    <t>1993-5005</t>
  </si>
  <si>
    <t>CHIN J OCEANOL LIMN</t>
  </si>
  <si>
    <t>Chin. J. Oceanol. Limnol.</t>
  </si>
  <si>
    <t>10.1007/s00343-015-4064-3</t>
  </si>
  <si>
    <t>CH2YL</t>
  </si>
  <si>
    <t>WOS:000353891400026</t>
  </si>
  <si>
    <t>Roach, CJ; Phillips, HE; Bindoff, NL; Rintoul, SR</t>
  </si>
  <si>
    <t>Roach, Christopher J.; Phillips, Helen E.; Bindoff, Nathaniel L.; Rintoul, Stephen R.</t>
  </si>
  <si>
    <t>Detecting and Characterizing Ekman Currents in the Southern Ocean</t>
  </si>
  <si>
    <t>JOURNAL OF PHYSICAL OCEANOGRAPHY</t>
  </si>
  <si>
    <t>MIXED-LAYER; PACIFIC; TRANSPORT; BALANCE; MODELS; DRIFT; FLOW</t>
  </si>
  <si>
    <t>This study presents a unique array of velocity profiles from Electromagnetic Autonomous Profiling Explorer (EM-APEX) profiling floats in the Antarctic Circumpolar Current (ACC) north of Kerguelen. The authors use these profiles to examine the nature of Ekman spirals, formed by the action of thewind on the ocean's surface, in light of Ekman's classical linear theory and more recent enhancements. Vertical decay scales of the Ekman spirals were estimated independently from current amplitude and rotation. Assuming a vertically uniform geostrophic current, decay scales from the Ekman current heading were twice as large as those from the current speed decay, indicating a compressed spiral, consistent with prior observations and violating the classical theory. However, if geostrophic shear is accurately removed, the observed Ekman spiral is as predicted by classical theory and decay scales estimated from amplitude decay and rotation converge toward a common value. No statistically robust relationship is found between stratification and Ekman decay scales. The results indicate that compressed spirals observed in the Southern Ocean arise from aliasing of depth-varying geostrophic currents into the Ekman spiral, as opposed to surface trapping of Ekman currents associated with stratification, and extends the geographical area of similar results from Drake Passage (Polton et al. 2013). Accounting for this effect, the authors find that constant viscosity Ekman models offer a reasonable description of momentum mixing into the upper ocean in the ACC north of Kerguelen. These results demonstrate the effectiveness of a new method and provide additional evidence that the same processes are active for the entire Southern Ocean.</t>
  </si>
  <si>
    <t>[Roach, Christopher J.] Florida State Univ, Inst Geophys Fluid Dynam, Tallahassee, FL 32306 USA; [Phillips, Helen E.; Bindoff, Nathaniel L.] Univ Tasmania, Inst Marine &amp; Antarctic Studies, Hobart, Tas, Australia; [Phillips, Helen E.; Bindoff, Nathaniel L.] ARC Ctr Excellence Climate Syst Sci, Hobart, Tas, Australia; [Bindoff, Nathaniel L.] Antarctic Climate Ecosyst Cooperat Res Ctr, Hobart, Tas, Australia; [Bindoff, Nathaniel L.; Rintoul, Stephen R.] CSIRO Marine &amp; Atmospher Res, Hobart, Tas, Australia; [Rintoul, Stephen R.] Univ Tasmania, Antarctic Climate Ecosyst Cooperat Res Ctr, Hobart, Tas, Australia</t>
  </si>
  <si>
    <t>State University System of Florida; Florida State University; University of Tasmania; ARC Centre of Excellence for Climate System Science; Antarctic Climate &amp; Ecosystems Cooperative Research Centre (ACE CRC); Commonwealth Scientific &amp; Industrial Research Organisation (CSIRO); University of Tasmania; Antarctic Climate &amp; Ecosystems Cooperative Research Centre (ACE CRC)</t>
  </si>
  <si>
    <t>Roach, CJ (corresponding author), Florida State Univ, Inst Geophys Fluid Dynam, 018 Keen Bldg, Tallahassee, FL 32306 USA.</t>
  </si>
  <si>
    <t>croach@fsu.edu</t>
  </si>
  <si>
    <t>Rintoul, Stephen R/A-1471-2012; Bindoff, Nathaniel Lee/C-8050-2011; Bindoff, Nathaniel Lee/IVV-0333-2023; Phillips, Helen/I-3761-2013</t>
  </si>
  <si>
    <t>Rintoul, Stephen R/0000-0002-7055-9876; Bindoff, Nathaniel Lee/0000-0001-5662-9519; Bindoff, Nathaniel Lee/0000-0001-5662-9519; Phillips, Helen/0000-0002-2941-7577</t>
  </si>
  <si>
    <t>CSIRO-University of Tasmania Quantitative Marine Science programme; CSIRO Office of the Chief Executive Postgraduate Scholarship; Australian Research Council [DP0877098]; Antarctic Science Program [3002, 3228]; Australian Research Council [DP0877098] Funding Source: Australian Research Council</t>
  </si>
  <si>
    <t>CSIRO-University of Tasmania Quantitative Marine Science programme; CSIRO Office of the Chief Executive Postgraduate Scholarship; Australian Research Council(Australian Research Council); Antarctic Science Program; Australian Research Council(Australian Research Council)</t>
  </si>
  <si>
    <t>We thank the scientists and crew involved in the Southern Ocean FINE-structure project. We thank Yueng Lenn and Shane Elipot for valuable discussions. We also thank the three reviewers whose comments improved this paper. C. J. R. was supported by the CSIRO-University of Tasmania Quantitative Marine Science programme and the CSIRO Office of the Chief Executive Postgraduate Scholarship. Funding for the Australian contribution to SOFINE was provided by the Australian Research Council (DP0877098) and the Antarctic Science Program (Projects 3002 and 3228).</t>
  </si>
  <si>
    <t>0022-3670</t>
  </si>
  <si>
    <t>1520-0485</t>
  </si>
  <si>
    <t>J PHYS OCEANOGR</t>
  </si>
  <si>
    <t>J. Phys. Oceanogr.</t>
  </si>
  <si>
    <t>10.1175/JPO-D-14-0115.1</t>
  </si>
  <si>
    <t>CH9QK</t>
  </si>
  <si>
    <t>Green Accepted, hybrid, Green Submitted</t>
  </si>
  <si>
    <t>WOS:000354370700001</t>
  </si>
  <si>
    <t>Bond, AL; Robertson, GJ; Lavers, JL; Hobson, KA; Ryan, PC</t>
  </si>
  <si>
    <t>Bond, Alexander L.; Robertson, Gregory J.; Lavers, Jennifer L.; Hobson, Keith A.; Ryan, Pierre C.</t>
  </si>
  <si>
    <t>Trace element concentrations in harvested auks from Newfoundland: Toxicological risk of a traditional hunt</t>
  </si>
  <si>
    <t>ECOTOXICOLOGY AND ENVIRONMENTAL SAFETY</t>
  </si>
  <si>
    <t>Alca torda; Murre; Razorbill; Trace elements; Uria</t>
  </si>
  <si>
    <t>LEAD SHOT; MARINE BIRDS; SOUTHEASTERN NEWFOUNDLAND; STABLE-ISOTOPE; HUMAN EXPOSURE; URIA-LOMVIA; WINTER DIET; GRAND BANK; CONTAMINANTS; MERCURY</t>
  </si>
  <si>
    <t>Common (Uria aalge) and Thick-billed Murres (Uria lomvia) are apex predators in the North Atlantic Ocean, and are also subject to a traditional hunt in Newfoundland and Labrador during the winter months, along with small numbers of illegally harvested Razorbills (Alca torda). Because of their high trophic position, auks are at risk from high contaminant burdens that bioaccumulate and biomagnify, and could therefore pose a toxicological risk to human consumers. We analysed trace element concentrations from breast muscle of 51 auks collected off Newfoundland in the 2011-2012 hunting season. There were few differences in contaminant concentrations among species. In total, 14 (27%) exceeded Health Canada or international guidelines for arsenic, lead, or cadmium; none exceeded guidelines for mercury. Cadmium concentrations &gt;0.05 mu g/g have persisted in Newfoundland murres for the last 25 years. We urge the integration of this consumptive harvest for high-trophic marine predators into periodic human health risk assessments. (c) 2015 Elsevier Inc. All rights reserved.</t>
  </si>
  <si>
    <t>[Bond, Alexander L.] Univ Saskatchewan, Dept Biol, Saskatoon, SK S7N 5E2, Canada; [Bond, Alexander L.; Hobson, Keith A.] Environm Canada, Saskatoon, SK S7N 3H5, Canada; [Robertson, Gregory J.] Environm Canada, Mt Pearl, NF A1N 4T3, Canada; [Lavers, Jennifer L.] Univ Tasmania, Inst Marine &amp; Antarctic Studies, Hobart, Tas 7004, Australia; [Ryan, Pierre C.] Canadian Wildlife Serv, Mt Pearl, NF A1N 4T3, Canada</t>
  </si>
  <si>
    <t>University of Saskatchewan; Environment &amp; Climate Change Canada; Environment &amp; Climate Change Canada; University of Tasmania; Environment &amp; Climate Change Canada; Canadian Wildlife Service</t>
  </si>
  <si>
    <t>Bond, AL (corresponding author), Royal Soc Protect Birds, RSPB Ctr Conservat Sci, Sandy SG19 2DL, Beds, England.</t>
  </si>
  <si>
    <t>alex.bond@rspb.org.uk</t>
  </si>
  <si>
    <t>Bond, Alexander L/A-3786-2010; Robertson, Greg/AAI-5849-2020; Lavers, Jennifer/O-4831-2017; Lavers, Jennifer/IWM-5417-2023; Hobson, Keith/Q-9306-2019</t>
  </si>
  <si>
    <t>Robertson, Greg/0000-0001-8452-5506; Lavers, Jennifer/0000-0001-7596-6588; Bond, Alexander/0000-0003-2125-7238</t>
  </si>
  <si>
    <t>Trading Consultants, Ltd.; Natural Sciences and Engineering Research Council of Canada; Environment Canada</t>
  </si>
  <si>
    <t>Trading Consultants, Ltd.; Natural Sciences and Engineering Research Council of Canada(Natural Sciences and Engineering Research Council of Canada (NSERC)CGIAR); Environment Canada(CGIAR)</t>
  </si>
  <si>
    <t>We thank the turr hunters around Newfoundland who helped facilitate the collection of birds, V. Damphousse, M. McCloskey, T. Noah, J. Provencher, and C. Robert for assisting with sample preparation, and L. Hewa, A. Mercer, and D. Pine-Hay for helping with laboratory analyses. K. Tucker provided the confiscated Razorbills, and B. Braune kindly provided data on previous analyses of contaminants in murres. Birds were collected under permit from the Canadian Wildlife Service-Atlantic Region (ST-2772), and authorized by the University of Saskatchewan Animal Research Ethics Board (protocol 20110130). V. Wellington (Trading Consultants, Ltd.), the Natural Sciences and Engineering Research Council of Canada, and Environment Canada provided funding for this research. This manuscript was improved by comments from P. Johansen, and three anonymous reviewers.</t>
  </si>
  <si>
    <t>0147-6513</t>
  </si>
  <si>
    <t>1090-2414</t>
  </si>
  <si>
    <t>ECOTOX ENVIRON SAFE</t>
  </si>
  <si>
    <t>Ecotox. Environ. Safe.</t>
  </si>
  <si>
    <t>10.1016/j.ecoenv.2015.01.029</t>
  </si>
  <si>
    <t>Environmental Sciences; Toxicology</t>
  </si>
  <si>
    <t>Environmental Sciences &amp; Ecology; Toxicology</t>
  </si>
  <si>
    <t>CG1YX</t>
  </si>
  <si>
    <t>WOS:000353073200001</t>
  </si>
  <si>
    <t>Pitulko, VV; Ivanova, VV; Kasparov, AK; Pavlova, EY</t>
  </si>
  <si>
    <t>Pitulko, Vladimir V.; Ivanova, Varvara V.; Kasparov, Aleksei K.; Pavlova, Elena Y.</t>
  </si>
  <si>
    <t>Reconstructing prey selection, hunting strategy and seasonality of the early Holocene frozen site in the Siberian High Arctic: A case study on the Zhokhov site faunal remains, De Long Islands</t>
  </si>
  <si>
    <t>ENVIRONMENTAL ARCHAEOLOGY</t>
  </si>
  <si>
    <t>Early Holocene; Stone Age; Arctic; Archaeozoology; Subsistence cycle; Seasonality</t>
  </si>
  <si>
    <t>HUNTERS</t>
  </si>
  <si>
    <t>The Zhokhov site is one of the northern most archaeological sites in the world and a very ancient vestige of occupation of high latitudes by people, indicating that this territory was settled as early as about 8000 years ago. Investigation of the site began in 1989-1990 and then continued in 2000-2005. Here we consider the taphonomy, spatial distribution, species and age-and sex-related composition of the faunal remains from the Zhokhov site. These data allow conclusions regarding the subsistence strategy practiced by Zhokhov inhabitants, including the hunting tactics. This was a peculiar adaptation model based on reindeer and polar bear hunting in a 2:1 ratio. Reindeer hunting was all-seasonal, whereas polar bears were hunted mostly in winters at their dens. Mortality data for reindeer and polar bears depict the yearly subsistence cycle. The Zhokhov site is found to be a base camp occupied year-round with modest summer activities, while wintertime is characterised by intense polar bear hunting. Most reindeer were hunted in the fall. Subsistence strategy of the Zhokhov hunters was largely facilitated by the fact that at the time of occupation Zhokhov Island was still part of the coastal Siberian plain margin.</t>
  </si>
  <si>
    <t>[Pitulko, Vladimir V.; Kasparov, Aleksei K.] Russian Acad Sci, Inst Hist Mat Culture, St Petersburg 191186, Russia; [Ivanova, Varvara V.] All Russian Res Inst Geol &amp; Mineral Resources Wor, VNIIOkeangeol Res Inst, St Petersburg, Russia; [Pavlova, Elena Y.] Arctic &amp; Antarctic Res Inst, St Petersburg 199226, Russia</t>
  </si>
  <si>
    <t>Russian Academy of Sciences; St. Petersburg Scientific Centre of the Russian Academy of Sciences; Institute for the History of Material Culture, Russian Academy of Sciences; A.P. Karpinsky Russian Geological Research Institute (VSEGEI); Arctic &amp; Antarctic Research Institute</t>
  </si>
  <si>
    <t>Pitulko, VV (corresponding author), Russian Acad Sci, Inst Hist Mat Culture, 18 Dvortsovaya Nab, St Petersburg 191186, Russia.</t>
  </si>
  <si>
    <t>Pitulko, Vladimir/N-4009-2019; Ivanova, Varvara V/R-6400-2016; Pitulko, Vladimir/E-2200-2015; Pavlova, Elena/AAA-3291-2019</t>
  </si>
  <si>
    <t>Pitulko, Vladimir/0000-0001-5672-2756; Kasparov, Aleksei/0000-0001-7761-9301; Ivanova, Varvara/0000-0002-7614-660X; Pavlova, Elena/0000-0002-3010-6290</t>
  </si>
  <si>
    <t>1461-4103</t>
  </si>
  <si>
    <t>1749-6314</t>
  </si>
  <si>
    <t>ENVIRON ARCHAEOL</t>
  </si>
  <si>
    <t>Environ. Archaeol.</t>
  </si>
  <si>
    <t>10.1179/1749631414Y.0000000040</t>
  </si>
  <si>
    <t>Archaeology; Environmental Sciences; Geosciences, Multidisciplinary</t>
  </si>
  <si>
    <t>Archaeology; Environmental Sciences &amp; Ecology; Geology</t>
  </si>
  <si>
    <t>CG8UR</t>
  </si>
  <si>
    <t>WOS:000353590200002</t>
  </si>
  <si>
    <t>Nemirovskaya, IA; Kravchishina, MD</t>
  </si>
  <si>
    <t>Nemirovskaya, I. A.; Kravchishina, M. D.</t>
  </si>
  <si>
    <t>Biogeochemical Features of the Distribution of Organic Compounds and Particulate matter in the Snow-Ice Cover in East Antarctica</t>
  </si>
  <si>
    <t>GEOCHEMISTRY INTERNATIONAL</t>
  </si>
  <si>
    <t>Antarctica; snow; coastal ice; suspended particulate matter; organic carbon; chlorophyll; lipids; hydrocarbons; hydrogen sulfide</t>
  </si>
  <si>
    <t>SEA; PIGMENTS; SOUTHERN</t>
  </si>
  <si>
    <t>The distribution of particulate organic carbon C-org (bulk contents of organic compounds), chlorophyll a, lipids, and hydrocarbons (in dissolved and particulate forms), as well as particulate matter in snow, ice, and under-ice water was analyzed in the coastal areas of the Community and Lazarev seas (March-April, 2010, 2012). The differences in the accumulation of the studied compounds depend on the physical conditions of the ice formation and biogeochemical processes at the snow-ice and ice-water interfaces. The H2S contamination in association with extremely high contents of the studied organic compounds was established for the first time in the lower succession of multiyear ice, beneath a thick firn layer. It was shown that the conditions of formation of snow-ice cover define the vertical distribution of not only physical but also biogeochemical parameters.</t>
  </si>
  <si>
    <t>[Nemirovskaya, I. A.; Kravchishina, M. D.] Russian Acad Sci, Shirshov Inst Oceanol, Moscow 117997, Russia</t>
  </si>
  <si>
    <t>Russian Academy of Sciences; Shirshov Institute of Oceanology</t>
  </si>
  <si>
    <t>Nemirovskaya, IA (corresponding author), Russian Acad Sci, Shirshov Inst Oceanol, Nakhimovskii Prosp 36, Moscow 117997, Russia.</t>
  </si>
  <si>
    <t>nemir@ocean.ru; kravchishina@ocean.ru</t>
  </si>
  <si>
    <t>Kravchishina, Marina/B-3741-2017; Nemirovskaya, Inna/G-2392-2017</t>
  </si>
  <si>
    <t>Kravchishina, Marina/0000-0001-9967-2891;</t>
  </si>
  <si>
    <t>Russian Antarctic Expedition of the Arctic and Antarctic Research Institute; Russian Foundation for Basic Research [14-05-00223-a]; Presidium of the Russian Academy of Sciences [23]; Russian Federation President Program Leading Scientific Schools of Russia [NSh-2493.2014.5]; Earth's Science Division of the Russian Academy of Sciences [5]</t>
  </si>
  <si>
    <t>Russian Antarctic Expedition of the Arctic and Antarctic Research Institute; Russian Foundation for Basic Research(Russian Foundation for Basic Research (RFBR)Spanish Government); Presidium of the Russian Academy of Sciences(Russian Academy of Sciences); Russian Federation President Program Leading Scientific Schools of Russia; Earth's Science Division of the Russian Academy of Sciences</t>
  </si>
  <si>
    <t>This work was supported by the Russian Antarctic Expedition of the Arctic and Antarctic Research Institute, Russian Foundation for Basic Research (project no. 14-05-00223-a), Presidium of the Russian Academy of Sciences (project no. 23), the Russian Federation President Program Leading Scientific Schools of Russia (project no. NSh-2493.2014.5), and by the Earth's Science Division of the Russian Academy of Sciences (project no. 5 Nanoparticles in the inner and outer spheres of the Earth).</t>
  </si>
  <si>
    <t>MAIK NAUKA/INTERPERIODICA/SPRINGER</t>
  </si>
  <si>
    <t>233 SPRING ST, NEW YORK, NY 10013-1578 USA</t>
  </si>
  <si>
    <t>0016-7029</t>
  </si>
  <si>
    <t>1556-1968</t>
  </si>
  <si>
    <t>GEOCHEM INT+</t>
  </si>
  <si>
    <t>Geochem. Int.</t>
  </si>
  <si>
    <t>10.1134/S0016702915030106</t>
  </si>
  <si>
    <t>CH4UQ</t>
  </si>
  <si>
    <t>WOS:000354028800003</t>
  </si>
  <si>
    <t>Fyke, JG; D'Orgeville, M; Weaver, AJ</t>
  </si>
  <si>
    <t>Fyke, Jeremy G.; D'Orgeville, Marc; Weaver, Andrew J.</t>
  </si>
  <si>
    <t>Drake Passage and Central American Seaway controls on the distribution of the oceanic carbon reservoir</t>
  </si>
  <si>
    <t>GLOBAL AND PLANETARY CHANGE</t>
  </si>
  <si>
    <t>Carbon cycle; Ocean gateways; Oceanography</t>
  </si>
  <si>
    <t>ANTARCTIC CIRCUMPOLAR CURRENT; PANAMA UPLIFT; CIRCULATION; ATLANTIC; MODEL; CLIMATOLOGY; SENSITIVITY; PACIFIC; ISTHMUS; CLOSURE</t>
  </si>
  <si>
    <t>A coupled carbon/climate model is used to explore the impact of Drake Passage opening and Central American Seaway closure on the distribution of carbon in the global oceans. We find that gateway evolution likely played an important role in setting the modern day distribution of oceanic dissolved inorganic carbon (DIC), which is currently characterized by relatively low concentrations in the Atlantic Ocean, and high concentrations in the Southern, Indian, and Pacific oceans. In agreement with previous studies, we find a closed Drake Passage in the presence of an open Central American Seaway results in suppressed Atlantic meridional overturning and enhanced southern hemispheric deep convection. Opening of the Drake Passage triggers Antarctic Circumpolar Current flow and a weak Atlantic meridional overturning circulation (AMOC). Subsequent Central American Seaway closure reinforces the AMOC while also stagnating equatorial Pacific subsurface waters. These gateway-derived oceanographic changes are reflected in large shifts to the global distribution of DIC. An initially closed Drake Passage results in high DIC concentrations in the Atlantic and Arctic oceans, and lower DIC concentrations in the Pacific/Indian/Southern oceans. Opening Drake Passage reverses this gradient by lowering mid-depth Atlantic and Arctic DIC concentrations and raising deep Pacific/Indian/Southern Ocean DIC concentrations. Central American Seaway closure further reinforces this trend through additional Atlantic mid-depth DIC decreases, as well as Pacific mid-depth DIC concentration increases, with the net effect being a transition to a modern distribution of oceanic DIC Published by Elsevier B.V.</t>
  </si>
  <si>
    <t>[Fyke, Jeremy G.] Los Alamos Natl Lab, Div Theoret, Los Alamos, NM 87545 USA; [D'Orgeville, Marc] Univ Toronto, Dept Phys, Toronto, ON M5S 1A1, Canada; [Weaver, Andrew J.] Univ Victoria, Sch Earth &amp; Ocean Sci, Victoria, BC V8W 2Y2, Canada</t>
  </si>
  <si>
    <t>United States Department of Energy (DOE); Los Alamos National Laboratory; University of Toronto; University of Victoria</t>
  </si>
  <si>
    <t>Fyke, JG (corresponding author), Los Alamos Natl Lab, Div Theoret, Los Alamos, NM 87545 USA.</t>
  </si>
  <si>
    <t>fyke@lanl.gov</t>
  </si>
  <si>
    <t>Weaver, Andrew J/E-7590-2011</t>
  </si>
  <si>
    <t>Weaver, Andrew J/0000-0001-8919-3598</t>
  </si>
  <si>
    <t>0921-8181</t>
  </si>
  <si>
    <t>1872-6364</t>
  </si>
  <si>
    <t>GLOBAL PLANET CHANGE</t>
  </si>
  <si>
    <t>Glob. Planet. Change</t>
  </si>
  <si>
    <t>10.1016/j.gloplacha.2015.02.011</t>
  </si>
  <si>
    <t>CH2JY</t>
  </si>
  <si>
    <t>WOS:000353852700007</t>
  </si>
  <si>
    <t>Justino, F; Silva, AS; Pereira, MP; Stordal, F; Lindemann, D; Kucharski, F</t>
  </si>
  <si>
    <t>Justino, F.; Silva, A. S.; Pereira, M. P.; Stordal, F.; Lindemann, D.; Kucharski, F.</t>
  </si>
  <si>
    <t>The large-scale climate in response to the retreat of the West Antarctic ice sheet (vol 28, pg 637, 2015)</t>
  </si>
  <si>
    <t>Correction</t>
  </si>
  <si>
    <t>[Justino, F.; Silva, A. S.; Lindemann, D.] Univ Fed Vicosa, Dept Agr Engn, BR-36570000 Vicosa, MG, Brazil; [Stordal, F.] Univ Oslo, Ctr Earth Evolut &amp; Dynam, Dept Geosci, Oslo, Norway; [Kucharski, F.] Abdus Salam Int Ctr Theoret Phys, Trieste, Italy</t>
  </si>
  <si>
    <t>Universidade Federal de Vicosa; University of Oslo; Abdus Salam International Centre for Theoretical Physics (ICTP)</t>
  </si>
  <si>
    <t>Justino, F (corresponding author), Univ Fed Vicosa, Dept Agr Engn, Ave Peter Henry Rolfs S-N, BR-36570000 Vicosa, MG, Brazil.</t>
  </si>
  <si>
    <t>fjustino@ufv.br</t>
  </si>
  <si>
    <t>Silva-Júnior, Abelardo/ABE-4786-2021; Kucharski, Fred/HKV-9960-2023; Flavio, Justino/AAT-2037-2020</t>
  </si>
  <si>
    <t>Silva-Júnior, Abelardo/0000-0002-9379-1686;</t>
  </si>
  <si>
    <t>10.1175/JCLI-D-15-0157.1</t>
  </si>
  <si>
    <t>CH2EJ</t>
  </si>
  <si>
    <t>hybrid</t>
  </si>
  <si>
    <t>WOS:000353838200028</t>
  </si>
  <si>
    <t>Jung, JH; Park, KM; Min, GS</t>
  </si>
  <si>
    <t>Jung, Jae-Ho; Park, Kyung-Min; Min, Gi-Sik</t>
  </si>
  <si>
    <t>Morphology and Molecular Phylogeny of Pseudocyrtohymena koreana n. g., n. sp and Antarctic Neokeronopsis asiatica Foissner et al., 2010 (Ciliophora, Sporadotrichida), with a Brief Discussion of the Cyrtohymena Undulating Membranes Pattern</t>
  </si>
  <si>
    <t>JOURNAL OF EUKARYOTIC MICROBIOLOGY</t>
  </si>
  <si>
    <t>Brackish water ciliate; King George Island; new genus; South Korea</t>
  </si>
  <si>
    <t>NOV SPEC. CILIOPHORA; FRESH-WATER CILIATE; RNA GENE-SEQUENCES; HYPOTRICHOUS CILIATE; STYLONYCHIA-MYTILUS; FLAGSHIP CILIATE; SPECTABILIS KAHL; SOIL CILIATE; SPIROTRICHEA; MORPHOGENESIS</t>
  </si>
  <si>
    <t>We discovered a new brackish water oxytrichid Pseudocyrtohymena koreana n. g., n. sp. in South Korea and investigated the new species on the basis of morphology, ontogenesis, and 18S rRNA gene sequences. The new genus has the 18 frontal-ventral-transverse cirri of typical oxytrichids with flexible body, cortical granules, Cyrtohymena undulating membranes (UM), and one left and one right marginal cirral row. Ontogenesis of the new species indicated that dorsal kinety anlage 3 stretches within the parental row without any fragmentations (Urosomoida pattern) and exclusively forms all caudal cirri. The new genus is morphologically similar to Cyrtohymena Foissner, 1989, but has the following distinctive features: (i) caudal cirri absent in dorsal kineties 1 and 2 (vs. present in Cyrtohymena); and (ii) dorsal kinety 3 nonfragmented (vs. fragmented in Cyrtohymena). Further, we collected an additional species Neokeronopsis asiatica Foissner etal. 2010, from King George Island, Antarctica, and the species shares the morphology of UM with Cyrtohymena. Herein, we describe the previously unidentified characteristics of N. asiatica (i.e., cortical granules, body flexibility, contractile vacuole, and 18S rRNA gene sequence). In addition, we obtained two 18S rRNA gene sequences from Cyrtohymena muscorum and Parasterkiella thompsoni to expand samples for phylogenetic analysis. Our 18S rRNA gene tree supports the hypothesis that the Cyrtohymena UM pattern might have evolved several times in hypotrichs (e.g., Neokeronopsidae, Oxytrichinae, and Stylonychinae).</t>
  </si>
  <si>
    <t>[Jung, Jae-Ho; Park, Kyung-Min; Min, Gi-Sik] Inha Univ, Dept Biol Sci, Inchon 402751, South Korea</t>
  </si>
  <si>
    <t>Inha University</t>
  </si>
  <si>
    <t>Min, GS (corresponding author), Inha Univ, Dept Biol Sci, Inchon 402751, South Korea.</t>
  </si>
  <si>
    <t>mingisik@inha.ac.kr</t>
  </si>
  <si>
    <t>Jung, Jae-Ho/L-2849-2016</t>
  </si>
  <si>
    <t>Jung, Jae-Ho/0000-0001-5497-8678</t>
  </si>
  <si>
    <t>Korea Institute of Ocean Science and Technology (KIOST) [PE99193]; program on Management of Marine Organisms causing Ecological Disturbance and Harmful Effects - KIMST/MOF; National Institute of Biological Resources (NIBR) of the Ministry of Environment, Korea; Graduate Program for the Undiscovered Taxa of Korea [1834-302]</t>
  </si>
  <si>
    <t>Korea Institute of Ocean Science and Technology (KIOST); program on Management of Marine Organisms causing Ecological Disturbance and Harmful Effects - KIMST/MOF(Korea Institute of Marine Science &amp; Technology Promotion (KIMST)Ministry of Oceans &amp; Fisheries (MOF), Republic of Korea); National Institute of Biological Resources (NIBR) of the Ministry of Environment, Korea(Ministry of Environment (ME), Republic of Korea); Graduate Program for the Undiscovered Taxa of Korea</t>
  </si>
  <si>
    <t>This study was supported by research grants PE99193 from the Korea Institute of Ocean Science and Technology (KIOST), the program on Management of Marine Organisms causing Ecological Disturbance and Harmful Effects funded by KIMST/MOF, and the National Institute of Biological Resources (NIBR) of the Ministry of Environment, Korea, as a part of the Discovery of Korean Indigenous Species Project 2013, and Graduate Program for the Undiscovered Taxa of Korea (1834-302).</t>
  </si>
  <si>
    <t>1066-5234</t>
  </si>
  <si>
    <t>1550-7408</t>
  </si>
  <si>
    <t>J EUKARYOT MICROBIOL</t>
  </si>
  <si>
    <t>J. Eukaryot. Microbiol.</t>
  </si>
  <si>
    <t>10.1111/jeu.12179</t>
  </si>
  <si>
    <t>CG8IQ</t>
  </si>
  <si>
    <t>WOS:000353551300002</t>
  </si>
  <si>
    <t>Batchelor, CL; Dowdeswell, JA</t>
  </si>
  <si>
    <t>Batchelor, C. L.; Dowdeswell, J. A.</t>
  </si>
  <si>
    <t>Ice-sheet grounding-zone wedges (GZWs) on high-latitude continental margins</t>
  </si>
  <si>
    <t>MARINE GEOLOGY</t>
  </si>
  <si>
    <t>Grounding-zone wedges; Palaeo-ice streams; Cross-shelf troughs; Seismic reflection; Pinning points; Ice shelves</t>
  </si>
  <si>
    <t>LAST GLACIAL MAXIMUM; TROUGH-MOUTH FANS; PLEISTOCENE-HOLOCENE RETREAT; ANTARCTIC PENINSULA REGION; SUBMARINE END-MORAINES; MID-NORWEGIAN MARGIN; CROSS-SHELF TROUGH; PINE ISLAND BAY; ROSS SEA; STREAM-B</t>
  </si>
  <si>
    <t>Grounding-zone wedges (GZWs) are asymmetric sedimentary depocentres which form through the rapid accumulation of glacigenic debris along a line-source at the grounding zone of marine-terminating ice sheets during still-stands in ice-sheet retreat. GZWs form largely through the delivery of deforming subglacial sediments. The presence of GZWs in the geological record indicates an episodic style of ice retreat punctuated by still-stands in grounding-zone position. Moraine ridges and ice-proximal fans may also build up at the grounding zone during still-stands of the ice margin, but these require either considerable vertical accommodation space or sediment derived from point-sourced subglacial meltwater streams. By contrast, GZWs form mainly where floating ice shelves constrain vertical accommodation space immediately beyond the grounding-zone. An inventory of GZWs is compiled from available studies of bathymetric and acoustic data from high-latitude continental margins. The locations and dimensions of GZWs from the Arctic and Antarctic, alongside a synthesis of their key architectural and geomorphic characteristics, are presented. GZWs are only observed within cross-shelf troughs and major fjord systems, which are the former locations of ice streams and fast-flowing outlet glaciers. Typical high-latitude GZWs are less than 15 km in along-flow direction and 15 to 100 m thick. GZWs possess a transparent to chaotic acoustic character, which reflects the delivery of diamictic subglacial debris. Many GZWs contain seaward-dipping reflections, which indicate sediment progradation and wedge-growth through continued delivery of basal sediments. GZW formation is inferred to require high rates of sediment delivery to a fast-flowing ice margin that is relatively stable for probably decades to centuries. Although the long-term stability of the grounding zone is controlled by ice-sheet mass balance, the precise location of any still-stands is influenced strongly by the geometry of the continental shelf. The majority of high-latitude GZWs occur at vertical or lateral pinning points, which encourage grounding-zone stabilisation through increasing basal and lateral drag and reducing mass flow across the grounding zone. (C) 2015 Elsevier B.V. All rights reserved.</t>
  </si>
  <si>
    <t>[Batchelor, C. L.; Dowdeswell, J. A.] Univ Cambridge, Scott Polar Res Inst, Cambridge CB2 1ER, England</t>
  </si>
  <si>
    <t>University of Cambridge</t>
  </si>
  <si>
    <t>Batchelor, CL (corresponding author), Univ Cambridge, Scott Polar Res Inst, Cambridge CB2 1ER, England.</t>
  </si>
  <si>
    <t>clb70@cam.ac.uk</t>
  </si>
  <si>
    <t>Batchelor, Christine/JCN-7543-2023</t>
  </si>
  <si>
    <t>Batchelor, Christine/0000-0002-6421-701X; Dowdeswell, Julian/0000-0003-1369-9482</t>
  </si>
  <si>
    <t>0025-3227</t>
  </si>
  <si>
    <t>1872-6151</t>
  </si>
  <si>
    <t>MAR GEOL</t>
  </si>
  <si>
    <t>Mar. Geol.</t>
  </si>
  <si>
    <t>10.1016/j.margeo.2015.02.001</t>
  </si>
  <si>
    <t>CH0TN</t>
  </si>
  <si>
    <t>WOS:000353735400005</t>
  </si>
  <si>
    <t>Syal, MB; Schultz, PH; Riner, MA</t>
  </si>
  <si>
    <t>Syal, Megan Bruck; Schultz, Peter H.; Riner, Miriam A.</t>
  </si>
  <si>
    <t>Darkening of Mercury's surface by cometary carbon</t>
  </si>
  <si>
    <t>NATURE GEOSCIENCE</t>
  </si>
  <si>
    <t>MAJOR-ELEMENT COMPOSITION; INTERPLANETARY DUST; ANTARCTIC SNOW; 81P/WILD-2; MICROMETEORITES; REFLECTANCE; PARTICLES; MESSENGER; DEPOSITS; WATER</t>
  </si>
  <si>
    <t>Mercury's surface is darker than that of the Moon(1,2). Ironbearing minerals and submicroscopic metallic iron produced by space weathering are the primary known darkening materials on airless bodies. Yet Mercury's iron abundance at the surface is lower than the Moon's(3,4); another material is therefore likely to be responsible for Mercury's dark surface(1,2,5-8). Enhanced darkening by submicroscopic metallic iron particles under intense space weathering at Mercury's surface(9-12) is insufficient to reconcile the planet's low reflectance with its low iron abundance(12). Here we show that the delivery of cometary carbon by micrometeorites provides a mechanism to darken Mercury's surface without violating observational constraints on iron content. We calculate the micrometeorite flux at Mercury and numerically simulate the fraction of carbonaceous material retained by the planet following micrometeorite impacts. We estimate that 50 times as many carbon-rich micrometeorites per unit surface area are delivered to Mercury, compared with the Moon, resulting in approximately 3-6 wt% carbon at Mercury's surface (in graphite, amorphous, or nanodiamond form). Spectroscopic analysis of products of hypervelocity impact experiments demonstrates that the incorporation of carbon effectively darkens and weakens spectral features, consistent with remote observations of Mercury(1,2,5-8,12). Carbon delivery by micrometeorites provides an explanation for Mercury's globally low reflectance and may contribute to the darkening of planetary surfaces elsewhere.</t>
  </si>
  <si>
    <t>[Syal, Megan Bruck] Lawrence Livermore Natl Lab, Livermore, CA 94551 USA; [Schultz, Peter H.] Brown Univ, Dept Earth Environm &amp; Planetary Sci, Providence, RI 02912 USA; [Riner, Miriam A.] Planetary Sci Inst, Tucson, AZ 85719 USA</t>
  </si>
  <si>
    <t>United States Department of Energy (DOE); Lawrence Livermore National Laboratory; Brown University</t>
  </si>
  <si>
    <t>Syal, MB (corresponding author), Lawrence Livermore Natl Lab, POB 808 L 405, Livermore, CA 94551 USA.</t>
  </si>
  <si>
    <t>syal1@llnl.gov</t>
  </si>
  <si>
    <t>NASA's Planetary Geology &amp; Geophysics program [NNX13AB75G]; NESSF program [NNXC12AL79H]; NASA [NNX13AB75G, 476504] Funding Source: Federal RePORTER</t>
  </si>
  <si>
    <t>NASA's Planetary Geology &amp; Geophysics program(National Aeronautics &amp; Space Administration (NASA)); NESSF program; NASA(National Aeronautics &amp; Space Administration (NASA))</t>
  </si>
  <si>
    <t>This research was supported by NASA's Planetary Geology &amp; Geophysics (NNX13AB75G) and NESSF (NNXC12AL79H) programs. The authors thank T. Daly and T. Hiroi for assistance with sample analysis and gratefully acknowledge the technical team at the Ames Vertical Gun Range for supporting the impact experiments.</t>
  </si>
  <si>
    <t>NATURE PUBLISHING GROUP</t>
  </si>
  <si>
    <t>75 VARICK ST, 9TH FLR, NEW YORK, NY 10013-1917 USA</t>
  </si>
  <si>
    <t>1752-0894</t>
  </si>
  <si>
    <t>1752-0908</t>
  </si>
  <si>
    <t>NAT GEOSCI</t>
  </si>
  <si>
    <t>Nat. Geosci.</t>
  </si>
  <si>
    <t>10.1038/NGEO2397</t>
  </si>
  <si>
    <t>CG9MO</t>
  </si>
  <si>
    <t>WOS:000353640100009</t>
  </si>
  <si>
    <t>de Vries, H; van de Wal, RSW</t>
  </si>
  <si>
    <t>de Vries, Hylke; van de Wal, Roderik S. W.</t>
  </si>
  <si>
    <t>How to interpret expert judgment assessments of 21st century sea-level rise</t>
  </si>
  <si>
    <t>CLIMATIC CHANGE</t>
  </si>
  <si>
    <t>ANTARCTIC ICE-SHEET; OUTLET GLACIERS; FUTURE; CIRCULATION</t>
  </si>
  <si>
    <t>In a recent paper Bamber and Aspinall (Nat Clim Change 3:424-427, 2013) (BA13) investigated the sea-level rise that may result from the Greenland and Antarctic ice sheets during the 21st century. Using data from an expert judgment elicitation, they obtained a final high-end (P95) value of +84 cm integrated sea-level change from the ice sheets for the 2010-2100 period. However, one key message was left largely undiscussed: The experts had strongly diverging opinions about the ice-sheet contributions to sea-level rise. We argue that such (lack of) consensus should form an essential and integral part of the subsequent analysis of the data. By employing a method that keeps the level of consensus included, and that is also more robust to outliers and less dependent on the choice of the underlying distributions, we obtain on the basis of the same data a considerably lower high-end estimate for the ice-sheet contribution, +53 cm (+38-77 cm interquartile range of expert consensus). The method compares favourably with another recent study on expert judgement derived sea-level rise by Horton et al. (Q Sci Rev 84:1-6, 2014). Furthermore we show that the BA13 results are sensitive to a number of assumptions, such as the shape and minimum of the underlying distribution that were not part of the expert elicitation itself. Our analysis therefore demonstrates that one should be careful in considering high-end sea-level rise estimates as being well-determined and fixed numbers.</t>
  </si>
  <si>
    <t>[de Vries, Hylke] Royal Netherlands Meteorol Inst KNMI, De Bilt, Netherlands; [van de Wal, Roderik S. W.] Inst Marine &amp; Atmospher Res Utrecht, Utrecht, Netherlands</t>
  </si>
  <si>
    <t>Royal Netherlands Meteorological Institute; Utrecht University</t>
  </si>
  <si>
    <t>de Vries, H (corresponding author), Royal Netherlands Meteorol Inst KNMI, De Bilt, Netherlands.</t>
  </si>
  <si>
    <t>hylke.de.vries@knmi.nl; r.s.w.vandewal@uu.nl</t>
  </si>
  <si>
    <t>van de wal, roderik/D-1705-2011</t>
  </si>
  <si>
    <t>van de wal, roderik/0000-0003-2543-3892</t>
  </si>
  <si>
    <t>DORDRECHT</t>
  </si>
  <si>
    <t>VAN GODEWIJCKSTRAAT 30, 3311 GZ DORDRECHT, NETHERLANDS</t>
  </si>
  <si>
    <t>0165-0009</t>
  </si>
  <si>
    <t>1573-1480</t>
  </si>
  <si>
    <t>Clim. Change</t>
  </si>
  <si>
    <t>10.1007/s10584-015-1346-x</t>
  </si>
  <si>
    <t>CG7EL</t>
  </si>
  <si>
    <t>WOS:000353465100003</t>
  </si>
  <si>
    <t>van Caspel, M; Schröder, M; Huhn, O; Hellmer, HH</t>
  </si>
  <si>
    <t>van Caspel, M.; Schroeder, M.; Huhn, O.; Hellmer, H. H.</t>
  </si>
  <si>
    <t>Precursors of Antarctic Bottom Water formed on the continental shelf off Larsen Ice Shelf</t>
  </si>
  <si>
    <t>DEEP-SEA RESEARCH PART I-OCEANOGRAPHIC RESEARCH PAPERS</t>
  </si>
  <si>
    <t>Antarctic Bottom Water; Weddell Sea; Larsen Ice Shelf; Formation of Weddell Sea Deep Water</t>
  </si>
  <si>
    <t>WEDDELL SEA DEEP; MULTIPARAMETER ANALYSIS; VARIABILITY; CIRCULATION; EXPORT</t>
  </si>
  <si>
    <t>The dense water flowing out from the Weddell Sea significantly contributes to Antarctic Bottom Water (AABW) and plays an important role in the Meridional Overturning Circulation. The relative importance of the two major source regions, the continental shelves in front of Filchner-Ronne Ice Shelf and Larsen Ice Shelf, however, remains unclear. Several studies focused on the contribution of the Filchner-Ronne Ice Shelf region for the deep and bottom water production within the Weddell Gyre, but the role of the Larsen Ice Shelf region for this process, especially the formation of deep water, remains speculative. Measurements made during the Polarstern cruise ANT XXIX-3 (2013) add evidence to the importance of the source in the western Weddell Sea. Using Optimum Multiparameter analysis we show that the dense water found on the continental shelf in front of the former Larsen A and B together with a very dense water originating from Larsen C increases the thickness and changes the theta/S characteristics of the layer that leaves the Weddell Sea to contribute to AABW. (C) 2015 Elsevier Ltd. All rights reserved.</t>
  </si>
  <si>
    <t>[van Caspel, M.; Schroeder, M.; Hellmer, H. H.] Alfred Wegener Inst, D-27570 Bremerhaven, Germany; [Huhn, O.] Univ Bremen, D-28359 Bremen, Germany</t>
  </si>
  <si>
    <t>Helmholtz Association; Alfred Wegener Institute, Helmholtz Centre for Polar &amp; Marine Research; University of Bremen</t>
  </si>
  <si>
    <t>van Caspel, M (corresponding author), Alfred Wegener Inst, Bussestr 24, D-27570 Bremerhaven, Germany.</t>
  </si>
  <si>
    <t>Mathias.van.Caspel@awi.de; Michael.Schroeder@awi.de; ohuhn@uni-bremen.de; Hartmut.Hellmer@awi.de</t>
  </si>
  <si>
    <t>van Caspel, Mathias/0000-0002-8730-1636; Huhn, Oliver/0000-0003-3626-9135; Hellmer, Hartmut/0000-0002-9357-9853</t>
  </si>
  <si>
    <t>Polarstern Grant [PS 81/3]; CNPq [290034/2011-6]</t>
  </si>
  <si>
    <t>Polarstern Grant; CNPq(Conselho Nacional de Desenvolvimento Cientifico e Tecnologico (CNPQ))</t>
  </si>
  <si>
    <t>We would like to express our gratitude to the officers and crew of RV Polarstern for their efficient assistance during the ANTXXIX/3 cruise. We thank the scientific party for excellent and fruitful cooperation. Special thanks to A. Wisotzki for the outstanding care with the data sampling, for processing the oceanographic data (doi:10.1594/PANGAEA.811818), and the insightful observations during the preliminary data analysis. Thanks to J. Sultenfuss for measuring the noble gas samples, and to D. Thomas for the ISPOL oxygen measurements. The expedition ANT XXIX/3 was financed by Polarstern Grant no. PS 81/3. The first author was supported by CNPq grant 290034/2011-6. The quality of the paper was improved by the suggestions made by two anonymous reviewers.</t>
  </si>
  <si>
    <t>0967-0637</t>
  </si>
  <si>
    <t>1879-0119</t>
  </si>
  <si>
    <t>DEEP-SEA RES PT I</t>
  </si>
  <si>
    <t>Deep-Sea Res. Part I-Oceanogr. Res. Pap.</t>
  </si>
  <si>
    <t>10.1016/j.dsr.2015.01.004</t>
  </si>
  <si>
    <t>CG1BR</t>
  </si>
  <si>
    <t>WOS:000353008500001</t>
  </si>
  <si>
    <t>Zhang, XG</t>
  </si>
  <si>
    <t>Zhang, Xue-Guang</t>
  </si>
  <si>
    <t>SDSS J083253.18+064316.7: one strange object with double-peaked narrow Hα but single-peaked narrow Hβ</t>
  </si>
  <si>
    <t>galaxies: active; galaxies: nuclei; quasars: emission lines; galaxies: Seyfert</t>
  </si>
  <si>
    <t>ACTIVE GALACTIC NUCLEUS; SUPERMASSIVE BLACK-HOLES; X-RAY; EMISSION-LINES; GALAXY; MERGER; AGN; CONSTRAINTS; QUASARS</t>
  </si>
  <si>
    <t>In this Letter, we first report one unique object SDSS J0832+0643 with particular features of narrow Balmer emission lines: double-peaked narrow H alpha but single-peaked narrow H beta. The particular features cannot be expected by currently proposed kinematic models for double-peaked narrow emission lines, because the proposed kinematic models lead to similar line profiles of narrow Balmer emission lines. However, due to radiative transfer effects, the non-kinematic model can be naturally applied to well explain the particular features of narrow Balmer emission lines: larger optical depth in H alpha than 10 leads to observed double-peaked narrow H alpha, but smaller optical depth in H beta around 2 leads to observed single-peaked narrow H beta. Therefore, SDSS J0832+0643 can be used as strong evidence to support the non-kinematic model for double-peaked narrow emission lines.</t>
  </si>
  <si>
    <t>[Zhang, Xue-Guang] Chinese Acad Sci, Purple Mt Observ, Nanjing 210008, Jiangsu, Peoples R China; [Zhang, Xue-Guang] Chinese Ctr Antarctic Astron, Nanjing 210008, Jiangsu, Peoples R China</t>
  </si>
  <si>
    <t>Purple Mountain Observatory, CAS; Chinese Academy of Sciences; Nanjing Institute of Astronomical Optics &amp; Technology, NAOC, CAS</t>
  </si>
  <si>
    <t>Zhang, XG (corresponding author), Chinese Acad Sci, Purple Mt Observ, 2 Beijing XiLu, Nanjing 210008, Jiangsu, Peoples R China.</t>
  </si>
  <si>
    <t>xgzhang@pmo.ac.cn</t>
  </si>
  <si>
    <t>[NSFC-11003043]; [NSFC-11178003]</t>
  </si>
  <si>
    <t>XGZ gratefully acknowledges the anonymous referee for giving us constructive comments and suggestions to greatly improve our Letter. XGZ also acknowledges the kind support from the Chinese grant NSFC-11003043 and NSFC-11178003. This Letter has made use of the data from the SDSS projects. SDSS-IV is managed by the Astrophysical Research Consortium for the Participating Institutions of the SDSS Collaboration including the Carnegie Institution for Science, Carnegie Mellon University, the Chilean Participation Group, Harvard-Smithsonian Center for Astrophysics, Instituto de Astrofisica de Canarias, The Johns Hopkins University, Kavli Institute for the Physics and Mathematics of the Universe (IPMU)/University of Tokyo, Lawrence Berkeley National Laboratory, Leibniz Institut fur Astrophysik Potsdam (AIP), Max-Planck-Institut fur Astrophysik (MPA Garching), Max-Planck-Institut fur Extraterrestrische Physik (MPE), Max-Planck-Institut fur Astronomie (MPIA Heidelberg), National Astronomical Observatory of China, New Mexico State University, New York University, The Ohio State University, Pennsylvania State University, Shanghai Astronomical Observatory, United Kingdom Participation Group, Universidad Nacional Autonoma de Mexico, University of Arizona, University of Colorado Boulder, University of Portsmouth, University of Utah, University of Washington, University of Wisconsin, Vanderbilt University and Yale University.</t>
  </si>
  <si>
    <t>L31</t>
  </si>
  <si>
    <t>L35</t>
  </si>
  <si>
    <t>10.1093/mnrasl/slv014</t>
  </si>
  <si>
    <t>CG8KA</t>
  </si>
  <si>
    <t>WOS:000353555000007</t>
  </si>
  <si>
    <t>Hamilton, S; Baker, GB</t>
  </si>
  <si>
    <t>Hamilton, Sheryl; Baker, G. Barry</t>
  </si>
  <si>
    <t>Review of research and assessments on the efficacy of Sea Lion Exclusion Devices in reducing the incidental mortality of New Zealand sea lions Phocarctos hookeri in the Auckland Islands squid trawl fishery: Reply to Robertson (2015)</t>
  </si>
  <si>
    <t>FISHERIES RESEARCH</t>
  </si>
  <si>
    <t>Letter</t>
  </si>
  <si>
    <t>[Hamilton, Sheryl; Baker, G. Barry] Environm Consultants Pty Ltd, Latitude 42, Kettering, Tas 7155, Australia; [Baker, G. Barry] Univ Tasmania, Inst Marine &amp; Antarctic Studies, Hobart, Tas, Australia</t>
  </si>
  <si>
    <t>University of Tasmania</t>
  </si>
  <si>
    <t>Baker, GB (corresponding author), Environm Consultants Pty Ltd, Latitude 42, 114 Watsons Rd, Kettering, Tas 7155, Australia.</t>
  </si>
  <si>
    <t>barry.baker@latitude42.com.au</t>
  </si>
  <si>
    <t>Baker, G. Barry/0000-0003-4766-8182</t>
  </si>
  <si>
    <t>0165-7836</t>
  </si>
  <si>
    <t>1872-6763</t>
  </si>
  <si>
    <t>FISH RES</t>
  </si>
  <si>
    <t>Fish Res.</t>
  </si>
  <si>
    <t>10.1016/j.fishres.2014.12.002</t>
  </si>
  <si>
    <t>Fisheries</t>
  </si>
  <si>
    <t>CF7PM</t>
  </si>
  <si>
    <t>WOS:000352748800017</t>
  </si>
  <si>
    <t>Cristóbal, HA; Benito, J; Lovrich, GA; Abate, CM</t>
  </si>
  <si>
    <t>Cristobal, Hector A.; Benito, Juliana; Lovrich, Gustavo A.; Abate, Carlos M.</t>
  </si>
  <si>
    <t>Phylogenentic and enzymatic characterization of psychrophilic and psychrotolerant marine bacteria belong to γ-Proteobacteria group isolated from the sub-Antarctic Beagle Channel, Argentina</t>
  </si>
  <si>
    <t>FOLIA MICROBIOLOGICA</t>
  </si>
  <si>
    <t>16S RIBOSOMAL DNA; PHYSIOLOGICAL CHARACTERIZATION; GENE-TRANSFER; DIVERSITY; PROTEASE; MINE; GYRB; RNA</t>
  </si>
  <si>
    <t>The phylogenetic and physiological characteristics of cultivable-dependent approaches were determined to establish the diversity of marine bacteria associated with the intestines of benthonic organisms and seawater samples from the Argentina's Beagle Channel. A total of 737 isolates were classified as psychrophlic and psychrotolerant culturable marine bacteria. These cold-adapted microorganisms are capable of producing cold-active glycosyl hydrolases, such as beta-glucosidases, celulases, beta-galactosidases, xylanases, chitinases, and proteases. These enzymes could have potential biotechnological applications for use in low-temperature manufacturing processes. According to polymerase chain reaction-restriction fragment length polymorphism analysis of part of genes encoding 16S ribosomal DNA (ARDRA) and DNA gyrase subunit B (gyrB-RFLP), 11 operational taxonomic units (OTU) were identified and clustered in known genera using InfoStat software. The 50 isolates selected were sequenced based on near full sequence analysis of 16S rDNA and gyrB sequences and identified by their nearest neighbors ranging between 96 and 99 % of identities. Phylogenetic analyses using both genes allowed relationships between members of the cultured marine bacteria belonging to the gamma-Proteobacteria group (Aeromonas, Halteromonas, Pseudomonas, Pseudoalteromonas, Shewanella, Serratia, Colwellia, Glacielocola, and Psychrobacter) to be evaluated. Our research reveals a high diversity of hydrolytic bacteria, and their products actuality has an industrial use in several bioprocesses at low-temperature manufacturing.</t>
  </si>
  <si>
    <t>[Cristobal, Hector A.; Benito, Juliana; Abate, Carlos M.] Planta Piloto Proc Ind &amp; Microbiol PROIMI CONICET, RA-4000 San Miguel De Tucuman, Argentina; [Cristobal, Hector A.] Inst Invest Ind Quim INIQUI CONICET, RA-4400 Salta, Argentina; [Lovrich, Gustavo A.] Consejo Nacl Invest Cient &amp; Tecn, Ctr Austral Invest Cient CADIC, Ushuaia, Tierra Del Fueg, Argentina</t>
  </si>
  <si>
    <t>Consejo Nacional de Investigaciones Cientificas y Tecnicas (CONICET); Consejo Nacional de Investigaciones Cientificas y Tecnicas (CONICET); Consejo Nacional de Investigaciones Cientificas y Tecnicas (CONICET)</t>
  </si>
  <si>
    <t>Cristóbal, HA (corresponding author), Inst Invest Ind Quim INIQUI CONICET, AV Bolivia 5150, RA-4400 Salta, Argentina.</t>
  </si>
  <si>
    <t>hacristobal@gmail.com</t>
  </si>
  <si>
    <t>Lovrich, Gustavo/0000-0001-8424-6566</t>
  </si>
  <si>
    <t>0015-5632</t>
  </si>
  <si>
    <t>1874-9356</t>
  </si>
  <si>
    <t>FOLIA MICROBIOL</t>
  </si>
  <si>
    <t>Folia Microbiol.</t>
  </si>
  <si>
    <t>10.1007/s12223-014-0351-1</t>
  </si>
  <si>
    <t>Biotechnology &amp; Applied Microbiology; Microbiology</t>
  </si>
  <si>
    <t>CF9PI</t>
  </si>
  <si>
    <t>WOS:000352897000001</t>
  </si>
  <si>
    <t>Rautenberger, R; Huovinen, P; Gómez, I</t>
  </si>
  <si>
    <t>Rautenberger, Ralf; Huovinen, Pirjo; Gomez, Ivan</t>
  </si>
  <si>
    <t>Effects of increased seawater temperature on UV tolerance of Antarctic marine macroalgae</t>
  </si>
  <si>
    <t>MARINE BIOLOGY</t>
  </si>
  <si>
    <t>NATURAL PHYTOPLANKTON COMMUNITIES; PHLOROTANNIN CONTENT; DESMARESTIA-ANCEPS; B RADIATION; DEPTH; LIGHT; POLAR; PHOTOSYNTHESIS; INDUCTION; ANTIOXIDANT</t>
  </si>
  <si>
    <t>Cold-adapted Antarctic marine macroalgae have different physiological strategies to tolerate the ultraviolet (UV) radiation at low seawater temperatures around 0 A degrees C. The warming of Antarctica's coasts driven by global climate change may alter the physiology such to influence their UV tolerance. This study examined the interactive effects of different seawater temperatures (2 vs. 7 A degrees C) and UV radiation on the physiological performance (primary photochemistry: F (v)/F (m), soluble and insoluble phlorotannins, radical scavenging capacity) of seven macroalgae, which are dominant in Antarctic coastal ecosystems. Four brown and three red macroalgae, collected from Fildes Bay (King George Island, South Shetland Islands) in January/February, were exposed to 6 h of UV/temperature stress, followed by a 16-h recovery. The brown macroalgae Desmarestia menziesii and Ascoseira mirabilis showed the highest UV tolerance at 2 A degrees C, followed by Desmarestia anceps, and the rhodophytes Iridaea cordata, Trematocarpus antarcticus, and Palmaria decipiens. Himantothallus grandifolius (Phaeophyceae) was sensitive to UV radiation at 2 A degrees C. At 7 A degrees C, UV tolerance was improved in UV-sensitive macroalgae probably due to a more efficient damage repair of the photosynthetic apparatus. Temperature, however, did not modulate UV tolerance in D. anceps, indicating an UV-sensitive repair process. Constitutively, high contents of soluble and insoluble phlorotannins and radical scavenging capacities remained unchanged in endemic Desmarestiales. UV induction of soluble phlorotannins along with an increased radical scavenging capacity can be responsible for A. mirabilis' high UV tolerance. This study suggests that UV tolerance in macroalgae, which are sensitive to UV radiation at 2 A degrees C, is modulated by temperature. Enhanced UV tolerance at 7 A degrees C can be apparently ascribed to the stimulation of damage repair of the photosynthetic apparatus rather than to an enhanced UV screening or radical scavenging.</t>
  </si>
  <si>
    <t>[Rautenberger, Ralf; Huovinen, Pirjo; Gomez, Ivan] Univ Austral Chile, Inst Ciencias Marinas &amp; Limnol, Valdivia, Chile</t>
  </si>
  <si>
    <t>Universidad Austral de Chile</t>
  </si>
  <si>
    <t>Rautenberger, R (corresponding author), Univ Austral Chile, Inst Ciencias Marinas &amp; Limnol, Casilla 567, Valdivia, Chile.</t>
  </si>
  <si>
    <t>ralf.rautenberger@uach.cl</t>
  </si>
  <si>
    <t>Rautenberger, Ralf/AAD-2659-2020</t>
  </si>
  <si>
    <t>Rautenberger, Ralf/0000-0002-1339-2838; Gomez, Ivan/0000-0001-8381-3792; Huovinen, Pirjo/0000-0002-7754-4933</t>
  </si>
  <si>
    <t>Comision Nacional de Investigacion Cientifica y Tecnologica (CONICYT-PIA), Chile [Anillo ART1101]</t>
  </si>
  <si>
    <t>Comision Nacional de Investigacion Cientifica y Tecnologica (CONICYT-PIA), Chile</t>
  </si>
  <si>
    <t>The authors are grateful to the Comision Nacional de Investigacion Cientifica y Tecnologica (CONICYT-PIA), Chile, for the financial support (Projecto Anillo ART1101) of our studies. Furthermore, we thank the Instituto Antartico Chileno (INACH) for the logistical support and the opportunity to work in the laboratories at the scientific station 'Base Profesor Julio Escudero'. We also thank the scientific diving team of Ignacio Garrido, Maria Jose Diaz, and Jorge Holtheuer for collecting the macroalgal material. This is Publication No. 2 of the grant 'Anillo ART1101'.</t>
  </si>
  <si>
    <t>SPRINGER HEIDELBERG</t>
  </si>
  <si>
    <t>HEIDELBERG</t>
  </si>
  <si>
    <t>TIERGARTENSTRASSE 17, D-69121 HEIDELBERG, GERMANY</t>
  </si>
  <si>
    <t>0025-3162</t>
  </si>
  <si>
    <t>1432-1793</t>
  </si>
  <si>
    <t>MAR BIOL</t>
  </si>
  <si>
    <t>Mar. Biol.</t>
  </si>
  <si>
    <t>10.1007/s00227-015-2651-7</t>
  </si>
  <si>
    <t>Marine &amp; Freshwater Biology</t>
  </si>
  <si>
    <t>CF8IC</t>
  </si>
  <si>
    <t>WOS:000352798800015</t>
  </si>
  <si>
    <t>Czaja, A; Marshall, J</t>
  </si>
  <si>
    <t>Czaja, Arnaud; Marshall, John</t>
  </si>
  <si>
    <t>Why is there net surface heating over the Antarctic Circumpolar Current?</t>
  </si>
  <si>
    <t>OCEAN DYNAMICS</t>
  </si>
  <si>
    <t>Antarctic Circumpolar Current; Air-sea heat flux negative feedback</t>
  </si>
  <si>
    <t>OCEAN; CIRCULATION; TRANSPORT; CLIMATOLOGY; ATMOSPHERE; MODEL; ENERGY</t>
  </si>
  <si>
    <t>Using a combination of atmospheric reanalysis data, climate model outputs and a simple model, key mechanisms controlling net surface heating over the Southern Ocean are identified. All data sources used suggest that, in a streamline-averaged view, net surface heating over the Antarctic Circumpolar Current (ACC) is a result of net accumulation of solar radiation rather than a result of heat gain through turbulent fluxes (the latter systematically cool the upper ocean). It is proposed that the fraction of this net radiative heat gain realized as net ACC heating is set by two factors. First, the sea surface temperature at the southern edge of the ACC. Second, the relative strength of the negative heatflux feedbacks associated with evaporation at the sea surface and advection of heat by the residual flow in the oceanic mixed layer. A large advective feedback and a weak evaporative feedback maximize net ACC heating. It is shown that the present Southern Ocean and its circumpolar current are in this heating regime.</t>
  </si>
  <si>
    <t>[Czaja, Arnaud] Univ London Imperial Coll Sci Technol &amp; Med, Dept Phys, London SW7 2AZ, England; [Marshall, John] MIT, Dept Earth Atmospher &amp; Planetary Sci, Cambridge, MA 02139 USA</t>
  </si>
  <si>
    <t>Imperial College London; Massachusetts Institute of Technology (MIT)</t>
  </si>
  <si>
    <t>Czaja, A (corresponding author), Univ London Imperial Coll Sci Technol &amp; Med, Dept Phys, Prince Consort Rd, London SW7 2AZ, England.</t>
  </si>
  <si>
    <t>a.czaja@imperial.ac.uk; jmarsh@mit.edu</t>
  </si>
  <si>
    <t>Czaja, Arnaud/0000-0003-3645-0284</t>
  </si>
  <si>
    <t>NSF's 'Frontiers in Earth System Dynamics' program</t>
  </si>
  <si>
    <t>Discussions with Aaron Donohoe (MIT) and David Ferreira (Reading University) helped greatly in the preparation of this manuscript. David Ferreira also kindly provided the MITgcm outputs. JM acknowledges support from NSF's 'Frontiers in Earth System Dynamics' program. Finally, both authors would like to thank Richard Greatbatch for countless discussions and enjoyable encounters over many years. It is a pleasure to dedicate this study to Richard's 60th birthday.</t>
  </si>
  <si>
    <t>1616-7341</t>
  </si>
  <si>
    <t>1616-7228</t>
  </si>
  <si>
    <t>OCEAN DYNAM</t>
  </si>
  <si>
    <t>Ocean Dyn.</t>
  </si>
  <si>
    <t>10.1007/s10236-015-0830-1</t>
  </si>
  <si>
    <t>CF9RD</t>
  </si>
  <si>
    <t>WOS:000352902600009</t>
  </si>
  <si>
    <t>Chapori, NG; Chiessi, CM; Bickert, T; Laprida, C</t>
  </si>
  <si>
    <t>Garcia Chapori, Natalia; Chiessi, Cristiano Mazur; Bickert, Torsten; Laprida, Cecilia</t>
  </si>
  <si>
    <t>Sea-surface temperature reconstruction of the Quaternary western South Atlantic: New planktonic foraminiferal correlation function</t>
  </si>
  <si>
    <t>PALAEOGEOGRAPHY PALAEOCLIMATOLOGY PALAEOECOLOGY</t>
  </si>
  <si>
    <t>Planktonic foraminifera; Sea-surface temperature; Multivariate correlation-function; Quaternary; Westem South Atlantic</t>
  </si>
  <si>
    <t>BRAZIL-MALVINAS CONFLUENCE; ICE-SHEET; INDIAN-OCEAN; CIRCULATION; VARIABILITY; HOLOCENE; CALIBRATION; ASSEMBLAGES; RADIOLARIAN; PACHYDERMA</t>
  </si>
  <si>
    <t>We provide a new multivariate calibration-function based on South Atlantic modern assemblages of planktonic foraminifera and atlas water column parameters from the Antarctic Circumpolar Current to the Subtropical Gyre and tropical warm waters (i.e., 60 degrees S to 0 degrees S). Therefore, we used a dataset with the abundance pattern of 35 taxonomic groups of planktonic foraminifera in 141 surface sediment samples. Five factors were taken into consideration for the analysis, which account for 93% of the total variance of the original data representing the regional main oceanographic fronts. The new calibration-function F141-35-5 enables the reconstruction of Late Quaternary summer and winter sea-surface temperatures with a statistical error of similar to 0.5 degrees C. Our function was verified by its application to a sediment core extracted from the western South Atlantic. The downcore reconstruction shows negative anomalies in sea-surface temperatures during the early-mid Holocene and temperatures within the range of modern values during the late Holocene. This pattern is consistent with available reconstructions. (C) 2015 Elsevier B.V. All rights reserved.</t>
  </si>
  <si>
    <t>[Garcia Chapori, Natalia; Laprida, Cecilia] Univ Buenos Aires, Fac Ciencias Exactas &amp; Nat, CONICET, IDEAN,Dept Ciencias Geol, Buenos Aires, DF, Argentina; [Chiessi, Cristiano Mazur] Univ Sao Paulo, Sch Arts Sci &amp; Humanities, BR-03828000 Sao Paulo, SP, Brazil; [Bickert, Torsten] Univ Bremen, MARUM, Ctr Marine Environm Sci, D-28359 Bremen, Germany</t>
  </si>
  <si>
    <t>University of Buenos Aires; Consejo Nacional de Investigaciones Cientificas y Tecnicas (CONICET); Universidade de Sao Paulo; University of Bremen</t>
  </si>
  <si>
    <t>Chapori, NG (corresponding author), Univ Buenos Aires, Fac Ciencias Exactas &amp; Nat, CONICET, IDEAN,Dept Ciencias Geol, Intendente Guiraldes 2160,Ciudad Univ,C1428EGA, Buenos Aires, DF, Argentina.</t>
  </si>
  <si>
    <t>natalia.garcia.chapori@gmail.com; chiessi@usp.br; tbickert@marum.de; chechu@gl.fcen.uba.ar</t>
  </si>
  <si>
    <t>Chiessi, Cristiano Mazur/JAZ-0806-2023; Chiessi, Cristiano Mazur/E-1916-2012</t>
  </si>
  <si>
    <t>Chiessi, Cristiano Mazur/0000-0003-3318-8022; Chiessi, Cristiano Mazur/0000-0003-3318-8022; Garcia Chapori, Natalia/0000-0003-1022-2080</t>
  </si>
  <si>
    <t>ANPCyT [PICT 2010-0953]; CONICET of Argentina [PIP 2142001100100014]; FAPESP of Brazil [2012/17517-3]</t>
  </si>
  <si>
    <t>ANPCyT(ANPCyT); CONICET of Argentina(Consejo Nacional de Investigaciones Cientificas y Tecnicas (CONICET)); FAPESP of Brazil(Fundacao de Amparo a Pesquisa do Estado de Sao Paulo (FAPESP))</t>
  </si>
  <si>
    <t>This research was supported by the ANPCyT (PICT 2010-0953) and CONICET (PIP 2142001100100014) of Argentina, and FAPESP (2012/17517-3) of Brazil. We want to thank Dr. Harry Dowsett (United States Geological Survey), who performed the statistical analyses making possible the development of the calibration function, and two anonymous reviewers for their constructive comments. Sample material was provided by the GeoB Core Repository at the MARUM - Center for Marine Environmental Sciences, University of Bremen, Germany. This is publication number R-147 of the IDEAN (UBA - CONICET). The data of this study are available in the PANGAEA database (www.pangaea.de).</t>
  </si>
  <si>
    <t>0031-0182</t>
  </si>
  <si>
    <t>1872-616X</t>
  </si>
  <si>
    <t>PALAEOGEOGR PALAEOCL</t>
  </si>
  <si>
    <t>Paleogeogr. Paleoclimatol. Paleoecol.</t>
  </si>
  <si>
    <t>10.1016/j.palaeo.2015.02.027</t>
  </si>
  <si>
    <t>Geography, Physical; Geosciences, Multidisciplinary; Paleontology</t>
  </si>
  <si>
    <t>Physical Geography; Geology; Paleontology</t>
  </si>
  <si>
    <t>CF6KB</t>
  </si>
  <si>
    <t>WOS:000352664500005</t>
  </si>
  <si>
    <t>Simon, CJ; Fitzgibbon, QP; Battison, A; Carter, CG; Battaglene, SC</t>
  </si>
  <si>
    <t>Simon, C. J.; Fitzgibbon, Q. P.; Battison, A.; Carter, C. G.; Battaglene, S. C.</t>
  </si>
  <si>
    <t>Bioenergetics of Nutrient Reserves and Metabolism in Spiny Lobster Juveniles Sagmariasus verreauxi: Predicting Nutritional Condition from Hemolymph Biochemistry</t>
  </si>
  <si>
    <t>PHYSIOLOGICAL AND BIOCHEMICAL ZOOLOGY</t>
  </si>
  <si>
    <t>SOUTHERN ROCK LOBSTER; PANULIRUS-ARGUS-LATREILLE; SHORT-TERM STARVATION; PACIFIC WHITE SHRIMP; PENAEUS-ESCULENTUS HASWELL; CRAB CALLINECTES-SAPIDUS; LONGIPES MILNE-EDWARDS; BLOOD REFRACTIVE-INDEX; AMMONIA-N EXCRETION; JASUS-EDWARDSII</t>
  </si>
  <si>
    <t>The nutritional condition of cultured Sagmariasus verreauxi juveniles over the molt and during starvation was investigated by studying their metabolism, bioenergetics of nutrient reserves, and hemolymph biochemistry. Juveniles were shown to downregulate standard metabolic rate by as much as 52% within 14 d during starvation. Hepatopancreas (HP) lipid was prioritized as a source of energy, but this reserve represented only between 1% and 13% of the total measured energy reserve and was used quickly during starvation, especially in the immediate postmolt period when as much as 60% was depleted within 3 d. Abdominal muscle (AM) protein represented between 74% and 90% of the total measured energy reserve in juvenile lobsters, and as much as 40% of available AM protein energy was used over 28 d of starvation after the molt. Carbohydrate reserves represented less than 2% of the measured total energy reserve in fed intermolt lobsters and provided negligible energy during starvation. Eighteen hemolymph parameters were measured to identify a nondestructive biomarker of condition that would reflect accurately the state of energy reserves of the lobster. Among these, the hemolymph Brix index was the most accurate and practical method to predict HP lipid and the total energy content of both the HP and the AM in juvenile S. verreauxi. The Brix index was strongly correlated with hemolymph proteins, triglyceride, cholesterol, calcium, and phosphorus concentrations, as well as lipase activity; all were useful in predicting condition. Electrolytes such as chloride, magnesium, and potassium and metabolites such as glucose and lactate were poor indicators of nutritional condition. Uric acid and the albumin-to-globulin ratio provided complementary information to the Brix index, which may assist in determining nutritional condition of wild juvenile lobsters of unknown intermolt development. This study will greatly assist future ecological studies examining the nutritional condition of juvenile lobsters in the wild, as well as the development of husbandry protocols and feeds for aquaculture.</t>
  </si>
  <si>
    <t>[Simon, C. J.; Fitzgibbon, Q. P.; Carter, C. G.; Battaglene, S. C.] Univ Tasmania, Inst Marine &amp; Antarct Studies, Fisheries Aquaculture &amp; Coasts, Hobart, Tas 7001, Australia; [Battison, A.] Crustipath, Charlottetown, PE C1A 7L3, Canada</t>
  </si>
  <si>
    <t>Simon, CJ (corresponding author), Univ Tasmania, Inst Marine &amp; Antarct Studies, Fisheries Aquaculture &amp; Coasts, Private Bag 49, Hobart, Tas 7001, Australia.</t>
  </si>
  <si>
    <t>cedric.simon@utas.edu.au</t>
  </si>
  <si>
    <t>Battaglene, Stephen C/H-9683-2014; Simon, Cedric/AET-0945-2022; Carter, Chris Guy/A-3438-2008; Simon, Cedric/AAX-5264-2020; Simon, Cedric/H-9692-2014</t>
  </si>
  <si>
    <t>Simon, Cedric/0000-0002-7535-3332; Carter, Chris Guy/0000-0001-5210-1282; Simon, Cedric/0000-0002-7535-3332; Simon, Cedric/0000-0002-7535-3332; Fitzgibbon, Quinn/0000-0002-1104-3052</t>
  </si>
  <si>
    <t>Fisheries Research and Development Corporation Award; Australian Research Council [IH120100032]; Australian Research Council [IH120100032] Funding Source: Australian Research Council</t>
  </si>
  <si>
    <t>Fisheries Research and Development Corporation Award; Australian Research Council(Australian Research Council); Australian Research Council(Australian Research Council)</t>
  </si>
  <si>
    <t>We thank the entire Institute for Marine and Antarctic Studies Aquaculture team for the maintenance of the experiment and Tania Mendo for technical assistance with sample preparation and proximate analyses, particularly total lipid analysis. This study was carried out as part of the 2012 Science and Innovation Awards for Young People in Agriculture, Fisheries, and Forestry on behalf of the Australian Department of Agriculture, Fisheries, and Forestry (DAFF). Funding sources included the Minister for DAFF Award and the Fisheries Research and Development Corporation Award. This research was supported under the Australian Research Council's Industrial Transformation Research Program (project IH120100032).</t>
  </si>
  <si>
    <t>UNIV CHICAGO PRESS</t>
  </si>
  <si>
    <t>CHICAGO</t>
  </si>
  <si>
    <t>1427 E 60TH ST, CHICAGO, IL 60637-2954 USA</t>
  </si>
  <si>
    <t>1522-2152</t>
  </si>
  <si>
    <t>1537-5293</t>
  </si>
  <si>
    <t>PHYSIOL BIOCHEM ZOOL</t>
  </si>
  <si>
    <t>Physiol. Biochem. Zool.</t>
  </si>
  <si>
    <t>10.1086/681000</t>
  </si>
  <si>
    <t>Physiology; Zoology</t>
  </si>
  <si>
    <t>CF8GN</t>
  </si>
  <si>
    <t>WOS:000352794300004</t>
  </si>
  <si>
    <t>Anderson, PJ; Wiste, HJ; Ostby, SA; Miller, AD; Ceridon, ML; Johnson, BD</t>
  </si>
  <si>
    <t>Anderson, P. J.; Wiste, H. J.; Ostby, S. A.; Miller, A. D.; Ceridon, M. L.; Johnson, B. D.</t>
  </si>
  <si>
    <t>Sleep disordered breathing and acute mountain sickness in workers rapidly transported to the South Pole (2835 m)</t>
  </si>
  <si>
    <t>RESPIRATORY PHYSIOLOGY &amp; NEUROBIOLOGY</t>
  </si>
  <si>
    <t>Sleep; High-altitude; Ventilation; Rapid transport</t>
  </si>
  <si>
    <t>HIGH-ALTITUDE; PATTERNS; PHYSIOLOGY; LAKE</t>
  </si>
  <si>
    <t>Background: Sleep disordered breathing may be a risk factor for high altitude illness. Past Antarctic sleep studies suggest that rapid transport from sea level (SL) to the Amundsen Scott South Pole Station (SP, 2835 m) increases risk of Acute Mountain Sickness (AMS). We analyzed sleep studies in 38 healthy polar workers to explore the association between sleep disordered breathing and AMS after rapid transport to the South Pole. Methods: Subjects completed a baseline questionnaire, performed basic physiology tests, and were evaluated for AMS and medication use using an extended Lake Louise Questionnaire (LLQ) during their first week at the South Pole. Participants were included in this study if they took no medications and underwent polysomnography on their first nights at Sea Level and the South Pole using the Vivometrics LifeShirt (R). Within group changes were assessed with Wilcoxon signed rank tests and between group differences were assessed with Kruskal-Wallis rank sum tests. Results: Overall, 21/38 subjects met criteria for AMS at some time on or prior to the third morning at the South Pole. Subjective poor sleep quality was reported by both AMS (65%) and no AMS (41%) groups. The Apnea Hypopnea Index (AHI) increased significantly in both the AMS and no AMS groups, but the difference in the increase between the two groups was not statistically significant. Increased AHI was not associated with increased AMS symptoms. Previous altitude illness (p = 0.06) and residence at low altitudes (p = 0.02) were risk factors for AMS. Conclusion: AMS was not significantly associated with sleep architecture changes or increased AHI. However, AHI sharply increased at South Pole (19/38 participants) primarily due to central apneas. Those developing AMS were more likely to have experienced previous problems at altitude and reported living at lowland altitudes within the 3 months prior to rapid transport to the South Pole than those without AMS. (C) 2015 Elsevier B.V. All rights reserved.</t>
  </si>
  <si>
    <t>[Anderson, P. J.; Wiste, H. J.; Ostby, S. A.; Miller, A. D.; Ceridon, M. L.; Johnson, B. D.] Mayo Clin, Rochester, MN 55905 USA</t>
  </si>
  <si>
    <t>Mayo Clinic</t>
  </si>
  <si>
    <t>Anderson, PJ (corresponding author), Mayo Clin, Rochester, MN 55905 USA.</t>
  </si>
  <si>
    <t>anderson.paul1@mayo.edu</t>
  </si>
  <si>
    <t>1569-9048</t>
  </si>
  <si>
    <t>1878-1519</t>
  </si>
  <si>
    <t>RESP PHYSIOL NEUROBI</t>
  </si>
  <si>
    <t>Respir. Physiol. Neuro.</t>
  </si>
  <si>
    <t>10.1016/j.resp.2015.01.012</t>
  </si>
  <si>
    <t>Physiology; Respiratory System</t>
  </si>
  <si>
    <t>CG1BL</t>
  </si>
  <si>
    <t>WOS:000353007900007</t>
  </si>
  <si>
    <t>García, JL; Strelin, JA; Vega, RM; Hall, BL; Stern, CR</t>
  </si>
  <si>
    <t>Garcia, Juan-Luis; Strelin, Jorge A.; Vega, Rodrigo M.; Hall, Brenda L.; Stern, Charles R.</t>
  </si>
  <si>
    <t>Deglacial ice-marginal glaciolacustrine environments and structural moraine building in Torres del Paine, Chilean southern Patagonia</t>
  </si>
  <si>
    <t>Glaciolacustrine sediments; Push moraines; Late-glacial; Torres del Paine National Park; Patagonian paleolakes; Patagonian Ice Sheet</t>
  </si>
  <si>
    <t>ANTARCTIC COLD REVERSAL; LAST GLACIAL MAXIMUM; ULTIMA ESPERANZA; LAKE DISTRICT; PLEISTOCENE; GEOMORPHOLOGY; FLUCTUATIONS; HOLOCENE; TEPHROCHRONOLOGY; SEDIMENTOLOGY</t>
  </si>
  <si>
    <t>The late-glacial sedimentologic and geomorphic record of the former Patagonian ice sheet remains mostly unstudied despite the fact that it affords invaluable evidence for glaciologic processes during the last glacial-interglacial transition (i.e., 18-11.5 ka). This information is critical if landforms (e.g., moraines) and associated sediments are to be used for paleoclimate reconstruction. El Canal stratigraphic section in Torres del Paine, southern Chile (51 degrees S), provides one of the few complete late-glacial morphostratigraphic records preserved on land in Patagonia that has not been reworked by postglacial lake or marine transgressions. Therefore, it provides unique evidence for reconstructing former environments, processes and fluctuations along the ice front at the end of the last glaciation. Here, we present results of a morphostratigraphic study of this site, which was shaped during the late-glacial Torres del Paine-TDP II, III and IV glacier fluctuations. We document the presence of eight sediment lithofacies associations and six stratigraphic sections that expose a complete record of proximal to distal subaqueous processes, which we link to phases of glacier advance (e.g., moraine building) and retreat. During the late-glacial, the Lago del Toro ice lobe pushed and glaciotectonized ice-contact lake sediments several times to shape the TDP moraine ridges fringing present-day lake. The saw-toothed morphology of the ridges confirms the structural origin of these landforms. Based on sediment facies associations, we conclude that local glacial lakes developed along the ice front during deposition of the late-glacial TDP II-IV moraine belts, suggesting that collapse, and associated continental drainage diversion, of major regional-size lakes in Torres del Paine had occurred during this time.</t>
  </si>
  <si>
    <t>[Strelin, Jorge A.] Univ Nacl Cordoba, CICTERRA, Inst Antartico Argentino, RA-5000 Cordoba, Argentina; [Vega, Rodrigo M.] Univ Austral Chile, Inst Ciencias Tierra &amp; Evoluc, Valdivia, Chile; [Garcia, Juan-Luis; Hall, Brenda L.] Univ Maine, Sch Earth &amp; Climate Sci, Orono, ME 04469 USA; [Garcia, Juan-Luis; Hall, Brenda L.] Univ Maine, Climate Change Inst, Orono, ME 04469 USA; [Stern, Charles R.] Univ Colorado, Dept Geol Sci, Boulder, CO 80309 USA</t>
  </si>
  <si>
    <t>Instituto Antartico Argentino; Consejo Nacional de Investigaciones Cientificas y Tecnicas (CONICET); National University of Cordoba; Universidad Austral de Chile; University of Maine System; University of Maine Orono; University of Maine System; University of Maine Orono; University of Colorado System; University of Colorado Boulder</t>
  </si>
  <si>
    <t>García, JL (corresponding author), Pontificia Univ Catolica Chile, Fac Hist Geog &amp; Ciencia Polit, Inst Geog, Avda Vicuna Mackenna 4860, Santiago, Chile.</t>
  </si>
  <si>
    <t>jgarciab@uc.cl; jstrelin@yahoo.com.ar; rmvega@uach.cl; brendah@maine.edu; charles.stern@colorado.edu</t>
  </si>
  <si>
    <t>San Martín, Rodrigo Manuel Vega/P-1700-2019; Garcia-Barriga, Juan-Luis/U-6381-2017</t>
  </si>
  <si>
    <t>San Martín, Rodrigo Manuel Vega/0000-0002-3866-0341; Garcia-Barriga, Juan-Luis/0000-0002-9028-7572</t>
  </si>
  <si>
    <t>FONDECYT [11110381]; Churchill Exploration Fund</t>
  </si>
  <si>
    <t>FONDECYT(Comision Nacional de Investigacion Cientifica y Tecnologica (CONICYT)CONICYT FONDECYT); Churchill Exploration Fund</t>
  </si>
  <si>
    <t>This work resulted thanks to the support of the FONDECYT Iniciacion #11110381 project and the Churchill Exploration Fund. We are very grateful to D. Belknap from University of Maine and M. Kaplan from LDEO for their valuable comments along this work. We also thanks to G. Gomez and J.J. Ferrada from the Pontificia Universidad Catolica de Chile for assistance in the field and construction of figure 1. The Corporacion Nacional Forestal (CONAF) Magallanes, Parque Nacional Torres del Paine (Chile) administration, and H. Cardenas (Estancia San Antonio) were of great field support upon this research.</t>
  </si>
  <si>
    <t>10.5027/andgeoV42n2-a03</t>
  </si>
  <si>
    <t>WOS:000356084000003</t>
  </si>
  <si>
    <t>Adams, TP; Proud, R; Black, KD</t>
  </si>
  <si>
    <t>Adams, Thomas P.; Proud, Roland; Black, Kenneth D.</t>
  </si>
  <si>
    <t>Connected networks of sea lice populations: dynamics and implications for control</t>
  </si>
  <si>
    <t>AQUACULTURE ENVIRONMENT INTERACTIONS</t>
  </si>
  <si>
    <t>Metapopulation; Spatial dynamics; Dispersal; Population connectivity; Sea lice management</t>
  </si>
  <si>
    <t>FARMED ATLANTIC SALMON; LOUSE LEPEOPHTHEIRUS-SALMONIS; MATHEMATICAL-MODEL; SALAR; DISPERSION; INFECTION; GROWTH</t>
  </si>
  <si>
    <t>In studies of the population dynamics of parasitic sea lice and the implications of outbreaks for salmon farms, several types of mathematical models have been implemented. Delay differential equation models describe the temporal dynamics of average adult lice densities over many farm sites. In contrast, larval transport models consider the relative densities of lice at farm sites by modelling larval movements between them but do not account for temporal dynamics or feedbacks created by reproduction. Finally, several recent studies have investigated spatiotemporal variation in site lice abundances using statistical models and distance-based proxies for connectivity. We developed a model which integrates connectivity estimates from larval transport models into the delay differential equation framework. This allows representation of sea lice developmental stages, dispersal between sites, and the impact of management actions. Even with identical external infection rates, lice abundances differ dramatically between farms over a production cycle (dependent on oceanographic conditions and resulting between-farm connectivity). Once infected, lice dynamics are dominated by site reproduction and subsequent dispersal. Lice control decreases actual lice abundances and also reduces variation in abundance between sites (within each simulation) and between simulation runs. Control at sites with the highest magnitude of incoming connections, computed directly from connectivity modelling, had the greatest impact on lice abundances across all sites. Connectivity metrics may therefore be a reasonable approximation of the effectiveness of management practices at particular sites. However, the model also provides new opportunities for investigation and prediction of lice abundances in interconnected systems with spatially varying infection and management.</t>
  </si>
  <si>
    <t>[Adams, Thomas P.; Black, Kenneth D.] Scottish Assoc Marine Sci, Scottish Marine Inst, Oban PA37 1QA, Argyll, Scotland; [Proud, Roland] Univ St Andrews, Pelag Ecol Res Grp, St Andrews KY16 8LB, Fife, Scotland; [Proud, Roland] Australian Antarctic Div, Kingston, Tas 7050, Australia; [Proud, Roland] Univ Tasmania, Inst Marine &amp; Antarctic Studies, Hobart, Tas 7004, Australia</t>
  </si>
  <si>
    <t>UHI Millennium Institute; University of St Andrews; Australian Antarctic Division; University of Tasmania</t>
  </si>
  <si>
    <t>Adams, TP (corresponding author), Scottish Assoc Marine Sci, Scottish Marine Inst, Oban PA37 1QA, Argyll, Scotland.</t>
  </si>
  <si>
    <t>Thomas.Adams@sams.ac.uk</t>
  </si>
  <si>
    <t>Black, Kenneth/GXV-2598-2022; Black, Kenneth D/A-7089-2010; Adams, Tom/KEJ-4597-2024</t>
  </si>
  <si>
    <t>Proud, Roland/0000-0002-8647-5562</t>
  </si>
  <si>
    <t>European Fisheries Fund (European Union); Natural Environment Research Council [NE/L013029/1] Funding Source: researchfish; NERC [NE/L013029/1] Funding Source: UKRI</t>
  </si>
  <si>
    <t>European Fisheries Fund (European Union); Natural Environment Research Council(UK Research &amp; Innovation (UKRI)Natural Environment Research Council (NERC)); NERC(UK Research &amp; Innovation (UKRI)Natural Environment Research Council (NERC))</t>
  </si>
  <si>
    <t>This work was supported by a grant from the European Fisheries Fund (European Union). We are grateful for the comments of the editor and anonymous referees that greatly improved the manuscript.</t>
  </si>
  <si>
    <t>1869-215X</t>
  </si>
  <si>
    <t>1869-7534</t>
  </si>
  <si>
    <t>AQUACULT ENV INTERAC</t>
  </si>
  <si>
    <t>Aquac. Environ. Interact.</t>
  </si>
  <si>
    <t>10.3354/aei00133</t>
  </si>
  <si>
    <t>Fisheries; Marine &amp; Freshwater Biology</t>
  </si>
  <si>
    <t>CK0GT</t>
  </si>
  <si>
    <t>gold, Green Submitted, Green Accepted</t>
  </si>
  <si>
    <t>WOS:000355884400006</t>
  </si>
  <si>
    <t>Zhang, TJ; Wang, NL</t>
  </si>
  <si>
    <t>Zhang, Tingjun; Wang, Ninglian</t>
  </si>
  <si>
    <t>Introduction-Changing cryosphere under a warming climate</t>
  </si>
  <si>
    <t>Editorial Material</t>
  </si>
  <si>
    <t>HEIHE RIVER-BASIN; ACTIVE LAYER; PERMAFROST; GLACIER; TEMPERATURE; MOUNTAINS; CARBON</t>
  </si>
  <si>
    <t>[Zhang, Tingjun] Lanzhou Univ, Coll Earth &amp; Environm Sci, MOE Key Lab Western Chinas Environm Syst, Lanzhou 730000, Peoples R China; [Wang, Ninglian] Chinese Acad Sci, Cold &amp; Arid Reg Environm &amp; Engn Res Inst, State Key Lab Cryospher Sci, Lanzhou 730000, Peoples R China</t>
  </si>
  <si>
    <t>Lanzhou University; Chinese Academy of Sciences; Cold &amp; Arid Regions Environmental &amp; Engineering Research Institute, CAS</t>
  </si>
  <si>
    <t>ZHANG, TINGJUN/AAX-3662-2020</t>
  </si>
  <si>
    <t>ZHANG, Tingjun/0000-0001-6974-9501</t>
  </si>
  <si>
    <t>10.1657/AAAR0047-2-introduction</t>
  </si>
  <si>
    <t>WOS:000355627500001</t>
  </si>
  <si>
    <t>Jin, R; Zhang, TJ; Li, X; Yang, XG; Ran, YH</t>
  </si>
  <si>
    <t>Jin, Rui; Zhang, Tingjun; Li, Xin; Yang, Xingguo; Ran, Youhua</t>
  </si>
  <si>
    <t>Mapping surface soil freeze-thaw cycles in China based on SMMR and SSM/I brightness temperatures from 1978 to 2008</t>
  </si>
  <si>
    <t>SNOW COVER; SCATTEROMETER DATA; TIME-SERIES; BOREAL; CLASSIFICATION; BOUNDARIES; FORESTS; SEASONS</t>
  </si>
  <si>
    <t>This paper aims to provide a long time-series data set documenting the surface soil freeze-thaw cycles in China over a period of more than 30 years. The remote sensing data are from the daily brightness temperatures recorded by the Scanning Multichannel Microwave Radiometer (SMMR, 1978-1987) and Special Sensor Microwave Imager (SSM/I, 1987-2008), which have a 25 km spatial resolution. The classification method used to identify the surface soil freeze-thaw states is a dual-indices algorithm based on the 37 GHz vertical polarization brightness temperature and spectral gradient between the 37 GHz and 18/19 GHz brightness temperatures. This algorithm has been recalibrated for SMMR and SSM/I using the in situ daily minimal ground surface temperatures observed at 77 meteorological stations covering the dominant land surface types of China. The daily classifications of surface soil freeze-thaw states were validated by observations from an additional 273 meteorological stations. The classification accuracy of the frozen and thawed soils as well as the total accuracy exceed 80%. Based on this data set, we analyzed the seasonal and interannual variations across the areal extent and timing of surface soil freezing, trend of the onset date of surface soil freezing and thawing, and duration of surface soil thawing in China. The results showed that the maximum frozen extent during 1978-1987 was 6.93 x 10(6) km(2) or 72.8% of the area, and it generally occurred in late December and January. The minimum frozen extent was 0.26 x 10(6) km(2) or 3.0% of the area, and it occurred in late July and August. The first day of soil freezing occurred between September and November, whereas the first day of soil thawing occurred between March and May. The trend analysis demonstrated that from 1978 to 2008, the onset date of surface freezing was postponed by 19.6 +/- 14.6 days, whereas the onset of surface thawing was advanced by -19.0 +/- 9.4 days, and the thawing period was prolonged by 34.3 +/- 16.5 days. These trends revealed a pattern of earlier thawing, later freezing, and longer growing seasons because of climate warming, especially in the seasonally frozen ground and permafrost regions with high ground temperatures.</t>
  </si>
  <si>
    <t>[Jin, Rui; Li, Xin; Ran, Youhua] Chinese Acad Sci, Cold &amp; Arid Reg Environm &amp; Engn Res Inst, Lanzhou 730000, Peoples R China; [Jin, Rui; Li, Xin] Chinese Acad Sci, Ctr Excellence Tibetan Plateau Earth Sci, Beijing 100101, Peoples R China; [Zhang, Tingjun] Lanzhou Univ, Coll Earth &amp; Environm Sci, MOE Key Lab West Chinas Environm Syst, Lanzhou 730000, Gansu, Peoples R China; [Yang, Xingguo] Meteorol Bur Gansu Prov, Lanzhou 730020, Gansu, Peoples R China</t>
  </si>
  <si>
    <t>Chinese Academy of Sciences; Cold &amp; Arid Regions Environmental &amp; Engineering Research Institute, CAS; Chinese Academy of Sciences; Lanzhou University</t>
  </si>
  <si>
    <t>Zhang, TJ (corresponding author), Lanzhou Univ, Coll Earth &amp; Environm Sci, MOE Key Lab West Chinas Environm Syst, 222 South Tianshui Rd, Lanzhou 730000, Gansu, Peoples R China.</t>
  </si>
  <si>
    <t>li, xin/HHS-9461-2022; jin, rui/KHW-6854-2024; ZHANG, TINGJUN/AAX-3662-2020; JIN, Rui/KFS-4048-2024; Ran, Youhua/Q-8041-2017; Li, Xin/F-7473-2011</t>
  </si>
  <si>
    <t>JIN, Rui/0000-0003-4544-6535; Li, Xin/0000-0003-2999-9818; ZHANG, Tingjun/0000-0001-6974-9501</t>
  </si>
  <si>
    <t>National Natural Science Foundation of China [91225302, 91125001, 41471357]</t>
  </si>
  <si>
    <t>National Natural Science Foundation of China(National Natural Science Foundation of China (NSFC))</t>
  </si>
  <si>
    <t>This work was supported by the National Natural Science Foundation of China (91225302, 91125001, 41471357). We are grateful for the EASE-Grid SMMR and SSM/I brightness temperature data sets that were generously provided by the National Snow and Ice Data Center of the University of Colorado and in situ surface temperature observations that were provided by the CMA and CEOP project.</t>
  </si>
  <si>
    <t>10.1657/AAAR00C-13-304</t>
  </si>
  <si>
    <t>WOS:000355627500004</t>
  </si>
  <si>
    <t>Wu, XJ; Wang, NL; Lu, AX; Pu, JC; Guo, ZM; Zhang, HW</t>
  </si>
  <si>
    <t>Wu, Xuejiao; Wang, Ninglian; Lu, Anxin; Pu, Jianchen; Guo, Zhongming; Zhang, Huawei</t>
  </si>
  <si>
    <t>Variations in albedo on Dongkemadi Glacier in Tanggula Range on the Tibetan Plateau during 2002-2012 and its linkage with mass balance</t>
  </si>
  <si>
    <t>EQUILIBRIUM-LINE ALTITUDE; SURFACE-ENERGY; QILIAN MOUNTAINS; IN-SITU; SNOW; PARAMETERIZATION; ACCUMULATION; DAROLLA; ZONE</t>
  </si>
  <si>
    <t>Albedo, which impacts the surface heat budget of a glacier, is a dominant factor governing snow and ice melt variability. We analyzed variations in albedo on the Dongkemadi Glacier (92 degrees 4.94'E, 33 degrees 05.88'N) using MODIS daily snow albedo products. The results show that the summer albedo over the accumulation zone and the ablation zone all presented a decreasing trend from 2002 to 2012, and both precipitation and summer temperature were critical factors that impacted variations in the albedo of the glacier. We linked the albedo variation with the measured mass balance of the glacier and found that 2006 and 2010 were high-melt years at the Dongkemadi Glacier, with lower albedo and a more negative mass balance. The area around the equilibrium line altitude (ELA) on the glacier was very sensitive to albedo feedback. The albedo change rate reached approximately -34% when the summer average temperature increased about 1 degrees C and the summer precipitation declined 94.5 mm. We built a linear model between the annual lowest albedo and the annual mass balance of the Xiao Dongkemadi Glacier, one branch of the Dongkemadi Glacier. This model was used to evaluate the annual mass balance of another branch of the Dongkemadi Glacier, the Da Dongkemadi Glacier. The mass balance of the Da Dongkemadi Glacier was significantly negative in 2006 (-768.7 mm w.e.) and 2010 (-696.9 mm w.e.). This work indicates that the glacier surface annual lowest albedo may be a reasonable proxy for evaluating the inter-annual variability of the mass balance of the glacier.</t>
  </si>
  <si>
    <t>[Wu, Xuejiao; Wang, Ninglian; Pu, Jianchen; Guo, Zhongming] Chinese Acad Sci, Cold &amp; Arid Reg Environm &amp; Engn Res Inst, State Key Lab Cryospher Sci, Lanzhou 730000, Peoples R China; [Wu, Xuejiao; Guo, Zhongming] Univ Chinese Acad Sci, Beijing 100049, Peoples R China; [Lu, Anxin] Chinese Acad Sci, Inst Remote Sensing &amp; Digital Earth, Lab Digital Earth Sci, Beijing 100094, Peoples R China; [Zhang, Huawei] Yunnan Normal Univ, Sch Tourism &amp; Geog Sci, Chenggong 650092, Kunming, Peoples R China; [Wang, Ninglian] Chinese Acad Sci, Ctr Excellence Tibetan Plateau Earth Sci, Beijing 100101, Peoples R China</t>
  </si>
  <si>
    <t>Chinese Academy of Sciences; Cold &amp; Arid Regions Environmental &amp; Engineering Research Institute, CAS; Chinese Academy of Sciences; University of Chinese Academy of Sciences, CAS; Chinese Academy of Sciences; The Institute of Remote Sensing &amp; Digital Earth, CAS; Yunnan Normal University; Chinese Academy of Sciences</t>
  </si>
  <si>
    <t>Wang, NL (corresponding author), Chinese Acad Sci, Cold &amp; Arid Reg Environm &amp; Engn Res Inst, State Key Lab Cryospher Sci, 320 Donggang West Rd, Lanzhou 730000, Peoples R China.</t>
  </si>
  <si>
    <t>Zhang, Huawei/H-1924-2016</t>
  </si>
  <si>
    <t>Zhang, Huawei/0000-0002-8701-4266</t>
  </si>
  <si>
    <t>National Natural Science Foundation of China [41190084]; Chinese Academy of Sciences [XDB03030200]; Young Talents funding of the Cold and Arid Regions Environmental and Engineering Research Institute, Chinese Academy of Sciences [Y35111001]</t>
  </si>
  <si>
    <t>National Natural Science Foundation of China(National Natural Science Foundation of China (NSFC)); Chinese Academy of Sciences(Chinese Academy of Sciences); Young Talents funding of the Cold and Arid Regions Environmental and Engineering Research Institute, Chinese Academy of Sciences</t>
  </si>
  <si>
    <t>The authors thank NASA for providing image data, and the China Meteorological Data Sharing Service System for providing meteorological data. This work was supported by the National Natural Science Foundation of China (grant no. 41190084), Strategic Priority Research Program (B) of Chinese Academy of Sciences (grant no. XDB03030200), and the Young Talents funding of the Cold and Arid Regions Environmental and Engineering Research Institute, Chinese Academy of Sciences (grant no. Y35111001). We also thank the anonymous reviewers and editors, whose comments and suggestions helped us to improve the quality of this paper.</t>
  </si>
  <si>
    <t>10.1657/AAAR00C-13-307</t>
  </si>
  <si>
    <t>WOS:000355627500009</t>
  </si>
  <si>
    <t>Peng, F; Xu, MH; You, QG; Zhou, XH; Wang, T; Xue, X</t>
  </si>
  <si>
    <t>Peng Fei; Xu Manhou; You Quangang; Zhou Xuhui; Wang Tao; Xue Xian</t>
  </si>
  <si>
    <t>Different responses of soil respiration and its components to experimental warming with contrasting soil water content</t>
  </si>
  <si>
    <t>CARBON-CYCLE FEEDBACK; QINGHAI-TIBET PLATEAU; CO2 FLUX; PLANT-GROWTH; TEMPERATURE; BIOMASS; SENSITIVITY; MOISTURE; TUNDRA; MANIPULATION</t>
  </si>
  <si>
    <t>Soil water content (SWC) regulation on the responses of soil respiration (R-s), autotrophic respiration (R-a), and heterotrophic respiration (R-h) to warming are rarely investigated in alpine meadow ecosystem in the Qinghai-Tibet Plateau (QTP). We conducted a warming experiment to investigate how SWC regulates the responses of R-s and its components (R-a and R-h) to warming. Infrared heaters were used to simulate climatic warming. Soil respiration was measured inside surface collars (2-3 cm deep) and R-h was measured inside deep collars (50 cm deep), which excludes root respiration. Autotrophic respiration was calculated by subtracting R-h from R-s. Warming increased the average R-s and R-h by 9.9% and 12.7% but had no significant effect on R-a. Interaction between warming and SWC had significant effect on R-s and its components. Soil respiration and R-a decreased by 5.8% and 36.3% in dry conditions, but they increased by 23.5% and 47.7% in wet conditions. Growing season above-ground biomass was enhanced by 0.1 kg m(-2) in wet conditions but reduced by 0.10 kg m(-2) in dry conditions under warming manipulation. The estimated net ecosystem carbon (C) balance was 0.65 and -0.16 kg m(-2) in wet and dry conditions, respectively, which indicates a net C emission of alpine meadow in wet but a net C sequestration in dry conditions. Our results emphasize the importance of incorporating SWC in simulation of ecosystem carbon balance under a warming climate.</t>
  </si>
  <si>
    <t>[Peng Fei; Xu Manhou; You Quangang; Wang Tao; Xue Xian] Chinese Acad Sci, Cold &amp; Arid Reg Environm &amp; Engn Res Inst, Key Lab Desert &amp; Desertificat, Lanzhou 730000, Peoples R China; [Xu Manhou; You Quangang] Chinese Acad Sci, Grad Sch, Beijing 100049, Peoples R China; [Zhou Xuhui] E China Normal Univ, Sch Ecol &amp; Environm Sci, Tiantong Natl Field Observat Stn Forest Ecosyst, Shanghai 200062, Peoples R China</t>
  </si>
  <si>
    <t>Chinese Academy of Sciences; Cold &amp; Arid Regions Environmental &amp; Engineering Research Institute, CAS; Chinese Academy of Sciences; University of Chinese Academy of Sciences, CAS; East China Normal University</t>
  </si>
  <si>
    <t>Xue, X (corresponding author), Chinese Acad Sci, Cold &amp; Arid Reg Environm &amp; Engn Res Inst, Key Lab Desert &amp; Desertificat, West Donggang Rd, Lanzhou 730000, Peoples R China.</t>
  </si>
  <si>
    <t>xianxue@lzb.ac.cn</t>
  </si>
  <si>
    <t>Tao, Wanghai/AAB-6508-2020; manhou, xu/AAA-3630-2019; Zhou, Xuhui/O-5727-2019; xue, xue/JTV-1627-2023; You, Quan Gang/L-8934-2019; Wang, Tao/AGJ-1581-2022; Zhou, Xuhui/H-4332-2011</t>
  </si>
  <si>
    <t>Zhou, Xuhui/0000-0002-2038-9901; Wang, Tao/0000-0002-2892-1050; Zhou, Xuhui/0000-0002-2038-9901; manhou, xu/0000-0001-7558-6227</t>
  </si>
  <si>
    <t>National Science Foundation of China [41301211, 41201195, 41301210]; Foundation for Excellent Youth Scholars of CAREERI; 100-talent Program of Chinese Academy of Sciences (CAS); CAS [351191001]</t>
  </si>
  <si>
    <t>National Science Foundation of China(National Natural Science Foundation of China (NSFC)); Foundation for Excellent Youth Scholars of CAREERI; 100-talent Program of Chinese Academy of Sciences (CAS); CAS(Chinese Academy of Sciences)</t>
  </si>
  <si>
    <t>This research is financially supported by National Science Foundation of China (grants 41301211, 41201195, 41301210), the Foundation for Excellent Youth Scholars of CAREERI, 100-talent Program of Chinese Academy of Sciences (CAS), and CAS (grant 351191001). The authors are greatly grateful to Professor Yongzhi Liu and all the colleagues in Beilu River research station for providing the experimental site and for their kindly help in the field experiment.</t>
  </si>
  <si>
    <t>10.1657/AAAR0014-018</t>
  </si>
  <si>
    <t>WOS:000355627500016</t>
  </si>
  <si>
    <t>Uehara, Y; Kume, A; Chiwa, M; Honoki, H; Zhang, J; Watanabe, K</t>
  </si>
  <si>
    <t>Uehara, Yoshitoshi; Kume, Atsushi; Chiwa, Masaaki; Honoki, Hideharu; Zhang, Jing; Watanabe, Koichi</t>
  </si>
  <si>
    <t>Atmospheric deposition and interactions with Pinus pumila Regal canopy on Mount Tateyama in the Northern Japanese Alps</t>
  </si>
  <si>
    <t>TRANSPORTED AIR-POLLUTANTS; MT. TATEYAMA; CHEMICAL-COMPOSITION; SEASONAL-VARIATION; PACIFIC-NORTHWEST; YAKUSHIMA ISLAND; DRY DEPOSITION; FOG WATER; LONG-TERM; NITROGEN</t>
  </si>
  <si>
    <t>To estimate the impact of atmospheric deposition on alpine ecosystems, we evaluated the interactions between atmospheric deposition and the Pinus pumila canopy close to the summit of Mount Tateyama, central Japan. We analyzed the chemical characteristics of rain, fog, and throughfall under the canopy in the summertime for 5 years. The concentrations of inorganic nitrogen and sulfate in precipitation at the summit (2839 m a.s.l.) were lower than at the base (13 m a.s.l.), but the total amounts deposited tended to be larger, because the precipitation was greater at the summit and highly concentrated fog water was deposited on the pine canopy. Large fluctuations in the quality and quantity of deposition were due to interannual variations in the meteorological conditions. About 80% of NO3- N and NH4+-N (0.40 and 0.47 kg ha(-1) month(-1)) from rain and fog were retained in the P. pumila canopy, and contributions from fog were twice those from rain. Considerable amounts of K+, Mg2+, and Ca2+ ions (0.97, 0.13, and 0.13 kg ha(-1) month(-1)) were leached out from the canopy to the soil as throughfall. The leaching did not increase with rainfall, but increased as the duration of the fog and dew increased.</t>
  </si>
  <si>
    <t>[Uehara, Yoshitoshi; Kume, Atsushi; Chiwa, Masaaki] Kyushu Univ, Fac Agr, Kyushu Univ Forest, Fukuoka 8112415, Japan; [Honoki, Hideharu] Toyama Sci Museum, Toyama 9398084, Japan; [Zhang, Jing] Toyama Univ, Fac Sci, Toyama 9308555, Japan; [Watanabe, Koichi] Toyama Prefectural Univ, Fac Engn, Toyama 9390398, Japan</t>
  </si>
  <si>
    <t>Kyushu University; University of Toyama; Toyama Prefectural University</t>
  </si>
  <si>
    <t>Kume, A (corresponding author), Kyushu Univ, Fac Agr, Kyushu Univ Forest, 394 Tsubakuro, Fukuoka 8112415, Japan.</t>
  </si>
  <si>
    <t>glacier_foreland@yahoo.co.jp</t>
  </si>
  <si>
    <t>Kume, Atsushi/G-3523-2011</t>
  </si>
  <si>
    <t>Kume, Atsushi/0000-0002-0048-5680</t>
  </si>
  <si>
    <t>Ministry of Education, Culture, Sports, Science and Technology (MEXT) [18310022, 22310022, 23570030]; Global COE Program (Center of Excellence for Asian Conservation Ecology as a Basis of Human Nature Mutualism), MEXT, Japan; Grants-in-Aid for Scientific Research [25400469, 22310022, 23570030, 18310022, 15K00566] Funding Source: KAKEN</t>
  </si>
  <si>
    <t>Ministry of Education, Culture, Sports, Science and Technology (MEXT)(Ministry of Education, Culture, Sports, Science and Technology, Japan (MEXT)); Global COE Program (Center of Excellence for Asian Conservation Ecology as a Basis of Human Nature Mutualism), MEXT, Japan; Grants-in-Aid for Scientific Research(Ministry of Education, Culture, Sports, Science and Technology, Japan (MEXT)Japan Society for the Promotion of ScienceGrants-in-Aid for Scientific Research (KAKENHI))</t>
  </si>
  <si>
    <t>We thank Kazuma Aoki, Wataru Shimada, Hajime Iida, Kyoichi Otsuki, and Eisuke Niwa, and the members of the University of Toyama and the Tateyama Murodo Sanso for their support in this study. This work was supported in part by a Grant-in-Aid for Scientific Research from the Ministry of Education, Culture, Sports, Science and Technology (MEXT; Nos. 18310022, 22310022, 23570030, 22310022) and Global COE Program (Center of Excellence for Asian Conservation Ecology as a Basis of Human Nature Mutualism), MEXT, Japan. Chubu Region Environmental Office, Toyama Prefecture and the Toyama District Forest Office granted admittance for research on Mount Tateyama.</t>
  </si>
  <si>
    <t>10.1657/AAAR0013-126</t>
  </si>
  <si>
    <t>WOS:000355627500019</t>
  </si>
  <si>
    <t>Hughes, KA; Pertierra, LR; Molina-Montenegro, MA; Convey, P</t>
  </si>
  <si>
    <t>Hughes, Kevin A.; Pertierra, Luis R.; Molina-Montenegro, Marco A.; Convey, Peter</t>
  </si>
  <si>
    <t>Biological invasions in terrestrial Antarctica: what is the current status and can we respond?</t>
  </si>
  <si>
    <t>BIODIVERSITY AND CONSERVATION</t>
  </si>
  <si>
    <t>Antarctic Treaty area; Environmental Protocol; Alien species; Biosecurity; Invasion; Eradication</t>
  </si>
  <si>
    <t>POA-ANNUA L.; INVERTEBRATE FAUNA; CURRENT KNOWLEDGE; ALIEN; IMPACTS; ISLANDS; ECOLOGY; PLANTS; RISK; ECOSYSTEMS</t>
  </si>
  <si>
    <t>Until recently the Antarctic continent and Peninsula have been little impacted by non-native species, compared to other regions of the Earth. However, reports of species introductions are increasing as awareness of biological invasions as a major conservation threat, within the context of increased human activities and climate change scenarios, has grown within the Antarctic community. Given the recent increase in documented reports, here we provide an up-to-date inventory of known terrestrial non-native species introductions, including those subsequently removed since the 1990s, within the Antarctic Treaty area. This builds on earlier syntheses of records published in the mid-2000s, which focused largely on the sub-Antarctic islands, given the dearth of literature available at that time from the continental and maritime Antarctic regions. Reports of non-native species established in the natural environment (i.e. non-synanthropic) are mainly located within the Antarctic Peninsula region and Scotia Arc, with Deception Island, South Shetland Islands, the most impacted area. Non-native plants have generally been removed from sites of introduction, but no established invertebrates have yet been subject to any eradication attempt, despite a recent increase in reports. Legislation within the Protocol on Environmental Protection to the Antarctic Treaty has not kept pace with environmental best practice, potentially presenting difficulties for the practical aspects of non-native species control and eradication. The success of any eradication attempt may be affected by management practices and the biology of the target species under polar conditions. Practical management action is only likely to succeed with greater co-operation and improved communication and engagement by nations and industries operating in the region.</t>
  </si>
  <si>
    <t>[Hughes, Kevin A.; Convey, Peter] British Antarctic Survey, Nat Environm Res Council, Cambridge CB3 0ET, England; [Pertierra, Luis R.] Univ Rey Juan Carlos, Dept Biol &amp; Geol, Area Biodiversidad &amp; Conservac, Madrid 28933, Spain; [Molina-Montenegro, Marco A.] Univ Catolica Norte, Fac Ciencias Mar, CEAZA, Coquimbo, Chile</t>
  </si>
  <si>
    <t>UK Research &amp; Innovation (UKRI); Natural Environment Research Council (NERC); NERC British Antarctic Survey; Universidad Rey Juan Carlos; Universidad Catolica del Norte</t>
  </si>
  <si>
    <t>Hughes, KA (corresponding author), British Antarctic Survey, Nat Environm Res Council, Madingley Rd, Cambridge CB3 0ET, England.</t>
  </si>
  <si>
    <t>kehu@bas.ac.uk</t>
  </si>
  <si>
    <t>Hughes, Kevin/JVZ-0793-2024; Convey, Peter/AAV-5728-2020; Pertierra, Luis R./K-3727-2017</t>
  </si>
  <si>
    <t>Convey, Peter/0000-0001-8497-9903; Pertierra, Luis R./0000-0002-2232-428X; Molina-Montenegro, Marco/0000-0001-6801-8942</t>
  </si>
  <si>
    <t>NERC; NERC [bas0100025, bas010011] Funding Source: UKRI; Natural Environment Research Council [bas010011, bas0100025] Funding Source: researchfish</t>
  </si>
  <si>
    <t>NERC(UK Research &amp; Innovation (UKRI)Natural Environment Research Council (NERC)); NERC(UK Research &amp; Innovation (UKRI)Natural Environment Research Council (NERC)); Natural Environment Research Council(UK Research &amp; Innovation (UKRI)Natural Environment Research Council (NERC))</t>
  </si>
  <si>
    <t>This review paper is a contribution to the SCAR AntEco (State of the Antarctic Ecosystem) research programme. KH and PC are supported by NERC core funding to the British Antarctic Survey's Polar Science for Planet Earth core programmes 'Environment Office-Long Term Monitoring and Survey' (EO-LTMS) and 'Ecosystems'.</t>
  </si>
  <si>
    <t>0960-3115</t>
  </si>
  <si>
    <t>1572-9710</t>
  </si>
  <si>
    <t>BIODIVERS CONSERV</t>
  </si>
  <si>
    <t>Biodivers. Conserv.</t>
  </si>
  <si>
    <t>10.1007/s10531-015-0896-6</t>
  </si>
  <si>
    <t>CH2XM</t>
  </si>
  <si>
    <t>Green Accepted, hybrid</t>
  </si>
  <si>
    <t>WOS:000353888600002</t>
  </si>
  <si>
    <t>Attard, CRM; Beheregaray, LB; Jenner, KCS; Gill, PC; Jenner, MNM; Morrice, MG; Teske, PR; Möller, LM</t>
  </si>
  <si>
    <t>Attard, Catherine R. M.; Beheregaray, Luciano B.; Jenner, K. Curt S.; Gill, Peter C.; Jenner, Micheline-Nicole M.; Morrice, Margaret G.; Teske, Peter R.; Moeller, Luciana M.</t>
  </si>
  <si>
    <t>Low genetic diversity in pygmy blue whales is due to climate-induced diversification rather than anthropogenic impacts</t>
  </si>
  <si>
    <t>BIOLOGY LETTERS</t>
  </si>
  <si>
    <t>Australia; Balaenoptera musculus; climate change; phylogeography; speciation; endangered species</t>
  </si>
  <si>
    <t>BALAENOPTERA-MUSCULUS; SOUTHERN-HEMISPHERE; POPULATION; HISTORY; OCEAN</t>
  </si>
  <si>
    <t>Unusually low genetic diversity can be a warning of an urgent need to mitigate causative anthropogenic activities. However, current low levels of genetic diversity in a population could also be due to natural historical events, including recent evolutionary divergence, or long-term persistence at a small population size. Here, we determine whether the relatively low genetic diversity of pygmy blue whales (Balaenoptera musculus brevicauda) in Australia is due to natural causes or overexploitation. We apply recently developed analytical approaches in the largest genetic dataset ever compiled to study blue whales (297 samples collected after whaling and representing lineages from Australia, Antarctica and Chile). We find that low levels of genetic diversity in Australia are due to a natural founder event from Antarctic blue whales (Balaenoptera musculus intermedia) that occurred around the Last Glacial Maximum, followed by evolutionary divergence. Historical climate change has therefore driven the evolution of blue whales into genetically, phenotypically and behaviourally distinct lineages that will likely be influenced by future climate change.</t>
  </si>
  <si>
    <t>[Attard, Catherine R. M.; Beheregaray, Luciano B.; Teske, Peter R.; Moeller, Luciana M.] Dept Agr S Australia, Adelaide, SA 5001, Australia; [Attard, Catherine R. M.] Macquarie Univ, Dept Biol Sci, Sydney, NSW 2109, Australia; [Jenner, K. Curt S.; Jenner, Micheline-Nicole M.] Ctr Whale Res, Fremantle, WA 6959, Australia; [Gill, Peter C.] Blue Whale Study, Narrawong, Vic 3285, Australia; [Gill, Peter C.; Morrice, Margaret G.] Deakin Univ, Sch Life &amp; Environm Sci, Warrnambool, Vic 3280, Australia; [Teske, Peter R.] Univ Johannesburg, Dept Zool, Mol Zool Lab, Aquat Div, ZA-2006 Auckland Pk, South Africa</t>
  </si>
  <si>
    <t>Macquarie University; Deakin University; University of Johannesburg</t>
  </si>
  <si>
    <t>Attard, CRM (corresponding author), Dept Agr S Australia, GPO Box 2100, Adelaide, SA 5001, Australia.</t>
  </si>
  <si>
    <t>catherine.r.attard@gmail.com</t>
  </si>
  <si>
    <t>Beheregaray, Luciano/A-8621-2008; Beheregaray, Luciano/AAY-6384-2021; Gill, Peter/JZT-5482-2024; Möller, Luciana M/A-6030-2008; Teske, Peter/B-1564-2019</t>
  </si>
  <si>
    <t>Beheregaray, Luciano/0000-0003-0944-3003; Beheregaray, Luciano/0000-0003-0944-3003; Teske, Peter/0000-0002-2838-7804; Attard, Catherine/0000-0003-1157-570X; Morrice, Margie/0000-0001-6903-4565; Moller, Luciana/0000-0002-7293-5847</t>
  </si>
  <si>
    <t>Australian Marine Mammal Centre within the Australian Antarctic Division, Flinders University; Macquarie University; Royal Zoological Society of NSW; Australian Postgraduate Award</t>
  </si>
  <si>
    <t>Australian Marine Mammal Centre within the Australian Antarctic Division, Flinders University; Macquarie University; Royal Zoological Society of NSW; Australian Postgraduate Award(Australian Government)</t>
  </si>
  <si>
    <t>Australian Marine Mammal Centre within the Australian Antarctic Division, Flinders University, Macquarie University, the Royal Zoological Society of NSW and an Australian Postgraduate Award to C.R.M.A.</t>
  </si>
  <si>
    <t>1744-9561</t>
  </si>
  <si>
    <t>1744-957X</t>
  </si>
  <si>
    <t>BIOL LETTERS</t>
  </si>
  <si>
    <t>Biol. Lett.</t>
  </si>
  <si>
    <t>10.1098/rsbl.2014.1037</t>
  </si>
  <si>
    <t>CM4VW</t>
  </si>
  <si>
    <t>WOS:000357684200002</t>
  </si>
  <si>
    <t>Elliott, HAL; Gernon, TM; Roberts, S; Hewson, C</t>
  </si>
  <si>
    <t>Elliott, H. A. L.; Gernon, T. M.; Roberts, S.; Hewson, C.</t>
  </si>
  <si>
    <t>Basaltic maar-diatreme volcanism in the Lower Carboniferous of the Limerick Basin (SW Ireland)</t>
  </si>
  <si>
    <t>Maar-diatremes; Phreatomagmatic; Lower Carboniferous; Shallow marine environment</t>
  </si>
  <si>
    <t>VOLCANICLASTIC KIMBERLITE EMPLACEMENT; VENT COLUMN COLLAPSE; EKATI DIAMOND MINE; HYDROTHERMAL ALTERATION; DINANTIAN LIMESTONES; CRUSTAL XENOLITHS; ALTERNATIVE MODEL; FOX KIMBERLITE; NAVAJO NATION; COOMBS-HILLS</t>
  </si>
  <si>
    <t>[Elliott, H. A. L.; Gernon, T. M.; Roberts, S.] Univ Southampton, Natl Oceanog Ctr, Ocean &amp; Earth Sci, Southampton SO14 3ZH, Hants, England; [Hewson, C.] Teck Ireland Ltd, The Murrough, Wicklow, Ireland</t>
  </si>
  <si>
    <t>NERC National Oceanography Centre; University of Southampton</t>
  </si>
  <si>
    <t>Elliott, HAL (corresponding author), Univ Southampton, Natl Oceanog Ctr, Ocean &amp; Earth Sci, Southampton SO14 3ZH, Hants, England.</t>
  </si>
  <si>
    <t>Holly.Elliott@noc.soton.ac.uk</t>
  </si>
  <si>
    <t>Gernon, Thomas M/D-7570-2012</t>
  </si>
  <si>
    <t>Gernon, Thomas/0000-0002-7717-2092; Roberts, Stephen/0000-0003-4755-6703</t>
  </si>
  <si>
    <t>Natural Environment Research Council [1240284] Funding Source: researchfish</t>
  </si>
  <si>
    <t>Natural Environment Research Council(UK Research &amp; Innovation (UKRI)Natural Environment Research Council (NERC))</t>
  </si>
  <si>
    <t>10.1007/s00445-015-0922-2</t>
  </si>
  <si>
    <t>WOS:000354191900004</t>
  </si>
  <si>
    <t>Zhu, CF; Li, YM; Wang, P; Chen, ZJ; Ren, DW; Ssebugere, P; Zhang, QH; Jiang, GB</t>
  </si>
  <si>
    <t>Zhu, Chaofei; Li, Yingming; Wang, Pu; Chen, Zhaojing; Ren, Daiwei; Ssebugere, Patrick; Zhang, Qinghua; Jiang, Guibin</t>
  </si>
  <si>
    <t>Polychlorinated biphenyls (PCBs) and polybrominated biphenyl ethers (PBDEs) in environmental samples from Ny-Alesund and London Island, Svalbard, the Arctic</t>
  </si>
  <si>
    <t>CHEMOSPHERE</t>
  </si>
  <si>
    <t>PCBs; PBDEs; Soil; Plants; Arctic</t>
  </si>
  <si>
    <t>BROMINATED FLAME RETARDANTS; KING GEORGE ISLAND; PERSISTENT ORGANIC POLLUTANTS; EUROPEAN BACKGROUND SOILS; DIPHENYL ETHERS; ORGANOCHLORINE CONTAMINANTS; LARUS-HYPERBOREUS; BIOACCUMULATION; TRENDS; PESTICIDES</t>
  </si>
  <si>
    <t>Polychlorinated biphenyls (PCBs) and polybrominated biphenyl ethers (PBDEs) were determined in environmental samples collected from Ny-Alesund and London Island, Svalbard, the Arctic. Total PCB concentrations (Sigma(25)PCBs) varied from 0.57 to 2.52 ng g(-1) dry weight (dw) in soil, 030 to 1.16 ng g(-1) dw in plants and 0.56 to 0.98 ng g(-1) dw in reindeer dung. The non-Aroclor congener of CB-11 was predominant in most samples compared to other congeners, accounting for 16.0 +/- 9.8% to the Sigma(25)PCBs. The Sigma 13PBDEs concentrations were 1.7-416,36.7-495 and 28.1-104 pg g(-1) dw in soil, plants and reindeer dung, respectively. The signature of enantioselective biotransformation was observed in all samples for chiral CB-95, whereas in parts of samples for other chiral PCBs. Bioaccumulation factors (BAFs) in six plant species varied within individual contaminant congeners and plant species, with BAFs less than 1 for Sigma PCBs and higher than 1 for Sigma PEDEs. BAF values decreased with increasing soil concentrations, suggesting that high background levels in soil restricted the accumulation of these contaminants by plants. (C) 2015 Elsevier Ltd. All rights reserved.</t>
  </si>
  <si>
    <t>[Zhu, Chaofei; Li, Yingming; Wang, Pu; Chen, Zhaojing; Ren, Daiwei; Zhang, Qinghua; Jiang, Guibin] Chinese Acad Sci, Ecoenvironm Sci Res Ctr, State Key Lab Environm Chem &amp; Ecotoxicol, Beijing 100085, Peoples R China; [Ssebugere, Patrick] Makerere Univ, Dept Chem, Kampala, Uganda</t>
  </si>
  <si>
    <t>Chinese Academy of Sciences; Research Center for Eco-Environmental Sciences (RCEES); Makerere University</t>
  </si>
  <si>
    <t>Zhang, QH (corresponding author), Chinese Acad Sci, Ecoenvironm Sci Res Ctr, State Key Lab Environm Chem &amp; Ecotoxicol, Beijing 100085, Peoples R China.</t>
  </si>
  <si>
    <t>qhzhang@rcees.ac.cn</t>
  </si>
  <si>
    <t>ZHANG, XUCHEN/KBB-7989-2024; zhang, qinghua/HMP-3611-2023</t>
  </si>
  <si>
    <t>zhang, qinghua/0000-0002-9707-4051</t>
  </si>
  <si>
    <t>National Natural Science Foundation of China [41276195, 21477155, 21277165]; Young Scientists Fund of RCEES [RCEES-QN-20130005F]; Chinese Academy of Sciences [XDB14010100, YSW2013B01]; State Oceanic Administration, P.R. China [2011YR07007, 2012YR16016]</t>
  </si>
  <si>
    <t>National Natural Science Foundation of China(National Natural Science Foundation of China (NSFC)); Young Scientists Fund of RCEES; Chinese Academy of Sciences(Chinese Academy of Sciences); State Oceanic Administration, P.R. China</t>
  </si>
  <si>
    <t>This study was jointly funded by National Natural Science Foundation of China (41276195, 21477155 and 21277165), Young Scientists Fund of RCEES (RCEES-QN-20130005F), Chinese Academy of Sciences (XDB14010100 and YSW2013B01) and the State Oceanic Administration, P.R. China (2011YR07007 and 2012YR16016). We also thank Chinese Arctic and Antarctic Ministration for the arrangements during the Chinese Arctic Scientific Expedition in 2011 and 2012.</t>
  </si>
  <si>
    <t>0045-6535</t>
  </si>
  <si>
    <t>1879-1298</t>
  </si>
  <si>
    <t>Chemosphere</t>
  </si>
  <si>
    <t>10.1016/j.chemosphere.2015.01.043</t>
  </si>
  <si>
    <t>Environmental Sciences</t>
  </si>
  <si>
    <t>CE6WV</t>
  </si>
  <si>
    <t>WOS:000351979800006</t>
  </si>
  <si>
    <t>Wang, Y; Yan, XD; Wang, ZM</t>
  </si>
  <si>
    <t>Wang, Ye; Yan, Xiaodong; Wang, Zhaomin</t>
  </si>
  <si>
    <t>Global warming caused by afforestation in the Southern Hemisphere</t>
  </si>
  <si>
    <t>ECOLOGICAL INDICATORS</t>
  </si>
  <si>
    <t>Afforestation; Modeling; SH; Warming</t>
  </si>
  <si>
    <t>LAND-COVER CHANGE; MCGILL PALEOCLIMATE MODEL; CLIMATE SYSTEM MODEL; THERMOHALINE CIRCULATION; BIOGEOPHYSICAL IMPACTS; SURFACE CLIMATE; CARBON SINK; PART II; SCALE; VEGETATION</t>
  </si>
  <si>
    <t>Using an earth system model of intermediate complexity (EMIC), the McGill Paleoclimate Model-2 (MPM-2), this paper examines the climatic biogeophysical effects of afforestation in the southern hemisphere (SH) with a focus on land-atmosphere interactions and the modeling influence of the dynamic ocean in the background of the earth system. Increased forest cover affects the albedo feedback and the supply of water, which in turn influences temperature. These changes largely control the net impact of the SH afforestation based on latitudinal band. In response to afforestation in 0-15 degrees S and 0-40 degrees S, the local surface air temperature significantly increases at a maximum value around 5 degrees S during autumn. This warming is attributed to decreased land surface albedo dominating over enhanced precipitation which is resulted from increased tree cover. Forest expansions in 15-30 degrees S and 30-40 degrees S induce diminished land surface albedo and precipitation locally, leading to a warming around 25 degrees S during spring and a warming around 35 degrees S in winter, respectively. The maximum differences in the modeled responses of afforestation on latitude band basis are seen to be 7-10 times larger for the same season. Our results show that capturing how and where biogeophysical changes due to forest expansion warm a specific region requires an accurate global simulation of afforestation geographically. This provides potential for further improving detection and attribution of regional afforestation effects. Furthermore, a dynamic ocean simulation results in a warming compared with a fixed one over most forcing originating areas in response to afforestation. We demonstrate that unless the dynamic ocean is considered we risk influenced conclusions regarding the drivers of temperature changes over regions of afforestation. (C) 2014 Elsevier Ltd. All rights reserved.</t>
  </si>
  <si>
    <t>[Wang, Ye] Nanjing Univ Aeronaut &amp; Astronaut, Coll Civil Aviat, Nanjing 210016, Jiangsu, Peoples R China; [Yan, Xiaodong] Beijing Normal Univ, Coll Global Change &amp; Earth Syst Sci, State Key Lab Earth Surface Proc &amp; Resource Ecol, Beijing 100875, Peoples R China; [Wang, Zhaomin] British Antarctic Survey, Cambridge CB3 0ET, England</t>
  </si>
  <si>
    <t>Nanjing University of Aeronautics &amp; Astronautics; Beijing Normal University; UK Research &amp; Innovation (UKRI); Natural Environment Research Council (NERC); NERC British Antarctic Survey</t>
  </si>
  <si>
    <t>Wang, Y (corresponding author), Nanjing Univ Aeronaut &amp; Astronaut, Coll Civil Aviat, Nanjing 210016, Jiangsu, Peoples R China.</t>
  </si>
  <si>
    <t>wytea@126.com</t>
  </si>
  <si>
    <t>Yan, Xiaodong/0000-0002-0774-9140</t>
  </si>
  <si>
    <t>National Natural Science Foundation of China-Youth Science Fund Project [41305055]; Natural Environment Research Council [bas0100028] Funding Source: researchfish; NERC [bas0100028] Funding Source: UKRI</t>
  </si>
  <si>
    <t>National Natural Science Foundation of China-Youth Science Fund Project; Natural Environment Research Council(UK Research &amp; Innovation (UKRI)Natural Environment Research Council (NERC)); NERC(UK Research &amp; Innovation (UKRI)Natural Environment Research Council (NERC))</t>
  </si>
  <si>
    <t>This research was supported by National Natural Science Foundation of China-Youth Science Fund Project (grant no. 41305055).</t>
  </si>
  <si>
    <t>1470-160X</t>
  </si>
  <si>
    <t>1872-7034</t>
  </si>
  <si>
    <t>ECOL INDIC</t>
  </si>
  <si>
    <t>Ecol. Indic.</t>
  </si>
  <si>
    <t>10.1016/j.ecolind.2014.12.004</t>
  </si>
  <si>
    <t>Biodiversity Conservation; Environmental Sciences</t>
  </si>
  <si>
    <t>CD2OJ</t>
  </si>
  <si>
    <t>WOS:000350918600039</t>
  </si>
  <si>
    <t>Rengefors, K; Logares, R; Laybourn-Parry, J; Gast, RJ</t>
  </si>
  <si>
    <t>Rengefors, Karin; Logares, Ramiro; Laybourn-Parry, Johanna; Gast, Rebecca J.</t>
  </si>
  <si>
    <t>Evidence of concurrent local adaptation and high phenotypic plasticity in a polar microeukaryote</t>
  </si>
  <si>
    <t>ENVIRONMENTAL MICROBIOLOGY</t>
  </si>
  <si>
    <t>VESTFOLD HILLS; SALINE LAKES; GROWTH-RATE; DNA; DIVERSITY; DIFFERENTIATION; DINOPHYCEAE; POPULATIONS; GENOMICS; AFLP</t>
  </si>
  <si>
    <t>Here we investigated whether there is evidence of local adaptation in strains of an ancestrally marine dinoflagellate to the lacustrine environment they now inhabit (optimal genotypes) and/or if they have evolved phenotypic plasticity (a range of phenotypes). Eleven strains of Polarella glacialis were isolated and cultured from three different environments: the polar seas, a hyposaline and a hypersaline Antarctic lake. Local adaptation was tested by comparing growth rates of lacustrine and marine strains at their own and reciprocal site conditions. To determine phenotypic plasticity, we measured the reaction norm for salinity. We found evidence of both, limited local adaptation and higher phenotypic plasticity in lacustrine strains when compared with marine ancestors. At extreme high salinities, local lake strains outperformed other strains, and at extreme low salinities, strains from the hyposaline lake outperformed all other strains. The data suggest that lake populations may have evolved higher phenotypic plasticity in the lake habitats compared with the sea, presumably due to the high temporal variability in salinity in the lacustrine systems. Moreover, the interval of salinity tolerance differed between strains from the hyposaline and hypersaline lakes, indicating local adaptation promoted by different salinity.</t>
  </si>
  <si>
    <t>[Rengefors, Karin] Lund Univ, Dept Biol, SE-22362 Lund, Sweden; [Logares, Ramiro] CSIC, Inst Marine Sci, ICM, ES-08003 Barcelona, Spain; [Laybourn-Parry, Johanna] Univ Bristol, Sch Geog Sci, Bristol Glaciol Ctr, Bristol BS8 1SS, Avon, England; [Gast, Rebecca J.] Woods Hole Oceanog Inst, Dept Biol, Woods Hole, MA 02543 USA</t>
  </si>
  <si>
    <t>Lund University; Consejo Superior de Investigaciones Cientificas (CSIC); CSIC - Centro Mediterraneo de Investigaciones Marinas y Ambientales (CMIMA); CSIC - Instituto de Ciencias del Mar (ICM); University of Bristol; Woods Hole Oceanographic Institution</t>
  </si>
  <si>
    <t>Rengefors, K (corresponding author), Lund Univ, Dept Biol, SE-22362 Lund, Sweden.</t>
  </si>
  <si>
    <t>Karin.Rengefors@biol.lu.se</t>
  </si>
  <si>
    <t>Rengefors, Karin/K-5873-2019; Logares, Ramiro/D-5920-2011; Logares, Ramiro/AAI-2306-2019</t>
  </si>
  <si>
    <t>Logares, Ramiro/0000-0002-8213-0604; Gast, Rebecca J/0000-0003-3875-3975; Rengefors, Karin/0000-0001-6297-9734</t>
  </si>
  <si>
    <t>Australian Antarctic Research Assessment Committee; Swedish Research Council [621-2009-5324]; Marie Curie Intra-European Fellowship (EU) [PIEF-GA-2009-235365]; Juan de la Cierva fellowship (Ministry of Science and Innovation, Spain) [JCI-2010-06594]</t>
  </si>
  <si>
    <t>Australian Antarctic Research Assessment Committee; Swedish Research Council(Swedish Research Council); Marie Curie Intra-European Fellowship (EU)(European Union (EU)Marie Curie Actions); Juan de la Cierva fellowship (Ministry of Science and Innovation, Spain)</t>
  </si>
  <si>
    <t>This work was supported by a grant from the Australian Antarctic Research Assessment Committee to J.L-P and KR and by The Swedish Research Council (621-2009-5324) to KR. RL has been financed by a Marie Curie Intra-European Fellowship (PIEF-GA-2009-235365, EU) and a Juan de la Cierva fellowship (JCI-2010-06594, Ministry of Science and Innovation, Spain). Marie Svensson is thanked for laboratory assistance. We thank Paul Thomson for providing the FLIB strain. We are grateful to Dr. Johan Hollander for commenting on an earlier version of this manuscript and for statistical help. We thank the Australian Antarctic Division staff in Kingston, onboard the research vessel Aurora Australis and at Davis Station, Antarctica.</t>
  </si>
  <si>
    <t>1462-2912</t>
  </si>
  <si>
    <t>1462-2920</t>
  </si>
  <si>
    <t>ENVIRON MICROBIOL</t>
  </si>
  <si>
    <t>Environ. Microbiol.</t>
  </si>
  <si>
    <t>10.1111/1462-2920.12571</t>
  </si>
  <si>
    <t>CG7TD</t>
  </si>
  <si>
    <t>WOS:000353507100004</t>
  </si>
  <si>
    <t>Godinho, VM; Gonçalves, VN; Santiago, IF; Figueredo, HM; Vitoreli, GA; Schaefer, CEGR; Barbosa, EC; Oliveira, JG; Alves, TMA; Zani, CL; Junior, PAS; Murta, SMF; Romanha, AJ; Kroon, EG; Cantrell, CL; Wedge, DE; Duke, SO; Ali, A; Rosa, CA; Rosa, LH</t>
  </si>
  <si>
    <t>Godinho, Valeria M.; Goncalves, Vivian N.; Santiago, Iara F.; Figueredo, Hebert M.; Vitoreli, Gislaine A.; Schaefer, Carlos E. G. R.; Barbosa, Emerson C.; Oliveira, Jaquelline G.; Alves, Tania M. A.; Zani, Carlos L.; Junior, Policarpo A. S.; Murta, Silvane M. F.; Romanha, Alvaro J.; Kroon, Erna Geessien; Cantrell, Charles L.; Wedge, David E.; Duke, Stephen O.; Ali, Abbas; Rosa, Carlos A.; Rosa, Luiz H.</t>
  </si>
  <si>
    <t>Diversity and bioprospection of fungal community present in oligotrophic soil of continental Antarctica</t>
  </si>
  <si>
    <t>EXTREMOPHILES</t>
  </si>
  <si>
    <t>Antarctica; Drug discovery; Ecology; Fungi; Taxonomy</t>
  </si>
  <si>
    <t>PENICILLIUM; MACROALGAE; DERIVATIVES; ANTIFUNGAL; MICROFUNGI; TAXONOMY; DESV.</t>
  </si>
  <si>
    <t>We surveyed the diversity and capability of producing bioactive compounds from a cultivable fungal community isolated from oligotrophic soil of continental Antarctica. A total of 115 fungal isolates were obtained and identified in 11 taxa of Aspergillus, Debaryomyces, Cladosporium, Pseudogymnoascus, Penicillium and Hypocreales. The fungal community showed low diversity and richness, and high dominance indices. The extracts of Aspergillus sydowii, Penicillium allii-sativi, Penicillium brevicompactum, Penicillium chrysogenum and Penicillium rubens possess antiviral, antibacterial, antifungal, antitumoral, herbicidal and antiprotozoal activities. Bioactive extracts were examined using H-1 NMR spectroscopy and detected the presence of secondary metabolites with chemical shifts. Our results show that the fungi present in cold-oligotrophic soil from Antarctica included few dominant species, which may have important implications for understanding eukaryotic survival in cold-arid oligotrophic soils. We hypothesize that detailed further investigations may provide a greater understanding of the evolution of Antarctic fungi and their relationships with other organisms described in that region. Additionally, different wild pristine bioactive fungal isolates found in continental Antarctic soil may represent a unique source to discover prototype molecules for use in drug and biopesticide discovery studies.</t>
  </si>
  <si>
    <t>[Godinho, Valeria M.; Goncalves, Vivian N.; Santiago, Iara F.; Figueredo, Hebert M.; Vitoreli, Gislaine A.; Kroon, Erna Geessien; Rosa, Carlos A.; Rosa, Luiz H.] Univ Fed Minas Gerais, Dept Microbiol, BR-31270901 Belo Horizonte, MG, Brazil; [Schaefer, Carlos E. G. R.] Univ Fed Vicosa, Dept Ciencia Solo, Vicosa, MG, Brazil; [Barbosa, Emerson C.; Oliveira, Jaquelline G.; Alves, Tania M. A.; Zani, Carlos L.; Junior, Policarpo A. S.; Murta, Silvane M. F.; Romanha, Alvaro J.] Fiocruz MS, Ctr Pesquisas Rene Rachou, Belo Horizonte, MG, Brazil; [Romanha, Alvaro J.] Univ Fed Santa Catarina, Dept Microbiol Imunol &amp; Parasitol, Florianopolis, SC, Brazil; [Cantrell, Charles L.; Wedge, David E.; Duke, Stephen O.] USDA ARS, Nat Prod Utilizat Res Unit, University, AL USA; [Ali, Abbas] Univ Mississippi, NCNPR, University, MS USA</t>
  </si>
  <si>
    <t>Universidade Federal de Minas Gerais; Universidade Federal de Vicosa; Fundacao Oswaldo Cruz; Universidade Federal de Santa Catarina (UFSC); United States Department of Agriculture (USDA); University of Mississippi</t>
  </si>
  <si>
    <t>Rosa, LH (corresponding author), Univ Fed Minas Gerais, Dept Microbiol, BR-31270901 Belo Horizonte, MG, Brazil.</t>
  </si>
  <si>
    <t>lhrosa@icb.ufmg.br</t>
  </si>
  <si>
    <t>Schaefer, Carlos Ernesto/AAY-4977-2020; Alves, Tania Maria A/B-4814-2009; Murta, Silvane Fonseca Murta/ABE-9410-2021; Kroon, Erna Geessien/B-3631-2015; Zani, Carlos Leomar/ABE-3936-2021; Kroon, Erna/V-5444-2019; Zani, Carlos/A-9658-2008</t>
  </si>
  <si>
    <t>Murta, Silvane Fonseca Murta/0000-0002-8523-2155; Kroon, Erna Geessien/0000-0003-2721-3826; Almeida Alves, Tania Maria/0000-0002-0582-3968; Ernesto Goncalves Reynaud Schaefer, Carlos/0000-0001-7060-1598; GERMANO de OLIVEIRA, JAQUELLINE/0000-0002-0487-8748; Zani, Carlos/0000-0003-1859-177X; Ernesto Goncalves Reynaud Schaefer, Carlos/0000-0001-5735-3227</t>
  </si>
  <si>
    <t>CNPq [PROANTAR 407230/2013-0]; CNPq (INCT Criosfera); FAPEMIG [0050-13]; CAPES [23038.003478/2013-92]; FINEP [2084/07]; PDTIS Fiocruz</t>
  </si>
  <si>
    <t>CNPq(Conselho Nacional de Desenvolvimento Cientifico e Tecnologico (CNPQ)); CNPq (INCT Criosfera)(Conselho Nacional de Desenvolvimento Cientifico e Tecnologico (CNPQ)); FAPEMIG(Fundacao de Amparo a Pesquisa do Estado de Minas Gerais (FAPEMIG)); CAPES(Coordenacao de Aperfeicoamento de Pessoal de Nivel Superior (CAPES)); FINEP(Financiadora de Inovacao e Pesquisa (Finep)); PDTIS Fiocruz</t>
  </si>
  <si>
    <t>We acknowledge the financial support from CNPq (Processes PROANTAR 407230/2013-0 and INCT Criosfera), FAPEMIG (0050-13), CAPES (23038.003478/2013-92), FINEP (2084/07), PDTIS Fiocruz. The authors thank Solomon Green III and Robert D. Johnson for technical assistance.</t>
  </si>
  <si>
    <t>SPRINGER JAPAN KK</t>
  </si>
  <si>
    <t>TOKYO</t>
  </si>
  <si>
    <t>SHIROYAMA TRUST TOWER 5F, 4-3-1 TORANOMON, MINATO-KU, TOKYO, 105-6005, JAPAN</t>
  </si>
  <si>
    <t>1431-0651</t>
  </si>
  <si>
    <t>1433-4909</t>
  </si>
  <si>
    <t>Extremophiles</t>
  </si>
  <si>
    <t>10.1007/s00792-015-0741-6</t>
  </si>
  <si>
    <t>Biochemistry &amp; Molecular Biology; Microbiology</t>
  </si>
  <si>
    <t>CG4XY</t>
  </si>
  <si>
    <t>WOS:000353294100004</t>
  </si>
  <si>
    <t>Santos, SN; Kavamura, VN; Taketani, RG; Vasconcellos, RLF; Zucchi, TD; Melo, IS</t>
  </si>
  <si>
    <t>Santos, Suikinai Nobre; Kavamura, Vanessa Nessner; Taketani, Rodrigo Gouvea; Vasconcellos, Rafael L. F.; Zucchi, Tiago Domingues; Melo, Itamar Soares</t>
  </si>
  <si>
    <t>Draft Genome Sequence of Bacillus sp. Strain CMAA 1185, a Cellullolytic Bacterium Isolated from Stain House Lake, Antarctic Peninsula</t>
  </si>
  <si>
    <t>GENOME ANNOUNCEMENTS</t>
  </si>
  <si>
    <t>The aim of this study was to report the genome sequence of the cellulolytic Bacillus sp. strain CMAA 1185, isolated from Stain House Lake, Antarctica.</t>
  </si>
  <si>
    <t>[Santos, Suikinai Nobre; Kavamura, Vanessa Nessner; Taketani, Rodrigo Gouvea; Vasconcellos, Rafael L. F.; Melo, Itamar Soares] EMBRAPA, Brazilian Agr Res Corp, Lab Environm Microbiol, Embrapa Environm, Jaguariuna, SP, Brazil; [Zucchi, Tiago Domingues] Agrivalle, Pouso Alegre, MG, Brazil</t>
  </si>
  <si>
    <t>Empresa Brasileira de Pesquisa Agropecuaria (EMBRAPA)</t>
  </si>
  <si>
    <t>Melo, IS (corresponding author), EMBRAPA, Brazilian Agr Res Corp, Lab Environm Microbiol, Embrapa Environm, Jaguariuna, SP, Brazil.</t>
  </si>
  <si>
    <t>itamar.melo@embrapa.br</t>
  </si>
  <si>
    <t>Kavamura, Vanessa Nessner/AAC-7713-2019; Kavamura, Vanessa Nessner/D-6831-2013; Taketani, Rodrigo/D-1145-2011; Vasconcellos, Rafael/AAB-9768-2020; Santos, Suikina Nobre/S-3587-2019; Kavamura, Vanessa Nessner/AAR-9020-2021; Santos, Suikinai Nobre/L-6304-2017; Zucchi, Tiago/D-2557-2009</t>
  </si>
  <si>
    <t>Kavamura, Vanessa Nessner/0000-0001-7111-7116; Taketani, Rodrigo/0000-0002-5999-8704; Santos, Suikina Nobre/0000-0002-2253-8835; Zucchi, Tiago/0000-0002-9345-1139</t>
  </si>
  <si>
    <t>PROANTAR, Marinha do Brazil; FAPESP [2013/16037-0, 2013/23470-2, 2013/03158-4]</t>
  </si>
  <si>
    <t>PROANTAR, Marinha do Brazil; FAPESP(Fundacao de Amparo a Pesquisa do Estado de Sao Paulo (FAPESP))</t>
  </si>
  <si>
    <t>This study was made possible with the financial and logistic support of PROANTAR, Marinha do Brazil. This is part of the activity of INCT Criosfera project. We thank FAPESP for providing the funding for developing this research (grant 2013/16037-0). R.G.T. was funded by FAPESP with a Young Investigators Fellowship (grants 2013/23470-2 and 2013/03158-4).</t>
  </si>
  <si>
    <t>AMER SOC MICROBIOLOGY</t>
  </si>
  <si>
    <t>1752 N ST NW, WASHINGTON, DC 20036-2904 USA</t>
  </si>
  <si>
    <t>2169-8287</t>
  </si>
  <si>
    <t>Genom. Ann.</t>
  </si>
  <si>
    <t>e00436-15</t>
  </si>
  <si>
    <t>10.1128/genomeA.00436-15</t>
  </si>
  <si>
    <t>VI1DK</t>
  </si>
  <si>
    <t>WOS:000460631200061</t>
  </si>
  <si>
    <t>Peck, LS; Clark, MS; Power, D; Reis, J; Batista, FM; Harper, EM</t>
  </si>
  <si>
    <t>Peck, Lloyd S.; Clark, Melody S.; Power, Deborah; Reis, Joao; Batista, Frederico M.; Harper, Elizabeth M.</t>
  </si>
  <si>
    <t>Acidification effects on biofouling communities: winners and losers</t>
  </si>
  <si>
    <t>algae; ascidian; assemblage; calcium carbonate; climate change; encrusting; ocean acidification; polychaete; skeleton; spirorbid; sponge</t>
  </si>
  <si>
    <t>FUTURE OCEAN ACIDIFICATION; CHANGING OCEAN; CARBONIC-ACID; MARINE; COLONIZATION; DISSOCIATION; ORGANISMS; SERPULIDS; CONSTANTS; SEAWATER</t>
  </si>
  <si>
    <t>How ocean acidification affects marine life is a major concern for science and society. However, its impacts on encrusting biofouling communities, that are both the initial colonizers of hard substrata and of great economic importance, are almost unknown. We showed that community composition changed significantly, from 92% spirorbids, 3% ascidians and 4% sponges initially to 47% spirorbids, 23% ascidians and 29% sponges after 100days in acidified conditions (pH 7.7). In low pH, numbers of the spirorbid Neodexiospira pseudocorrugata were reduced x5 compared to controls. The two ascidians present behaved differently with Aplidium sp. decreasing x10 in pH 7.7, whereas Molgula sp. numbers were x4 higher in low pH than controls. Calcareous sponge (Leucosolenia sp.) numbers increased x2.5 in pH 7.7 over controls. The diatom and filamentous algal community was also more poorly developed in the low pH treatments compared to controls. Colonization of new surfaces likewise showed large decreases in spirorbid numbers, but numbers of sponges and Molgula sp. increased. Spirorbid losses appeared due to both recruitment failure and loss of existing tubes. Spirorbid tubes are comprised of a loose prismatic fabric of calcite crystals. Loss of tube materials appeared due to changes in the binding matrix and not crystal dissolution, as SEM analyses showed crystal surfaces were not pitted or dissolved in low pH conditions. Biofouling communities face dramatic future changes with reductions in groups with hard exposed exoskeletons and domination by soft-bodied ascidians and sponges.</t>
  </si>
  <si>
    <t>[Peck, Lloyd S.; Clark, Melody S.] British Antarctic Survey, Cambridge CB3 0ET, England; [Power, Deborah; Reis, Joao; Batista, Frederico M.] Univ Algarve, Ctr Ciencias Mar, P-8000139 Faro, Portugal; [Batista, Frederico M.] IPMA, Estacao Expt Moluscicultura Tavira, P-8800 Tavira, Portugal; [Harper, Elizabeth M.] Univ Cambridge, Dept Earth Sci, Cambridge CB2 3EQ, England</t>
  </si>
  <si>
    <t>UK Research &amp; Innovation (UKRI); Natural Environment Research Council (NERC); NERC British Antarctic Survey; Universidade do Algarve; University of Cambridge</t>
  </si>
  <si>
    <t>Peck, LS (corresponding author), British Antarctic Survey, Madingley Rd, Cambridge CB3 0ET, England.</t>
  </si>
  <si>
    <t>l.peck@bas.ac.uk</t>
  </si>
  <si>
    <t>Power, Deborah M/D-3333-2011; Harper, Elizabeth M/B-3890-2008; Batista, Frederico/F-5651-2010; /AAL-3738-2021; Clark, Melody/D-7371-2014</t>
  </si>
  <si>
    <t>Power, Deborah M/0000-0003-1366-0246; Batista, Frederico/0000-0002-2848-3011; Clark, Melody/0000-0002-3442-3824</t>
  </si>
  <si>
    <t>EU [227799, 00415/2010]; NERC [bas0100025, bas0100036] Funding Source: UKRI; Natural Environment Research Council [bas0100025, bas0100036] Funding Source: researchfish</t>
  </si>
  <si>
    <t>EU(European Union (EU)); NERC(UK Research &amp; Innovation (UKRI)Natural Environment Research Council (NERC)); Natural Environment Research Council(UK Research &amp; Innovation (UKRI)Natural Environment Research Council (NERC))</t>
  </si>
  <si>
    <t>This work was supported by an EU Research Infrastructure Action under the FP7 'Capacities' Specific Programme, ASSEMBLE grant agreement no. 227799, CCMAR Ref 00415/2010. We thank Miguel Viegas for assistance with animal husbandry. We thank Ana Margarida Amaral for assistance with logistics in early trials and also Michelle King and Elaine Fitzcharles for carrying out the barcoding. Colleen Suckling assisted with seawater parameter calculations.</t>
  </si>
  <si>
    <t>10.1111/gcb.12841</t>
  </si>
  <si>
    <t>CG3ZX</t>
  </si>
  <si>
    <t>Green Accepted, Green Published, hybrid</t>
  </si>
  <si>
    <t>WOS:000353220500013</t>
  </si>
  <si>
    <t>Christensen, V; Coll, M; Buszowski, J; Cheung, WWL; Frölicher, T; Steenbeek, J; Stock, CA; Watson, RA; Walters, CJ</t>
  </si>
  <si>
    <t>Christensen, Villy; Coll, Marta; Buszowski, Joe; Cheung, William W. L.; Froelicher, Thomas; Steenbeek, Jeroen; Stock, Charles A.; Watson, Reg A.; Walters, Carl J.</t>
  </si>
  <si>
    <t>The global ocean is an ecosystem: simulating marine life and fisheries</t>
  </si>
  <si>
    <t>GLOBAL ECOLOGY AND BIOGEOGRAPHY</t>
  </si>
  <si>
    <t>Ecosystem model; end-to-end model; fish biomass trends; fish catches; food security; model tuning; seafood production; world ocean</t>
  </si>
  <si>
    <t>EXPLOITED ECOSYSTEMS; MODELS; STOCK; DYNAMICS; ECOSIM; MANAGEMENT; ECOSPACE; ECOPATH; IMPACTS</t>
  </si>
  <si>
    <t>AimThere has been considerable effort allocated to understanding the impact of climate change on our physical environment, but comparatively little to how life on Earth and ecosystem services will be affected. Therefore, we have developed a spatial-temporal food web model of the global ocean, spanning from primary producers through to top predators and fisheries. Through this, we aim to evaluate how alternative management actions may impact the supply of seafood for future generations. LocationGlobal ocean. MethodsWe developed a modelling complex to initially predict the combined impact of environmental parameters and fisheries on global seafood production, and initially evaluated the model's performance through hindcasting. The modelling complex has a food web model as core, obtains environmental productivity from a biogeochemical model and assigns global fishing effort spatially. We tuned model parameters based on Markov chain random walk stock reduction analysis, fitting the model to historic catches. We evaluated the goodness-of-fit of the model to data for major functional groups, by spatial management units and globally. ResultsThis model is the most detailed ever constructed of global fisheries, and it was able to replicate broad patterns of historic fisheries catches with best agreement for the total catches and good agreement for species groups, with more variation at the regional level. Main conclusionsWe have developed a modelling complex that can be used for evaluating the combined impact of fisheries and climate change on upper-trophic level organisms in the global ocean, including invertebrates, fish and other large vertebrates. The model provides an important step that will allow global-scale evaluation of how alternative fisheries management measures can be used for mitigation of climate change.</t>
  </si>
  <si>
    <t>[Christensen, Villy; Cheung, William W. L.; Walters, Carl J.] Univ British Columbia, Fisheries Ctr, Vancouver, BC V6T 1Z4, Canada; [Coll, Marta] Inst Rech Dev, Ctr Rech Halieut Mediterraneenne &amp; Trop, UMR EME 212, F-34203 Sete, France; [Coll, Marta; Buszowski, Joe; Steenbeek, Jeroen] Ecopath Int Initiat Res Assoc, Barcelona, Spain; [Froelicher, Thomas] Princeton Univ, Atmospher &amp; Ocean Sci Program, Princeton, NJ 08544 USA; [Stock, Charles A.] Princeton Univ, NOAA Geophys Fluid Dynam Lab, Princeton, NJ 08540 USA; [Watson, Reg A.] Univ Tasmania, Inst Marine &amp; Antarctic Studies, Taroona, Tas 7001, Australia; Swiss Fed Inst Technol, Univ 16, Environm Phys, CHN 26 2, CH-8092 Zurich, Switzerland</t>
  </si>
  <si>
    <t>University of British Columbia; Ifremer; Institut de Recherche pour le Developpement (IRD); Universite de Montpellier; Princeton University; National Oceanic Atmospheric Admin (NOAA) - USA; National Oceanic Atmospheric Admin (NOAA) - USA; Princeton University; University of Tasmania; Swiss Federal Institutes of Technology Domain; ETH Zurich</t>
  </si>
  <si>
    <t>Christensen, V (corresponding author), Univ British Columbia, Fisheries Ctr, 2202 Main Mall, Vancouver, BC V6T 1Z4, Canada.</t>
  </si>
  <si>
    <t>v.christensen@fisheries.ubc.ca</t>
  </si>
  <si>
    <t>Steenbeek, Jeroen Gerhard/F-9936-2016; Froelicher, Thomas/AAG-9598-2019; Watson, Reg A/F-4850-2012; Frölicher, Thomas L/E-5137-2015; Christensen, Villy/C-3945-2009; , William/F-5104-2013; Coll, Marta/A-9488-2012</t>
  </si>
  <si>
    <t>Steenbeek, Jeroen Gerhard/0000-0002-7878-8075; Froelicher, Thomas/0000-0003-2348-7854; Watson, Reg A/0000-0001-7201-8865; Frölicher, Thomas L/0000-0003-2348-7854; Christensen, Villy/0000-0003-0688-2633; , William/0000-0003-3626-1045; Stock, Charles/0000-0001-9549-8013; Coll, Marta/0000-0001-6235-5868</t>
  </si>
  <si>
    <t>Nereus - Predicting the Future Ocean activity; ECMarie Curie CIG grant; Spanish Research Program Ramon y Cajal; Australian Research. Council Discovery grant; Natural Sciences and Engineering Research Council of Canada</t>
  </si>
  <si>
    <t>Nereus - Predicting the Future Ocean activity; ECMarie Curie CIG grant; Spanish Research Program Ramon y Cajal(German Research Foundation (DFG)); Australian Research. Council Discovery grant(Australian Research Council); Natural Sciences and Engineering Research Council of Canada(Natural Sciences and Engineering Research Council of Canada (NSERC)CGIAR)</t>
  </si>
  <si>
    <t>The initial version of this modelling complex was developed in cooperation with the Netherlands Environmental Assessment Agency (PBL), and we notably thank Rob Alkemade for ongoing and inspiring cooperation. The development was supported by the Nereus - Predicting the Future Ocean activity. M.C. was supported by the ECMarie Curie CIG grant to BIOWEB and the Spanish Research Program Ramon y Cajal. R.W. was supported by an Australian Research. Council Discovery grant. V.C. and W.W.L.C. acknowledge support from the Natural Sciences and Engineering Research Council of Canada, and W.W.L.C. also from the National Geographic Society. We thank Compute Canada and WestGrid for support that made it possible to run the modelling complex on Linux cluster computers. We also thank the referees for comments and suggestions that helped improve this contribution.</t>
  </si>
  <si>
    <t>1466-822X</t>
  </si>
  <si>
    <t>1466-8238</t>
  </si>
  <si>
    <t>GLOBAL ECOL BIOGEOGR</t>
  </si>
  <si>
    <t>Glob. Ecol. Biogeogr.</t>
  </si>
  <si>
    <t>10.1111/geb.12281</t>
  </si>
  <si>
    <t>CF4OY</t>
  </si>
  <si>
    <t>Green Accepted, Green Submitted</t>
  </si>
  <si>
    <t>WOS:000352530900001</t>
  </si>
  <si>
    <t>Haskew, J; Ro, G; Saito, K; Turner, K; Odhiambo, G; Wamae, A; Sharif, S; Sugishita, T</t>
  </si>
  <si>
    <t>Haskew, John; Ro, Gunnar; Saito, Kaori; Turner, Kenrick; Odhiambo, George; Wamae, Annah; Sharif, Shahnaaz; Sugishita, Tomohiko</t>
  </si>
  <si>
    <t>Implementation of a cloud-based electronic medical record for maternal and child health in rural Kenya</t>
  </si>
  <si>
    <t>INTERNATIONAL JOURNAL OF MEDICAL INFORMATICS</t>
  </si>
  <si>
    <t>Electronic medical record; Maternal and child health; Resource-constrained settings; Data verification; Medical informatics</t>
  </si>
  <si>
    <t>CARE; INFORMATION</t>
  </si>
  <si>
    <t>Background: Complete and timely health information is essential to inform public health decision-making for maternal and child health, but is often lacking in resource-constrained settings. Electronic medical record (EMR) systems are increasingly being adopted to support the delivery of health care, and are particularly amenable to maternal and child health services. An EMR system could enable the mother and child to be tracked and monitored throughout maternity shared care, improve quality and completeness of data collected and enhance sharing of health information between outpatient clinic and the hospital, and between clinical and public health services to inform decision-making. Methods: This study implemented a novel cloud-based electronic medical record system in a maternal and child health outpatient setting in Western Kenya between April and June 2013 and evaluated its impact on improving completeness of data collected by clinical and public health services. The impact of the system was assessed using a two-sample test of proportions pre-and post-implementation of EMR-based data verification. Results: Significant improvements in completeness of the antenatal record were recorded through implementation of EMR-based data verification. A difference of 42.9% in missing data (including screening for hypertension, tuberculosis, malaria, HIV status or ART status of HIV positive women) was recorded pre-and post-implementation. Despite significant impact of EMR-based data verification on data completeness, overall screening rates in antenatal care were low. Conclusion: This study has shown that EMR-based data verification can improve the completeness of data collected in the patient record for maternal and child health. A number of issues, including data management and patient confidentiality, must be considered but significant improvements in data quality are recorded through implementation of this EMR model. (C) 2015 Elsevier Ireland Ltd. All rights reserved.</t>
  </si>
  <si>
    <t>[Haskew, John; Ro, Gunnar] Uamuzi Bora, Kakamega, Kenya; [Ro, Gunnar] Univ Durham, Durham DH1 3HP, England; [Saito, Kaori] Japanese Int Cooperat Agcy, Tokyo, Japan; [Turner, Kenrick] British Antarctic Survey Med Unit, Plymouth, Devon, England; [Odhiambo, George; Wamae, Annah; Sharif, Shahnaaz] Minist Hlth, Nairobi, Kenya</t>
  </si>
  <si>
    <t>Durham University</t>
  </si>
  <si>
    <t>Haskew, J (corresponding author), Uamuzi Bora, Kakamega, Kenya.</t>
  </si>
  <si>
    <t>john.haskew@uamuzibora.org</t>
  </si>
  <si>
    <t>Rø, Gunnar/AAZ-2356-2020</t>
  </si>
  <si>
    <t>Turner, Kenrick/0000-0002-1835-6924</t>
  </si>
  <si>
    <t>Rising Stars in Global Health from Grand Challenges Canada; Japanese International Co-operation Agency (JICA); Vestergaard Frandsen [0116-01]; NERC [bas010011] Funding Source: UKRI; Natural Environment Research Council [bas010011] Funding Source: researchfish</t>
  </si>
  <si>
    <t>Rising Stars in Global Health from Grand Challenges Canada; Japanese International Co-operation Agency (JICA); Vestergaard Frandsen; NERC(UK Research &amp; Innovation (UKRI)Natural Environment Research Council (NERC)); Natural Environment Research Council(UK Research &amp; Innovation (UKRI)Natural Environment Research Council (NERC))</t>
  </si>
  <si>
    <t>This study was supported by a Rising Stars in Global Health grant from Grand Challenges Canada, Japanese International Co-operation Agency (JICA) and Vestergaard Frandsen (Grant no. 0116-01). Grand Challenges Canada, JICA and Vestergaard Frandsen had no role in study design, data collection and analysis, decision to publish, preparation of the manuscript, nor exerted any editorial control.</t>
  </si>
  <si>
    <t>ELSEVIER IRELAND LTD</t>
  </si>
  <si>
    <t>CLARE</t>
  </si>
  <si>
    <t>ELSEVIER HOUSE, BROOKVALE PLAZA, EAST PARK SHANNON, CO, CLARE, 00000, IRELAND</t>
  </si>
  <si>
    <t>1386-5056</t>
  </si>
  <si>
    <t>1872-8243</t>
  </si>
  <si>
    <t>INT J MED INFORM</t>
  </si>
  <si>
    <t>Int. J. Med. Inform.</t>
  </si>
  <si>
    <t>10.1016/j.ijmedinf.2015.01.005</t>
  </si>
  <si>
    <t>Computer Science, Information Systems; Health Care Sciences &amp; Services; Medical Informatics</t>
  </si>
  <si>
    <t>Computer Science; Health Care Sciences &amp; Services; Medical Informatics</t>
  </si>
  <si>
    <t>CD3HH</t>
  </si>
  <si>
    <t>WOS:000350968500007</t>
  </si>
  <si>
    <t>Si, OJ; Kim, SJ; Jung, MY; Choi, SB; Kim, JG; Kim, SG; Roh, SW; Lee, S; Rhee, SK</t>
  </si>
  <si>
    <t>Si, Ok-Ja; Kim, So-Jeong; Jung, Man-Young; Choi, Seon-Bin; Kim, Jong-Geol; Kim, Song-Gun; Roh, Seong Woon; Lee, SangHoon; Rhee, Sung-Keun</t>
  </si>
  <si>
    <t>Leeuwenhoekiella polynyae sp nova, isolated from a polynya in western Antarctica</t>
  </si>
  <si>
    <t>INTERNATIONAL JOURNAL OF SYSTEMATIC AND EVOLUTIONARY MICROBIOLOGY</t>
  </si>
  <si>
    <t>EMENDED DESCRIPTION; GEN. NOV.; FAMILY; FLAVOBACTERIACEAE; AEQUOREA</t>
  </si>
  <si>
    <t>A Gram-stain-negative, motile by gliding, rod-shaped bacterial strain, designated SOJ2014-1(T) was isolated from surface water of a polynya in the Antarctic Ocean. A comparative 16S rRNA gene sequence analysis showed that strain SOJ2014-1(T) belongs to the genus Leeuwenhoekiella and is most closely related to Leeuwenhoekiella marinoflava DSM 3653(T) (97.5% 16S rRNA gene sequence similarity). The G+C content of the genomic DNA of strain SOJ2014-1(T) was 38.8 mol%. Its predominant cellular fatty acids were summed feature 3 (composed of C-16:1 omega 6c and/or C-16:1 omega 7c), iSO-C-17:0 3-OH, iso-C-15:0, iso-C-15:1 G and summed feature 9 (composed of iso-C-17:1 omega 9c and/or 10-methyl C-16:0). DNA-DNA relatedness between strain SOJ2014-1(T) and close relatives, L. marinoflava DSM 3653(T) and Leeuwenhoekiella aequorea LMG 22550(T), was below 49%. The respiratory quinone was MK-6. The major polar lipids were phosphatidylethanolamine, an unidentified aminolipid and two unidentified lipids. The strain grew at 0-35 degrees C (optimum, 25 degrees C) with 0-14.0% (w/v) NaCl (optimum, 1.0-5.0%). It was strictly aerobic and had different carbohydrate utilization traits compared with L. marinoflava DSM 3653T. Based on the phenotypic, chemotaxonomic and phylogenetic analyses, strain SOJ2014-11- is proposed as a representative of a novel species, Leeuwenhoekiella polynyae. The type strain is SOJ2014-1(T) (=KCTC 42185(T)=JCM 30387(T)).</t>
  </si>
  <si>
    <t>[Si, Ok-Ja; Kim, So-Jeong; Jung, Man-Young; Choi, Seon-Bin; Kim, Jong-Geol; Rhee, Sung-Keun] Chungbuk Natl Univ, Dept Microbiol, Cheongju 361763, South Korea; [Kim, Song-Gun] Korea Res Inst Biosci &amp; Biotechnol, Microbial Resource Ctr KCTC, Taejon 305806, South Korea; [Roh, Seong Woon] Korea Basic Sci Inst, Taejon 305806, South Korea; [Lee, SangHoon] Korea Polar Res Inst, Inchon 406840, South Korea</t>
  </si>
  <si>
    <t>Chungbuk National University; Korea Research Institute of Bioscience &amp; Biotechnology (KRIBB); Korea Basic Science Institute (KBSI); Korea Institute of Ocean Science &amp; Technology (KIOST); Korea Polar Research Institute (KOPRI)</t>
  </si>
  <si>
    <t>Rhee, SK (corresponding author), Chungbuk Natl Univ, Dept Microbiol, Cheongju 361763, South Korea.</t>
  </si>
  <si>
    <t>rhees@chungbuk.ac.kr</t>
  </si>
  <si>
    <t>Roh, Seong Woon/C-7688-2011</t>
  </si>
  <si>
    <t>Roh, Seong Woon/0000-0003-0609-6130</t>
  </si>
  <si>
    <t>Basic Science Research Programs through the National Research Foundation of Korea (NRF) - Ministry of Education [2012R1A1A2A10039384, 2014R1A1A2009901]; Ministry of Oceans and Fisheries (Project: Long-term change of structure and function in marine ecosystems of Korea); Korea Polar Research Institute, Korea [PP12010]</t>
  </si>
  <si>
    <t>Basic Science Research Programs through the National Research Foundation of Korea (NRF) - Ministry of Education; Ministry of Oceans and Fisheries (Project: Long-term change of structure and function in marine ecosystems of Korea); Korea Polar Research Institute, Korea</t>
  </si>
  <si>
    <t>This work was supported by the Basic Science Research Programs through the National Research Foundation of Korea (NRF) funded by the Ministry of Education (2012R1A1A2A10039384 and 2014R1A1A2009901), the Ministry of Oceans and Fisheries (Project: Long-term change of structure and function in marine ecosystems of Korea), and the Korea Polar Research Institute (PP12010), Korea.</t>
  </si>
  <si>
    <t>MICROBIOLOGY SOC</t>
  </si>
  <si>
    <t>14-16 MEREDITH ST, LONDON, ENGLAND</t>
  </si>
  <si>
    <t>1466-5026</t>
  </si>
  <si>
    <t>1466-5034</t>
  </si>
  <si>
    <t>INT J SYST EVOL MICR</t>
  </si>
  <si>
    <t>Int. J. Syst. Evol. Microbiol.</t>
  </si>
  <si>
    <t>10.1099/ijs.0.000160</t>
  </si>
  <si>
    <t>CR1HP</t>
  </si>
  <si>
    <t>WOS:000361075900051</t>
  </si>
  <si>
    <t>Tabak, MA; Poncet, S; Passfield, K; Goheen, JR; del Rio, CM</t>
  </si>
  <si>
    <t>Tabak, Michael A.; Poncet, Sally; Passfield, Ken; Goheen, Jacob R.; del Rio, Carlos Martinez</t>
  </si>
  <si>
    <t>Rat eradication and the resistance and resilience of passerine bird assemblages in the Falkland Islands</t>
  </si>
  <si>
    <t>JOURNAL OF ANIMAL ECOLOGY</t>
  </si>
  <si>
    <t>community structure; detection probability; ecological homeostasis; eradication; invasive species; occupancy modelling; resilience; species-area relationship</t>
  </si>
  <si>
    <t>REGULATES SPECIES RICHNESS; DIVERSITY; COMPENSATION; OCCUPANCY; INVASIONS; MODELS; IMPACT; RESPONSES; DYNAMICS; ECOLOGY</t>
  </si>
  <si>
    <t>Norway rats (Rattus norvegicus) were introduced to the Falkland Islands and are detrimental to native passerines. Rat eradication programmes are being used to help protect the avifauna. This study assesses the effectiveness of eradication programmes while using this conservation practice as a natural experiment to explore the ecological resistance, resilience and homeostasis of bird communities. We conducted bird surveys on 230 islands: 85 in the presence of rats, 108 that were historically free of rats and 37 from which rats had been eradicated. Bird detection data were used to build occupancy models for each species and estimate species-area relationships. Count data were used to estimate relative abundance and community structure. Islands with invasive rats had reduced species richness of passerines and a different community structure than islands on which rats were historically absent. Although the species richness of native passerines was remarkably similar on eradicated and historically rat-free islands, community structure on eradicated islands was more similar to that of rat-infested islands than to historically rat-free islands. The results suggest that in the Falkland Islands, species richness of passerines is not resistant to invasive rats, but seems to be resilient following their removal. In contrast, community structure seems to be neither resistant nor resilient. From a conservation perspective, rat eradication programmes in the Falkland Islands appear to be effective at restoring native species richness, but they are not necessarily beneficial for species of conservation concern. For species that do not recolonize, translocations following eradications may be necessary.</t>
  </si>
  <si>
    <t>[Tabak, Michael A.; Goheen, Jacob R.; del Rio, Carlos Martinez] Univ Wyoming, Dept Zool &amp; Physiol, Laramie, WY 82071 USA; [Tabak, Michael A.; Goheen, Jacob R.; del Rio, Carlos Martinez] Univ Wyoming, Program Ecol, Laramie, WY 82071 USA; [Poncet, Sally; Passfield, Ken] Beaver Isl LandCare, Stanley FIQQ IZZ, Falkland Island, England; [del Rio, Carlos Martinez] Univ Wyoming, Wyoming Biodivers Inst, Laramie, WY 82071 USA</t>
  </si>
  <si>
    <t>University of Wyoming; University of Wyoming</t>
  </si>
  <si>
    <t>Tabak, MA (corresponding author), Univ Wyoming, Dept Zool &amp; Physiol, 1000 E Univ Ave, Laramie, WY 82071 USA.</t>
  </si>
  <si>
    <t>tabakma@gmail.com</t>
  </si>
  <si>
    <t>Tabak, Michael/P-3316-2019</t>
  </si>
  <si>
    <t>Shackleton Scholarship Fund; Antarctic Research Trust; UK Overseas Territories Environment Programme; Royal Society for Protection of Birds; Joint Nature Conservation Committee; Falkland Islands Government; NSF [0841298]; Direct For Education and Human Resources; Division Of Graduate Education [0841298] Funding Source: National Science Foundation</t>
  </si>
  <si>
    <t>Shackleton Scholarship Fund; Antarctic Research Trust; UK Overseas Territories Environment Programme; Royal Society for Protection of Birds; Joint Nature Conservation Committee; Falkland Islands Government; NSF(National Science Foundation (NSF)); Direct For Education and Human Resources; Division Of Graduate Education(National Science Foundation (NSF)NSF - Directorate for STEM Education (EDU))</t>
  </si>
  <si>
    <t>This research was partially funded by the Shackleton Scholarship Fund, Antarctic Research Trust, UK Overseas Territories Environment Programme, Royal Society for Protection of Birds, Joint Nature Conservation Committee, Falkland Islands Government and NSF Grant #0841298. We thank Nick Rendell for permission to use the Falkland Islands Biodiversity Database. The comments of two anonymous reviewers benefitted the quality of this manuscript.</t>
  </si>
  <si>
    <t>0021-8790</t>
  </si>
  <si>
    <t>1365-2656</t>
  </si>
  <si>
    <t>J ANIM ECOL</t>
  </si>
  <si>
    <t>J. Anim. Ecol.</t>
  </si>
  <si>
    <t>10.1111/1365-2656.12312</t>
  </si>
  <si>
    <t>Ecology; Zoology</t>
  </si>
  <si>
    <t>Environmental Sciences &amp; Ecology; Zoology</t>
  </si>
  <si>
    <t>CG6JD</t>
  </si>
  <si>
    <t>WOS:000353405300018</t>
  </si>
  <si>
    <t>Suckling, CC; Clark, MS; Richard, J; Morley, SA; Thorne, MAS; Harper, EM; Peck, LS</t>
  </si>
  <si>
    <t>Suckling, Coleen C.; Clark, Melody S.; Richard, Joelle; Morley, Simon A.; Thorne, Michael A. S.; Harper, Elizabeth M.; Peck, Lloyd S.</t>
  </si>
  <si>
    <t>Adult acclimation to combined temperature and pH stressors significantly enhances reproductive outcomes compared to short-term exposures</t>
  </si>
  <si>
    <t>CO2; echinoderm; gonad maturation; larval development; oxygen consumption; vitellogenesis</t>
  </si>
  <si>
    <t>URCHIN STERECHINUS-NEUMAYERI; REDUCED SEAWATER PH; ACID-BASE-BALANCE; OCEAN ACIDIFICATION; CLIMATE-CHANGE; LARVAL DEVELOPMENT; CARBONIC-ACID; EGG SIZE; ECHINODERMATA; ECHINOIDEA</t>
  </si>
  <si>
    <t>This study examined the effects of long-term culture under altered conditions on the Antarctic sea urchin, Sterechinus neumayeri.Sterechinus neumayeri was cultured under the combined environmental stressors of lowered pH (-03 and -05 pH units) and increased temperature (+2 degrees C) for 2years. This time-scale covered two full reproductive cycles in this species and analyses included studies on both adult metabolism and larval development. Adults took at least 6-8months to acclimate to the altered conditions, but beyond this, there was no detectable effect of temperature or pH. Animals were spawned after 6 and 17months exposure to altered conditions, with markedly different outcomes. At 6months, the percentage hatching and larval survival rates were greatest in the animals kept at 0 degrees C under current pH conditions, whilst those under lowered pH and +2 degrees C performed significantly less well. After 17months, performance was not significantly different across treatments, including controls. However, under the altered conditions urchins produced larger eggs compared with control animals. These data show that under long-term culture adult S.neumayeri appear to acclimate their metabolic and reproductive physiology to the combined stressors of altered pH and increased temperature, with relatively little measureable effect. They also emphasize the importance of long-term studies in evaluating effects of altered pH, particularly in slow developing marine species with long gonad maturation times, as the effects of altered conditions cannot be accurately evaluated unless gonads have fully matured under the new conditions.</t>
  </si>
  <si>
    <t>[Suckling, Coleen C.; Clark, Melody S.; Richard, Joelle; Morley, Simon A.; Thorne, Michael A. S.; Peck, Lloyd S.] British Antarctic Survey, Nat Environm Res Council, Cambridge CB3 0ET, England; [Suckling, Coleen C.; Harper, Elizabeth M.] Univ Cambridge, Dept Earth Sci, Cambridge CB2 3EQ, England; [Suckling, Coleen C.] Bangor Univ, Sch Biol Sci, Bangor LL57 2UW, Gwynedd, Wales; [Suckling, Coleen C.] Bangor Univ, Sch Ocean Sci, Menai Bridge LL59 5AB, Anglesey, Wales; [Richard, Joelle] Univ Bretagne Occidentale, Lab Sci Environm Marin UMR CNRS 6539, Inst Univ Europeen Mer, F-29280 Plouzane, France</t>
  </si>
  <si>
    <t>UK Research &amp; Innovation (UKRI); Natural Environment Research Council (NERC); NERC British Antarctic Survey; University of Cambridge; Bangor University; Bangor University; Centre National de la Recherche Scientifique (CNRS); Ifremer; Institut de Recherche pour le Developpement (IRD); Universite de Bretagne Occidentale; Institut Universitaire Europeen de la Mer (IUEM)</t>
  </si>
  <si>
    <t>Clark, MS (corresponding author), British Antarctic Survey, Nat Environm Res Council, Madingley Rd, Cambridge CB3 0ET, England.</t>
  </si>
  <si>
    <t>mscl@bas.ac.uk</t>
  </si>
  <si>
    <t>/AAL-3738-2021; Harper, Elizabeth M/B-3890-2008; Clark, Melody/D-7371-2014</t>
  </si>
  <si>
    <t>Thorne, Michael/0000-0001-7759-612X; Suckling, Coleen/0000-0002-8572-0909; Clark, Melody/0000-0002-3442-3824</t>
  </si>
  <si>
    <t>NERC [NE/G523539/1]; Scottish Association for Marine Science Research Bursary; NERC [bas0100025, dml011000, bas0100036] Funding Source: UKRI; Natural Environment Research Council [bas0100025, dml011000, bas0100036] Funding Source: researchfish</t>
  </si>
  <si>
    <t>NERC(UK Research &amp; Innovation (UKRI)Natural Environment Research Council (NERC)); Scottish Association for Marine Science Research Bursary; NERC(UK Research &amp; Innovation (UKRI)Natural Environment Research Council (NERC)); Natural Environment Research Council(UK Research &amp; Innovation (UKRI)Natural Environment Research Council (NERC))</t>
  </si>
  <si>
    <t>Coleen Suckling was supported by a NERC studentship (NE/G523539/1) and partly by a Scottish Association for Marine Science Research Bursary. The authors would like to thank all members of the Rothera Dive Team for providing samples. Overall diving support was provided by the NERC National Facility for Scientific Diving at Oban. Thanks also to BAS aquarium technical staff for support of the experiment and four anonymous reviewers for their very useful constructive comments.</t>
  </si>
  <si>
    <t>10.1111/1365-2656.12316</t>
  </si>
  <si>
    <t>Green Submitted, Green Accepted, hybrid, Green Published</t>
  </si>
  <si>
    <t>WOS:000353405300020</t>
  </si>
  <si>
    <t>Viehl, TP; Höffner, J; Lübken, FJ; Plane, JMC; Kaifler, B; Morris, RJ</t>
  </si>
  <si>
    <t>Viehl, T. P.; Hoeffner, J.; Luebken, F. -J.; Plane, J. M. C.; Kaifler, B.; Morris, R. J.</t>
  </si>
  <si>
    <t>Summer time Fe depletion in the Antarctic mesopause region</t>
  </si>
  <si>
    <t>JOURNAL OF ATMOSPHERIC AND SOLAR-TERRESTRIAL PHYSICS</t>
  </si>
  <si>
    <t>Mesospheric iron; Noctilucent clouds; Polar mesospheric clouds; Polar mesosphere summer echoes; Heterogeneous chemistry</t>
  </si>
  <si>
    <t>POLAR MESOSPHERE; TEMPERATURE; CHEMISTRY; IRON; VICINITY; ATOMS; PMSE; NLC; NA</t>
  </si>
  <si>
    <t>We report common volume measurements of Fe densities, temperatures and ice particle occurrence in the mesopause region at Davis Station, Antarctica (69 degrees S) in the years 2011-2012. Our observations show a strong correlation of the Fe-layer summer time depletion with temperature, but no clear causal relation with the onset or occurrence of ice particles measured as noctilucent clouds (NLC) or polar mesosphere summer echoes (PMSE). The combination of these measurements indicates that the strong summer depletion can be explained by gas-phase chemistry alone and does not require heterogeneous removal of Fe and its compounds on ice particles. (C) 2015 Elsevier Ltd. All rights reserved.</t>
  </si>
  <si>
    <t>[Viehl, T. P.; Hoeffner, J.; Luebken, F. -J.; Kaifler, B.] Univ Rostock, Leibniz Inst Atmospher Phys IAP, Schlossstr 6, D-18225 Kuhlungsborn, Germany; [Plane, J. M. C.] Univ Leeds, Sch Chem, Leeds LS2 9JT, W Yorkshire, England; [Kaifler, B.] German Aerosp Ctr DLR, Inst Phys Atmosphere, D-82234 Wessling, Germany; [Morris, R. J.] Australian Antarctic Div, Kingston, Tas 7050, Australia</t>
  </si>
  <si>
    <t>Leibniz Institut fur Atmospharenphysik e.V. an der Universitat Rostock (IAP); University of Rostock; University of Leeds; Helmholtz Association; German Aerospace Centre (DLR); Australian Antarctic Division</t>
  </si>
  <si>
    <t>Viehl, TP (corresponding author), Univ Rostock, Leibniz Inst Atmospher Phys IAP, Schlossstr 6, D-18225 Kuhlungsborn, Germany.</t>
  </si>
  <si>
    <t>viehl@iap-kborn.de</t>
  </si>
  <si>
    <t>Kaifler, Bernd/AAK-7237-2021; Plane, John/C-7444-2015</t>
  </si>
  <si>
    <t>Kaifler, Bernd/0000-0002-5891-242X; Plane, John/0000-0003-3648-6893; Viehl, Timo/0000-0002-7948-5666</t>
  </si>
  <si>
    <t>Australian Antarctic Division under AAP [2325]; Leibniz-Institute of Atmospheric Physics; European Research Council [291332-CODITA]</t>
  </si>
  <si>
    <t>Australian Antarctic Division under AAP; Leibniz-Institute of Atmospheric Physics; European Research Council(European Research Council (ERC))</t>
  </si>
  <si>
    <t>This project was funded by the Australian Antarctic Division under AAP 2325 and the Leibniz-Institute of Atmospheric Physics. J.M.C. Plane's work is supported by the European Research Council (Project no. 291332-CODITA). We thank W. Feng, G. Sonnemann and J.C. Gomez Martin for fruitful discussions about Fe chemistry as well as A.D. James for helpful comments on the paper. We thank R. Latteck for his help in preparing PMSE data.</t>
  </si>
  <si>
    <t>1364-6826</t>
  </si>
  <si>
    <t>1879-1824</t>
  </si>
  <si>
    <t>J ATMOS SOL-TERR PHY</t>
  </si>
  <si>
    <t>J. Atmos. Sol.-Terr. Phys.</t>
  </si>
  <si>
    <t>10.1016/j.jastp.2015.04.013</t>
  </si>
  <si>
    <t>Geochemistry &amp; Geophysics; Meteorology &amp; Atmospheric Sciences</t>
  </si>
  <si>
    <t>CJ7VO</t>
  </si>
  <si>
    <t>WOS:000355708700013</t>
  </si>
  <si>
    <t>Nihashi, S; Ohshima, KI</t>
  </si>
  <si>
    <t>Nihashi, Sohey; Ohshima, Kay I.</t>
  </si>
  <si>
    <t>Circumpolar Mapping of Antarctic Coastal Polynyas and Landfast Sea Ice: Relationship and Variability</t>
  </si>
  <si>
    <t>BOTTOM WATER FORMATION; SOUTHERN WEDDELL SEA; NOVA BAY POLYNYA; EAST ANTARCTICA; AMSR-E; ROSS-SEA; ARCTIC-OCEAN; FRAZIL ICE; PACK ICE; THICKNESS</t>
  </si>
  <si>
    <t>Sinking of dense water from Antarctic coastal polynyas produces Antarctic Bottom Water (AABW), which is the densest water in the global overturning circulation and is a key player in climate change as a significant sink for heat and carbon dioxide. Very recent studies have suggested that landfast sea ice (fast ice) plays an important role in the formation and variability of the polynyas and possibly AABW. However, they have been limited to regional and case investigations only. This study provides the first coincident circumpolar mapping of Antarctic coastal polynyas and fast ice. The map reveals that most of the polynyas are formed on the western side of fast ice, indicating an important role of fast ice in the polynya formation. Winds diverging from a boundary comprising both coastline and fast ice are the primary determinant of polynya formation. The blocking effect of fast ice on westward sea ice advection by the coastal current would be another key factor. These effects on the variability in sea ice production for 13 major polynyas are evaluated quantitatively. Furthermore, it is demonstrated that a drastic change in fast ice extent, which is particularly vulnerable to climate change, causes dramatic changes in the polynyas and possibly AABW formation that can potentially contribute to further climate change. These results suggest that fast ice and precise polynya processes should be addressed by next-generation models to produce more accurate climate projections. This study provides the boundary and validation data of fast ice and sea ice production for such models.</t>
  </si>
  <si>
    <t>[Nihashi, Sohey] Natl Inst Technol, Dept Mech Engn, Tomakomai Coll, Tomakomai, Hokkaido 0591275, Japan; [Ohshima, Kay I.] Hokkaido Univ, Inst Low Temp Sci, Sapporo, Hokkaido 060, Japan</t>
  </si>
  <si>
    <t>Hokkaido University</t>
  </si>
  <si>
    <t>Nihashi, S (corresponding author), Natl Inst Technol, Dept Mech Engn, Tomakomai Coll, 443 Nishikioka, Tomakomai, Hokkaido 0591275, Japan.</t>
  </si>
  <si>
    <t>sohey@me.tomakomai-ct.ac.jp</t>
  </si>
  <si>
    <t>Ohshima, Kay I/D-6909-2012</t>
  </si>
  <si>
    <t>Ministry of Education, Culture, Sports, Science and Technology in Japan [20221001, 21740337, 24740322, 25241001]; research fund for Global Change Observation Mission-Water 1 (GCOM-W1) of the Japan Aerospace Exploration Agency (JAXA); Grants-in-Aid for Scientific Research [20221001, 24740322, 21740337, 25241001] Funding Source: KAKEN</t>
  </si>
  <si>
    <t>Ministry of Education, Culture, Sports, Science and Technology in Japan(Ministry of Education, Culture, Sports, Science and Technology, Japan (MEXT)); research fund for Global Change Observation Mission-Water 1 (GCOM-W1) of the Japan Aerospace Exploration Agency (JAXA); Grants-in-Aid for Scientific Research(Ministry of Education, Culture, Sports, Science and Technology, Japan (MEXT)Japan Society for the Promotion of ScienceGrants-in-Aid for Scientific Research (KAKENHI))</t>
  </si>
  <si>
    <t>The AMSR-E data were provided by the National Snow and Ice Data Center (NSIDC), University of Colorado. We thank Robert A. Massom and Alexander D. Fraser for their valuable comments, and Takeshi Tamura for helping with the development of the AMSR-E algorithms. Comments from the editor and three reviewers were very helpful. This work was supported by Grants-in-Aids for Scientific Research (20221001, 21740337, 24740322, and 25241001) of the Ministry of Education, Culture, Sports, Science and Technology in Japan. This work was also supported by a research fund for Global Change Observation Mission-Water 1 (GCOM-W1) of the Japan Aerospace Exploration Agency (JAXA).</t>
  </si>
  <si>
    <t>10.1175/JCLI-D-14-00369.1</t>
  </si>
  <si>
    <t>Green Submitted, Bronze</t>
  </si>
  <si>
    <t>WOS:000353838200013</t>
  </si>
  <si>
    <t>Sérazin, G; Penduff, T; Grégorio, S; Barnier, B; Molines, JM; Terray, L</t>
  </si>
  <si>
    <t>Serazin, Guillaume; Penduff, Thierry; Gregorio, Sandy; Barnier, Bernard; Molines, Jean-Marc; Terray, Laurent</t>
  </si>
  <si>
    <t>Intrinsic Variability of Sea Level from Global 1/12° Ocean Simulations: Spatiotemporal Scales</t>
  </si>
  <si>
    <t>LOW-FREQUENCY VARIABILITY; KUROSHIO EXTENSION; CIRCULATION MODEL; RESOLUTION; GULF; SCHEMES; IMPACT</t>
  </si>
  <si>
    <t>In high-resolution ocean general circulation models (OGCMs), as in process-oriented models, a substantial amount of interannual to decadal variability is generated spontaneously by oceanic nonlinearities: that is, without any variability in the atmospheric forcing at these time scales. The authors investigate the temporal and spatial scales at which this intrinsic oceanic variability has the strongest imprints on sea level anomalies (SLAs) using a 1/12 degrees global OGCM, by comparing a hindcast'' driven by the full range of atmospheric time scales with its counterpart forced by a repeated climatological atmospheric seasonal cycle. Outputs from both simulations are compared within distinct frequency-wavenumber bins. The fully forced hindcast is shown to reproduce the observed distribution and magnitude of low-frequency SLA variability very accurately. The small-scale (L&lt;6 degrees) SLA variance is, at all time scales, barely sensitive to atmospheric variability and is almost entirely of intrinsic origin. The high-frequency (mesoscale) part and the low-frequency part of this small-scale variability have almost identical geographical distributions, supporting the hypothesis of a nonlinear temporal inverse cascade spontaneously transferring kinetic energy from high to low frequencies. The large-scale (L&lt;12 degrees) low-frequency variability is mostly related to the atmospheric variability over most of the global ocean, but it is shown to remain largely intrinsic in three eddy-active regions: the Gulf Stream, Kuroshio, and Antarctic Circumpolar Current (ACC). Compared to its 1/4 degrees predecessor, the authors' 1/12 degrees OGCM is shown to yield a stronger intrinsic SLA variability, at both mesoscale and low frequencies.</t>
  </si>
  <si>
    <t>[Serazin, Guillaume] CNRS, LGGE, UMR5183, F-38402 Grenoble, France; [Serazin, Guillaume] Univ Toulouse 3, Sci Univers CERFACS, CERFACS, CNRS,URA1857, F-31062 Toulouse, France; [Penduff, Thierry; Gregorio, Sandy; Barnier, Bernard; Molines, Jean-Marc] Univ Grenoble Alpes, CNRS, LGGE, UMR5183, Grenoble, France; [Terray, Laurent] Sci Univers CERFACS, CERFACS, CNRS, URA1857, Toulouse, France</t>
  </si>
  <si>
    <t>Communaute Universite Grenoble Alpes; Universite Grenoble Alpes (UGA); Centre National de la Recherche Scientifique (CNRS); Universite de Toulouse; Universite Toulouse III - Paul Sabatier; Centre National de la Recherche Scientifique (CNRS); CERFACS; Communaute Universite Grenoble Alpes; Universite Grenoble Alpes (UGA); Centre National de la Recherche Scientifique (CNRS); Centre National de la Recherche Scientifique (CNRS); CERFACS</t>
  </si>
  <si>
    <t>Sérazin, G (corresponding author), CNRS, LGGE, BP 96, F-38402 Grenoble, France.</t>
  </si>
  <si>
    <t>guillaume.serazin@legi.grenoble-inp.fr</t>
  </si>
  <si>
    <t>Kushnir, Yochanan/B-4472-2013; Terray, Laurent/B-8056-2008; Penduff, Thierry/AAH-6554-2021; Barnier, Bernard/F-2400-2016</t>
  </si>
  <si>
    <t>Terray, Laurent/0000-0001-5512-7074; Penduff, Thierry/0000-0002-0407-8564;</t>
  </si>
  <si>
    <t>Centre National d'Etudes Spatiales (CNES) through the Ocean Surface Topography Science Team (OST/ST); Agence Nationale de la Recherche (ANR) [ANR-13-BS06-0007-01]; European Community [283367]; CNES; Region Midi-Pyrenees; CNRS; MyOcean2; CERFACS; Agence Nationale de la Recherche (ANR) [ANR-13-BS06-0007] Funding Source: Agence Nationale de la Recherche (ANR)</t>
  </si>
  <si>
    <t>Centre National d'Etudes Spatiales (CNES) through the Ocean Surface Topography Science Team (OST/ST)(Centre National D'etudes Spatiales); Agence Nationale de la Recherche (ANR)(Agence Nationale de la Recherche (ANR)); European Community; CNES(Centre National D'etudes Spatiales); Region Midi-Pyrenees(Region Provence-Alpes-Cote d'AzurRegion Occitanie); CNRS(Centre National de la Recherche Scientifique (CNRS)); MyOcean2; CERFACS; Agence Nationale de la Recherche (ANR)(Agence Nationale de la Recherche (ANR))</t>
  </si>
  <si>
    <t>The authors acknowledge the constructive comments made by three anonymous reviewers, which led to a significant improvement of this paper. This work is a contribution to CHAOCEAN, OCCIPUT, and MyOcean2 projects. It benefited from the Drakkar international coordination network (GDRI) established between the Centre National de la Recherche Scientifique (CNRS), the National Oceanography Centre in Southampton (NOCS), GEOMAR in Kiel, and IFREMER. For this work, Drakkar also benefited from a grant from the Groupe Mission Mercator Coriolis (GMMC) through the LEFE program of the Institut National des Sciences de l'Univers (INSU). CHAOCEAN is supported by the Centre National d'Etudes Spatiales (CNES) through the Ocean Surface Topography Science Team (OST/ST). OCCIPUT is supported by the Agence Nationale de la Recherche (ANR) through Contract ANR-13-BS06-0007-01. The research leading to these results has received funding from the European Community's 160 Seventh Framework Programme FP7/2007-2013 under Grant Agreement 283367 (MyOcean2). The computations presented in this study were performed at the Centre Informatique National de l'Enseignement Superieur (CINES) under the allocation made by GENCI x2013010727. The ORCA12-GJM02 simulation was performed as part of the Grands Challenges GENCI/CINES 2013. The altimeter products were produced by SSALTO/DUACS and distributed by AVISO, with support from CNES. GS is supported by CNES and Region Midi-Pyrenees, TP is supported by CNRS, SG by MyOcean2, and LT is supported by CERFACS.</t>
  </si>
  <si>
    <t>10.1175/JCLI-D-14-00554.1</t>
  </si>
  <si>
    <t>WOS:000354370100023</t>
  </si>
  <si>
    <t>Iglesias, TL; Dornburg, A; Brandley, MC; Alfaro, ME; Warren, DL</t>
  </si>
  <si>
    <t>Iglesias, T. L.; Dornburg, A.; Brandley, M. C.; Alfaro, M. E.; Warren, D. L.</t>
  </si>
  <si>
    <t>Life in the unthinking depths: energetic constraints on encephalization in marine fishes</t>
  </si>
  <si>
    <t>JOURNAL OF EVOLUTIONARY BIOLOGY</t>
  </si>
  <si>
    <t>comparative studies; constraints; fish; phylogenetics; theory; trade-offs</t>
  </si>
  <si>
    <t>ANTARCTIC NOTOTHENIOID FISHES; EXPENSIVE-TISSUE HYPOTHESIS; BASAL METABOLIC-RATE; BRAIN SIZE; ENZYMATIC-ACTIVITIES; CROSS-VALIDATION; INTESTINE LENGTH; COLD ADAPTATION; RELATIVE BRAIN; TROPHIC LEVEL</t>
  </si>
  <si>
    <t>Several hypotheses have been proposed to explain the limitation of brain size in vertebrates. Here, we test three hypotheses of brain size evolution using marine teleost fishes: the direct metabolic constraints hypothesis (DMCH), the expensive tissue hypothesis and the temperature-dependent hypothesis. Our analyses indicate that there is a robust positive correlation between encephalization and basal metabolic rate (BMR) that spans the full range of depths occupied by teleosts from the epipelagic (&lt;200m), mesopelagic (200-1000m) and bathypelagic (&gt;4000m). Our results disentangle the effects of temperature and metabolic rate on teleost brain size evolution, supporting the DMCH. Our results agree with previous findings that teleost brain size decreases with depth; however, we also recover a negative correlation between trophic level and encephalization within the mesopelagic zone, a result that runs counter to the expectations of the expensive tissue hypothesis. We hypothesize that mesopelagic fishes at lower trophic levels may be investing more in neural tissue related to the detection of small prey items in a low-light environment. We recommend that comparative encephalization studies control for BMR in addition to controlling for body size and phylogeny.</t>
  </si>
  <si>
    <t>[Iglesias, T. L.; Warren, D. L.] Macquarie Univ, Dept Biol Sci, Sydney, NSW 2109, Australia; [Dornburg, A.] Yale Univ, Dept Ecol &amp; Evolutionary Biol, New Haven, CT USA; [Brandley, M. C.] Univ Sydney, Sch Biol Sci, Sydney, NSW 2006, Australia; [Alfaro, M. E.] Univ Calif Los Angeles, Dept Ecol &amp; Evolutionary Biol, Los Angeles, CA USA</t>
  </si>
  <si>
    <t>Macquarie University; Yale University; University of Sydney; University of California System; University of California Los Angeles</t>
  </si>
  <si>
    <t>Iglesias, TL (corresponding author), Macquarie Univ, Dept Biol Sci, Sydney, NSW 2109, Australia.</t>
  </si>
  <si>
    <t>teresa.l.iglesias@gmail.com</t>
  </si>
  <si>
    <t>Warren, Dan/B-3821-2010; Iglesias, Teresa/I-7647-2015; Alfaro, Michael/Q-2113-2017</t>
  </si>
  <si>
    <t>Warren, Dan/0000-0002-8747-2451; Iglesias, Teresa/0000-0002-0237-8539; Alfaro, Michael/0000-0002-8898-8230</t>
  </si>
  <si>
    <t>NSF [DEB-1011328]; Yale Peabody Museum of Natural History; Macquarie University</t>
  </si>
  <si>
    <t>NSF(National Science Foundation (NSF)); Yale Peabody Museum of Natural History; Macquarie University</t>
  </si>
  <si>
    <t>We would like to thank Mark Vermeij and the CARMABI field station, and Terry Donaldson and the University of Guam Marine Laboratory for invaluable technical support. Funding for this work was provided in part by NSF grant DEB-1011328, support from the Yale Peabody Museum of Natural History, and Macquarie University. Special thanks go to Greg Watkins-Colwell, Curacao Sunshine, Oceans Encounters West and Jason Miller. We also thank 'The Westpunt Syndicate' for their advice and help in the field and Vernor Vinge for the title of this manuscript. The authors declare that there are no conflict of interests, financial or otherwise, relating to this work.</t>
  </si>
  <si>
    <t>1010-061X</t>
  </si>
  <si>
    <t>1420-9101</t>
  </si>
  <si>
    <t>J EVOLUTION BIOL</t>
  </si>
  <si>
    <t>J. Evol. Biol.</t>
  </si>
  <si>
    <t>10.1111/jeb.12631</t>
  </si>
  <si>
    <t>Ecology; Evolutionary Biology; Genetics &amp; Heredity</t>
  </si>
  <si>
    <t>Environmental Sciences &amp; Ecology; Evolutionary Biology; Genetics &amp; Heredity</t>
  </si>
  <si>
    <t>CI8HQ</t>
  </si>
  <si>
    <t>WOS:000355012700009</t>
  </si>
  <si>
    <t>Hernando, M; Schloss, IR; Malanga, G; Almandoz, GO; Ferreyra, GA; Aguiar, MB; Puntarulo, S</t>
  </si>
  <si>
    <t>Hernando, M.; Schloss, I. R.; Malanga, G.; Almandoz, G. O.; Ferreyra, G. A.; Aguiar, M. B.; Puntarulo, S.</t>
  </si>
  <si>
    <t>Effects of salinity changes on coastal Antarctic phytoplankton physiology and assemblage composition</t>
  </si>
  <si>
    <t>JOURNAL OF EXPERIMENTAL MARINE BIOLOGY AND ECOLOGY</t>
  </si>
  <si>
    <t>Antarctica; DCFH-DA; Diatoms; Meltwater; alpha T; beta C</t>
  </si>
  <si>
    <t>OXIDATIVE STRESS; SOUTHERN-OCEAN; CELL-SIZE; BACTERIAL PRODUCTION; VOLUME RELATIONSHIPS; FOOD-WEB; SEA; PHOTOSYNTHESIS; WATERS; ACCLIMATION</t>
  </si>
  <si>
    <t>A natural marine phytoplankton assemblage from a coastal environment of Antarctica was experimentally exposed to low salinity sea water (30 vs 34 in the control) during 8 days in order to study their physiological and community responses to hypoosmotic stress conditions. Hypoosmotic conditions favour water influx into the cells, which results, in increased turgor pressure and increased oxidative stress. This stress is linked to a number of other cellular toxic processes, including damages to proteins, enzyme inactivation and DNA breakage. Inhibition of the instantaneous growth rate started after 48 h exposure to low salinity, but at the end of experiment, growth was significantly higher in the low than in the normal (control) salinity treatment. Hypoosmotic conditions prevented phytoplankton biomass accumulation, as evidenced by reduced Chlorophyll-a concentrations as compared to the control treatment However, in terms of cell numbers and species composition, we observed a gradual replacement of big centric by small pennate diatoms, which became dominant by the end of the experiment. In addition, the content of reactive oxygen species (ROS) and 2-thiobarbituric acid-reactive substances (TBARS), which are indicative of oxidative stress, were studied. In the low salinity treatments, ROS concentrations were significantly higher than control values on days 4 and 6, decreasing thereafter to nearly initial values. TBARS content increased during the first 48 h and then,decreased until around day 0 values. This coincided with significant increased values of the antioxidants a-tocopherol and beta-carotene in low salinity treatments over the control. These results suggest the existence of protection mechanisms against lipid peroxidation, and lead to the conclusion that the response to stress is species-specific, so that at the community level a change in the relative abundance of phytoplankton taxa appears as a response to hypoosmotic conditions. This could have important consequences for the trophic food web dynamics in areas influenced by high fresh water inputs. (C) 2015 Elsevier B.V. All rights reserved.</t>
  </si>
  <si>
    <t>[Hernando, M.; Aguiar, M. B.] Comis Nacl Energia Atom, Dept Radiobiol, RA-1429 Buenos Aires, DF, Argentina; [Schloss, I. R.] Inst Antartico Argentino, Buenos Aires, DF, Argentina; [Schloss, I. R.; Almandoz, G. O.] Consejo Nacl Invest Cient &amp; Tecn, RA-1033 Buenos Aires, DF, Argentina; [Schloss, I. R.; Ferreyra, G. A.] Inst Sci Mer Rimouski, Rimouski, PQ, Canada; [Malanga, G.; Puntarulo, S.] Univ Buenos Aires, CONICET, Inst Biochem &amp; Mol Med IBIMOL, Phys Chem,Sch Pharm &amp; Biochem, RA-1053 Buenos Aires, DF, Argentina; [Almandoz, G. O.] Univ Nacl La Plata, Div Ficol, Fac Ciencias Nat &amp; Museo, RA-1900 La Plata, Buenos Aires, Argentina</t>
  </si>
  <si>
    <t>Comision Nacional de Energia Atomica (CNEA); Instituto Antartico Argentino; Consejo Nacional de Investigaciones Cientificas y Tecnicas (CONICET); University of Buenos Aires; Consejo Nacional de Investigaciones Cientificas y Tecnicas (CONICET); National University of La Plata; Museo La Plata</t>
  </si>
  <si>
    <t>Hernando, M (corresponding author), Comis Nacl Energia Atom, Dept Radiobiol, RA-1429 Buenos Aires, DF, Argentina.</t>
  </si>
  <si>
    <t>mhernando@cnea.gov.ar</t>
  </si>
  <si>
    <t>Schloss, Irene R./U-5411-2018</t>
  </si>
  <si>
    <t>Schloss, Irene R./0000-0002-5917-8925; Almandoz, Gaston O./0000-0001-7931-582X; Ferreyra, Gustavo Adolfo/0000-0003-1953-5067</t>
  </si>
  <si>
    <t>National Agency for the Promotion of Science and Technology of Argentina (ANPCYT) [PICTO 2005-35562, PICT 2011-1320]; Antarctic Institute of Argentina; CONICET [PIP 11220110100697]; Universidad de Buenos Aires (UBACyT) [20020100100555]; European Polar Consortium; IMCONet - Interdisciplinary Modelling of Climate Change in Coastal Western Antarctica - Network for Staff Exchange and Training, FP7-PEOPLE-International Research Staff Exchange Scheme (IRSES) [318718]; [PICT 2012-00845]</t>
  </si>
  <si>
    <t>National Agency for the Promotion of Science and Technology of Argentina (ANPCYT)(ANPCyT); Antarctic Institute of Argentina; CONICET(Consejo Nacional de Investigaciones Cientificas y Tecnicas (CONICET)); Universidad de Buenos Aires (UBACyT)(University of Buenos Aires); European Polar Consortium; IMCONet - Interdisciplinary Modelling of Climate Change in Coastal Western Antarctica - Network for Staff Exchange and Training, FP7-PEOPLE-International Research Staff Exchange Scheme (IRSES);</t>
  </si>
  <si>
    <t>We would especially like to thank Oscar Gonzalez, from the Antarctic Institute of Argentina, for fieldwork and laboratory support at Carlini station, as well as to Alejandro Ulrich and Silvia Rodriguez. Our thanks also to the personnel from the Alfred-Wegener-Institut (AWI), who shared equipment and results with us in the frame of the Argentinean-German Cooperation at Carlini-Dallmann in Potter Cove, Antarctica. This study was supported by the National Agency for the Promotion of Science and Technology of Argentina (ANPCYT) (PICTO 2005-35562 and PICT 2011-1320) to Irene R. Schloss, the Antarctic Institute of Argentina and CONICET and PICT 2012-00845 and by the Universidad de Buenos Aires (UBACyT 20020100100555) and CONICET (PIP 11220110100697) to S. Puntarulo. This study is part of the Impact of climate induced glacial melting on marine coastal systems in the Western Antarctic Peninsula Region (IMCOAST, European Science FoundationPolar CLIMATE) supported by the European Polar Consortium and the IMCONet - Interdisciplinary Modelling of Climate Change in Coastal Western Antarctica - Network for Staff Exchange and Training, FP7-PEOPLE-2012-International Research Staff Exchange Scheme (IRSES) 318718. [SS]</t>
  </si>
  <si>
    <t>0022-0981</t>
  </si>
  <si>
    <t>1879-1697</t>
  </si>
  <si>
    <t>J EXP MAR BIOL ECOL</t>
  </si>
  <si>
    <t>J. Exp. Mar. Biol. Ecol.</t>
  </si>
  <si>
    <t>10.1016/j.jembe.2015.02.012</t>
  </si>
  <si>
    <t>Ecology; Marine &amp; Freshwater Biology</t>
  </si>
  <si>
    <t>Environmental Sciences &amp; Ecology; Marine &amp; Freshwater Biology</t>
  </si>
  <si>
    <t>CF6LF</t>
  </si>
  <si>
    <t>WOS:000352667500013</t>
  </si>
  <si>
    <t>Zhou, XL; Lu, ZL; Rickaby, REM; Domack, EW; Wellner, JS; Kennedy, HA</t>
  </si>
  <si>
    <t>Zhou, Xiaoli; Lu, Zunli; Rickaby, Rosalind E. M.; Domack, Eugene W.; Wellner, Julia S.; Kennedy, Hilary A.</t>
  </si>
  <si>
    <t>Ikaite Abundance Controlled by Porewater Phosphorus Level: Potential Links to Dust and Productivity</t>
  </si>
  <si>
    <t>JOURNAL OF GEOLOGY</t>
  </si>
  <si>
    <t>CALCIUM-CARBONATE; ANTARCTIC SHELF; CASCADIA MARGIN; HYDRATE RIDGE; HIGH-LATITUDE; ORGANIC-RICH; GAS HYDRATE; FLUID-FLOW; ROSS SEA; GLENDONITES</t>
  </si>
  <si>
    <t>Glendonites are pseudomorphs of the mineral ikaite (CaCO3 center dot 6H(2)O) after loss of hydration water and occur in distinctive euhedral crystalline forms, sometimes clustered as rosettes of up to tens of centimeters in diameter. While it is generally accepted that organic-rich environments, methane seeps, and high phosphate levels are important for ikaite formation, glendonite occurrences in ancient sedimentary sequences are widely considered to reflect nearfreezing temperatures, even at high latitudes during periods of greenhouse climates. To fully understand the paleoenvironmental significance of glendonites, a comprehensive examination of the modern ikaite setting is necessary. Temperature is the most important parameter that has been quantitatively constrained for the presence of ikaite. Low bottom-water temperature, while a required condition for formation of the mineral, is not adequate for its growth; other controls are necessary to explain the absence of ikaite in many cold environments. In this study, we discuss the control of carbonate chemistry on ikaite formation. Our compilation of geochemical data from sediment cores with well-preserved ikaite provide further evidence for the importance of phosphate. A phosphate concentration above similar to 400 mM in shallow and cold porewater may be the requisite parameter for extensive ikaite precipitation. Thus, abundant glendonites in ancient successions mark past periods and regions of elevated porewater phosphorus concentrations, which may also be related to high surface productivity and/or iron fertilization.</t>
  </si>
  <si>
    <t>[Zhou, Xiaoli; Lu, Zunli] Syracuse Univ, Dept Earth Sci, Syracuse, NY 13244 USA; [Rickaby, Rosalind E. M.] Univ Oxford, Dept Earth Sci, Oxford OX1 3AN, England; [Domack, Eugene W.] Univ S Florida, Coll Marine Sci, St Petersburg, FL 33701 USA; [Wellner, Julia S.] Univ Houston, Dept Earth &amp; Atmospher Sci, Houston, TX USA; [Kennedy, Hilary A.] Bangor Univ, Ocean Sci, Menai Bridge LL59 5AB, Anglesey, Wales</t>
  </si>
  <si>
    <t>Syracuse University; University of Oxford; State University System of Florida; University of South Florida; University of Houston System; University of Houston; Bangor University</t>
  </si>
  <si>
    <t>Zhou, XL (corresponding author), Syracuse Univ, Dept Earth Sci, Syracuse, NY 13244 USA.</t>
  </si>
  <si>
    <t>xzhou18@syr.edu</t>
  </si>
  <si>
    <t>Kennedy, Hilary A/M-5574-2014</t>
  </si>
  <si>
    <t>Kennedy, Hilary A/0000-0003-2290-2120; Rickaby, Rosalind/0000-0002-6095-8419</t>
  </si>
  <si>
    <t>Natural Environment Research Council [NE/E015751/1, NE/E018432/1, NE/E014801/1, NE/E01755X/1] Funding Source: researchfish; NERC [NE/E015751/1, NE/E014801/1, NE/E01755X/1, NE/E018432/1] Funding Source: UKRI</t>
  </si>
  <si>
    <t>Natural Environment Research Council(UK Research &amp; Innovation (UKRI)Natural Environment Research Council (NERC)); NERC(UK Research &amp; Innovation (UKRI)Natural Environment Research Council (NERC))</t>
  </si>
  <si>
    <t>0022-1376</t>
  </si>
  <si>
    <t>1537-5269</t>
  </si>
  <si>
    <t>J GEOL</t>
  </si>
  <si>
    <t>J. Geol.</t>
  </si>
  <si>
    <t>10.1086/681918</t>
  </si>
  <si>
    <t>CL0HW</t>
  </si>
  <si>
    <t>WOS:000356623300003</t>
  </si>
  <si>
    <t>Seo, KW; Wilson, CR; Scambos, T; Kim, BM; Waliser, DE; Tian, B; Kim, BH; Eom, J</t>
  </si>
  <si>
    <t>Seo, Ki-Weon; Wilson, Clark R.; Scambos, Ted; Kim, Baek-Min; Waliser, Duane E.; Tian, Baijun; Kim, Byeong-Hoon; Eom, Jooyoung</t>
  </si>
  <si>
    <t>Surface mass balance contributions to acceleration of Antarctic ice mass loss during 2003-2013</t>
  </si>
  <si>
    <t>ice mass balance; Antarctica; GRACE</t>
  </si>
  <si>
    <t>WEST ANTARCTICA; SNOW ACCUMULATION; SHEET; GREENLAND; GLACIER; INCREASE; RADAR; MELT</t>
  </si>
  <si>
    <t>Recent observations from satellite gravimetry (the Gravity Recovery and Climate Experiment (GRACE) mission) suggest an acceleration of ice mass loss from the Antarctic Ice Sheet (AIS). The contribution of surface mass balance changes (due to variable precipitation) is compared with GRACE-derived mass loss acceleration by assessing the estimated contribution of snow mass from meteorological reanalysis data. We find that over much of the continent, the acceleration can be explained by precipitation anomalies. However, on the Antarctic Peninsula and other parts of West Antarctica, mass changes are not explained by precipitation and are likely associated with ice discharge rate increases. The total apparent GRACE acceleration over all of the AIS between 2003 and 2013 is -13.67.2Gt/yr(2). Of this total, we find that the surface mass balance component is -8.22.0Gt/yr(2). However, the GRACE estimate appears to contain errors arising from the atmospheric pressure fields used to remove air mass effects. The estimated acceleration error from this effect is about 9.85.8Gt/yr(2). Correcting for this yields an ice discharge acceleration of -15.16.5Gt/yr(2).</t>
  </si>
  <si>
    <t>[Seo, Ki-Weon; Kim, Byeong-Hoon; Eom, Jooyoung] Seoul Natl Univ, Dept Earth Educ, Seoul, South Korea; [Wilson, Clark R.] Univ Texas Austin, Dept Geol Sci, Jackson Sch Geosci, Austin, TX USA; [Wilson, Clark R.] Univ Texas Austin, Ctr Space Res, Austin, TX 78712 USA; [Scambos, Ted] Univ Colorado, Nat Snow &amp; Ice Data Ctr, Boulder, CO 80309 USA; [Kim, Baek-Min] Korea Polar Res Inst, Div Polar Earth Syst Sci, Inchon, South Korea; [Waliser, Duane E.; Tian, Baijun] CALTECH, Jet Prop Lab, Pasadena, CA USA</t>
  </si>
  <si>
    <t>Seoul National University (SNU); University of Texas System; University of Texas Austin; University of Texas System; University of Texas Austin; University of Colorado System; University of Colorado Boulder; Korea Institute of Ocean Science &amp; Technology (KIOST); Korea Polar Research Institute (KOPRI); National Aeronautics &amp; Space Administration (NASA); NASA Jet Propulsion Laboratory (JPL); California Institute of Technology</t>
  </si>
  <si>
    <t>Seo, KW (corresponding author), Seoul Natl Univ, Dept Earth Educ, Seoul, South Korea.</t>
  </si>
  <si>
    <t>seokiweon@snu.ac.kr</t>
  </si>
  <si>
    <t>Seo, Ki-weon/AAH-7729-2021; Tian, Baijun/A-1141-2007; Scambos, Ted A/B-1856-2009</t>
  </si>
  <si>
    <t>Seo, Ki-weon/0000-0001-5523-4996; Tian, Baijun/0000-0001-9369-2373; SCAMBOS, Ted A./0000-0003-4268-6322</t>
  </si>
  <si>
    <t>National Research Foundation [NRF-2013R1A1A2008368]; Korea Polar Research Institute [PM14020]; NASA</t>
  </si>
  <si>
    <t>National Research Foundation; Korea Polar Research Institute(Korea Polar Research Institute of Marine Research Placement (KOPRI)); NASA(National Aeronautics &amp; Space Administration (NASA))</t>
  </si>
  <si>
    <t>This work was supported by National Research Foundation grant NRF-2013R1A1A2008368 and Korea Polar Research Institute research grant PM14020. D.W. and B.T.'s contributions were carried out on behalf of the Jet Propulsion Laboratory, California Institute of Technology, under a contract with NASA. GRACE, ERA Interim, MERRA, and NCEP/DOE data are available from GRACE Tellus site (http://grace.jpl.nasa.gov), ECMWF data server (http://data-portal.ecmwf.int), Goddard Earth Sciences Data and Information Services Center (http://disc.sci.gsfc.nasa.gov), and Earth System Research Laboratory (http://www.esrl.noaa.gov), respectively. RACMO2.3 data are available upon request in Institute for Marine and Atmospheric Research Utrecht (http://www.projects.science.uu.nl/ice-climate/models/antarctica.php).</t>
  </si>
  <si>
    <t>10.1002/2014JB011755</t>
  </si>
  <si>
    <t>Green Published, Green Submitted, hybrid, Green Accepted</t>
  </si>
  <si>
    <t>WOS:000356454500041</t>
  </si>
  <si>
    <t>Clilverd, MA; Duthie, R; Hardman, R; Hendry, AT; Rodger, CJ; Raita, T; Engebretson, M; Lessard, MR; Danskin, D; Milling, DK</t>
  </si>
  <si>
    <t>Clilverd, Mark A.; Duthie, Roger; Hardman, Rachael; Hendry, Aaron T.; Rodger, Craig J.; Raita, Tero; Engebretson, Mark; Lessard, Marc R.; Danskin, Donald; Milling, David K.</t>
  </si>
  <si>
    <t>Electron precipitation from EMIC waves: A case study from 31 May 2013</t>
  </si>
  <si>
    <t>JOURNAL OF GEOPHYSICAL RESEARCH-SPACE PHYSICS</t>
  </si>
  <si>
    <t>ION-CYCLOTRON WAVES; RELATIVISTIC ELECTRON; SATELLITE-OBSERVATIONS</t>
  </si>
  <si>
    <t>On 31 May 2013 several rising tone electromagnetic ion cyclotron (EMIC) waves with intervals of pulsations of diminishing periods were observed in the magnetic local time afternoon and evening sectors during the onset of a moderate/large geomagnetic storm. The waves were sequentially observed in Finland, Antarctica, and western Canada. Coincident electron precipitation by a network of ground-based Antarctic Arctic Radiation-belt Dynamic Deposition VLF Atmospheric Research Konsortia and riometer instruments, as well as the Polar-orbiting Operational Environmental Satellite (POES) electron telescopes, was also observed. At the same time, POES detected 30-80 keV proton precipitation drifting westward at locations that were consistent with the ground-based observations, indicating substorm injection. Through detailed modeling of the combination of ground and satellite observations, the characteristics of the EMIC-induced electron precipitation were identified as latitudinal width of 2-3 degrees or Delta L = 1 R-e, longitudinal width similar to 50 degrees or 3 h magnetic local time, lower cutoff energy 280 keV, typical flux 1 x 10(4) el cm(-2) sr(-1) s(-1) &gt; 300 keV. The lower cutoff energy of themost clearly defined EMIC rising tone in this study confirms the identification of a class of EMIC-induced precipitation events with unexpectedly low-energy cutoffs of &lt; 400 keV.</t>
  </si>
  <si>
    <t>[Clilverd, Mark A.; Duthie, Roger; Hardman, Rachael] British Antarctic Survey, NERC, Cambridge, England; [Hendry, Aaron T.; Rodger, Craig J.] Univ Otago, Dept Phys, Dunedin, New Zealand; [Raita, Tero] Univ Oulu, Sodankyla Geophys Observ, Sodankyla, Finland; [Engebretson, Mark] Augsburg Coll, Dept Phys, Minneapolis, MN USA; [Lessard, Marc R.] Univ New Hampshire, Durham, NH 03824 USA; [Danskin, Donald] Nat Resources Canada, Geomagnet Lab, Ottawa, ON, Canada; [Milling, David K.] Univ Alberta, Dept Phys, Edmonton, AB, Canada</t>
  </si>
  <si>
    <t>UK Research &amp; Innovation (UKRI); Natural Environment Research Council (NERC); NERC British Antarctic Survey; University of Otago; University of Oulu; Augsburg University; University System Of New Hampshire; University of New Hampshire; Natural Resources Canada; University of Alberta</t>
  </si>
  <si>
    <t>Clilverd, MA (corresponding author), British Antarctic Survey, NERC, Cambridge, England.</t>
  </si>
  <si>
    <t>macl@bas.ac.uk</t>
  </si>
  <si>
    <t>Hendry, Aaron/T-1911-2019; Rodger, Craig/A-1501-2011</t>
  </si>
  <si>
    <t>Hendry, Aaron/0000-0002-9130-3781; Raita, Tero/0000-0002-0455-5746; Duthie, Roger/0000-0003-3198-8819; Rodger, Craig J./0000-0002-6770-2707; Danskin, Donald William/0000-0002-4968-9094</t>
  </si>
  <si>
    <t>Natural Environmental Research Council [NE/J008125/1]; European Community [263218]; Canadian Space Agency; U.S. National Science Foundation [PLR-1341493, PLR-1341677]; NERC [NE/J007773/1, NE/J008125/1, NE/H014888/1, bas0100031] Funding Source: UKRI; Natural Environment Research Council [NE/H014888/1, NE/J007773/1, bas0100031, NE/J008125/1] Funding Source: researchfish; Office of Polar Programs (OPP); Directorate For Geosciences [1341493, 1341677] Funding Source: National Science Foundation</t>
  </si>
  <si>
    <t>Natural Environmental Research Council(UK Research &amp; Innovation (UKRI)Natural Environment Research Council (NERC)); European Community; Canadian Space Agency(Canadian Space Agency); U.S. National Science Foundation(National Science Foundation (NSF)); NERC(UK Research &amp; Innovation (UKRI)Natural Environment Research Council (NERC)); Natural Environment Research Council(UK Research &amp; Innovation (UKRI)Natural Environment Research Council (NERC)); Office of Polar Programs (OPP); Directorate For Geosciences(National Science Foundation (NSF)NSF - Directorate for Geosciences (GEO))</t>
  </si>
  <si>
    <t>The authors would like to thank Bergur Helgi and Jon Bjorn Richardsson for their assistance and enthusiasm during the data collection in Iceland. Data for this paper are available at the British Antarctic Survey Polar Data Centre (http://psddb.nerc-bas.ac.uk/data/access/). M.A.C. would like to acknowledge support from the Natural Environmental Research Council grant NE/J008125/1. A.H., R.D., and R.H. received funding from the European Community's Seventh Framework Programme ([FP7/2007-2013]) under grant agreement number 263218. CARISMA is operated by the University of Alberta and funded by the Canadian Space Agency. Support for the Halley search coil magnetometer was provided by U.S. National Science Foundation grants PLR-1341493 to Augsburg College and PLR-1341677 to the University of New Hampshire.</t>
  </si>
  <si>
    <t>2169-9380</t>
  </si>
  <si>
    <t>2169-9402</t>
  </si>
  <si>
    <t>J GEOPHYS RES-SPACE</t>
  </si>
  <si>
    <t>J. Geophys. Res-Space Phys.</t>
  </si>
  <si>
    <t>10.1002/2015JA021090</t>
  </si>
  <si>
    <t>CM7KA</t>
  </si>
  <si>
    <t>Green Accepted, Bronze</t>
  </si>
  <si>
    <t>WOS:000357869600026</t>
  </si>
  <si>
    <t>Noisette, F; Richard, J; Le Fur, I; Peck, LS; Davoult, D; Martin, S</t>
  </si>
  <si>
    <t>Noisette, Fanny; Richard, Joelle; Le Fur, Ines; Peck, Lloyd S.; Davoult, Dominique; Martin, Sophie</t>
  </si>
  <si>
    <t>Metabolic responses to temperature stress under elevated pCO2 in Crepidula fornicata</t>
  </si>
  <si>
    <t>JOURNAL OF MOLLUSCAN STUDIES</t>
  </si>
  <si>
    <t>ACID-BASE-BALANCE; LIFE-HISTORY STAGES; OCEAN ACIDIFICATION; GLOBAL CHANGE; THERMAL TOLERANCE; PHYSIOLOGICAL ENERGETICS; CRASSOSTREA-VIRGINICA; LATERNULA-ELLIPTICA; ANTARCTIC BIVALVE; SLIPPER LIMPET</t>
  </si>
  <si>
    <t>In the current context of environmental change, ocean acidification is predicted to affect the cellular processes, physiology and behaviour of all marine organisms, impacting survival, growth and reproduction. In relation to thermal tolerance limits, the effects of elevated pCO(2) could be expected to be more pronounced at the upper limits of the thermal tolerance window. Our study focused on Crepidula fornicata, an invasive gastropod which colonized shallow waters around European coasts during the 20th century. We investigated the effects of 10 weeks' exposure to current (380 A mu atm) and elevated (550, 750, 1,000 A mu atm) pCO(2) on this engineer species using an acute temperature increase (1 A degrees C 12 h(-1)) as the test. Respiration rates were measured on both males (small individuals) and females (large individuals). Mortality increased suddenly from 34 A degrees C, particularly in females. Respiration rate in C. fornicata increased linearly with temperature between 18 and 34 A degrees C, but no differences were detected between the different pCO(2) conditions either in the regressions between respiration rate and temperature or in Q(10) values. In the same way, condition indices were similar in all the pCO(2) treatments at the end of the experiment, but decreased from the beginning of the experiment. This species was highly resistant to acute exposure to high temperature regardless of pCO(2) levels, even though food was limited during the experiment. Crepidula fornicata appears to have either developed resistance mechanisms or a strong phenotypic plasticity to deal with fluctuations of physicochemical parameters in its habitat. This suggests that invasive species may be more resistant to future environmental changes than its native competitors.</t>
  </si>
  <si>
    <t>[Noisette, Fanny; Le Fur, Ines; Davoult, Dominique; Martin, Sophie] Univ Paris 06, Sorbonne Univ, UMR 7144, Stn Biol Roscoff, F-29680 Roscoff, France; [Noisette, Fanny; Le Fur, Ines; Davoult, Dominique; Martin, Sophie] CNRS, UMR 7144, Stn Biol Roscoff, F-29680 Roscoff, France; [Richard, Joelle] Univ Bretagne Occidentale, Inst Univ Europe Mer, Lab Sci Environm Marin, CNRS,UMR 6539, F-29280 Plouzane, France; [Richard, Joelle; Peck, Lloyd S.] British Antarctic Survey, Nat Environm Res Council, Cambridge CB3 0ET, England</t>
  </si>
  <si>
    <t>Centre National de la Recherche Scientifique (CNRS); CNRS - Institute of Ecology &amp; Environment (INEE); Sorbonne Universite; Centre National de la Recherche Scientifique (CNRS); CNRS - Institute of Ecology &amp; Environment (INEE); Sorbonne Universite; Centre National de la Recherche Scientifique (CNRS); CNRS - Institute of Ecology &amp; Environment (INEE); Universite de Bretagne Occidentale; Institut Universitaire Europeen de la Mer (IUEM); Ifremer; Institut de Recherche pour le Developpement (IRD); UK Research &amp; Innovation (UKRI); Natural Environment Research Council (NERC); NERC British Antarctic Survey</t>
  </si>
  <si>
    <t>Noisette, F (corresponding author), Univ Paris 06, Sorbonne Univ, UMR 7144, Stn Biol Roscoff, Pl Georges Teissier, F-29680 Roscoff, France.</t>
  </si>
  <si>
    <t>fanny.noisette@sb-roscoff.fr</t>
  </si>
  <si>
    <t>Davoult, dominique/D-5932-2012; Martin, Sophie G/AAE-3198-2019</t>
  </si>
  <si>
    <t>Davoult, dominique/0000-0001-8678-3998; Martin, Sophie G/0000-0002-5317-2557; MARTIN, Sophie/0000-0002-1256-3674; Le Fur, Ines/0000-0003-2182-2372</t>
  </si>
  <si>
    <t>CALCAO project from the Region Bretagne; Interreg IVa France (Channel)-England Marinexus - FEDER programme [4073]; European Community [211384]; NERC [bas0100025, bas0100036] Funding Source: UKRI; Natural Environment Research Council [bas0100036, bas0100025] Funding Source: researchfish</t>
  </si>
  <si>
    <t>CALCAO project from the Region Bretagne; Interreg IVa France (Channel)-England Marinexus - FEDER programme; European Community; NERC(UK Research &amp; Innovation (UKRI)Natural Environment Research Council (NERC)); Natural Environment Research Council(UK Research &amp; Innovation (UKRI)Natural Environment Research Council (NERC))</t>
  </si>
  <si>
    <t>The authors thank the Marine Operations and Services Department of the Station Biologique de Roscoff for the under-water sampling and the help with system building. This work was supported by the CALCAO project funded from the Region Bretagne and by the Interreg IVa France (Channel)-England Marinexus project no. 4073 funded by the FEDER programme. It also contributes to the European Project on Ocean Acidification (EPOCA) which received funding from the European Community's Seventh Framework Programme (FP7/2007-2013) under grant agreement no. 211384.</t>
  </si>
  <si>
    <t>0260-1230</t>
  </si>
  <si>
    <t>1464-3766</t>
  </si>
  <si>
    <t>J MOLLUS STUD</t>
  </si>
  <si>
    <t>J. Molluscan Stud.</t>
  </si>
  <si>
    <t>10.1093/mollus/eyu084</t>
  </si>
  <si>
    <t>Marine &amp; Freshwater Biology; Zoology</t>
  </si>
  <si>
    <t>CJ2MD</t>
  </si>
  <si>
    <t>Bronze, Green Submitted, Green Accepted</t>
  </si>
  <si>
    <t>WOS:000355318000007</t>
  </si>
  <si>
    <t>Sailley, SF; Polimene, L; Mitra, A; Atkinson, A; Allen, JI</t>
  </si>
  <si>
    <t>Sailley, Sevrine F.; Polimene, Luca; Mitra, Aditee; Atkinson, Angus; Allen, J. Icarus</t>
  </si>
  <si>
    <t>Impact of zooplankton food selectivity on plankton dynamics and nutrient cycling</t>
  </si>
  <si>
    <t>feeding behavior; prey selection; plankton dynamics; zooplankton; stoichiometry</t>
  </si>
  <si>
    <t>PREDATOR-PREY INTERACTIONS; MARINE ECOSYSTEM MODEL; FUNCTIONAL-RESPONSE; ANTARCTIC KRILL; OXYRRHIS-MARINA; COPEPODS; STOICHIOMETRY; MESOZOOPLANKTON; CAPABILITIES; ABSORPTION</t>
  </si>
  <si>
    <t>Within models, zooplankton grazing is typically defined as being dependent on total prey concentration, with feeding selectivity expressed only as a function of prey size. This behavior ignores taxonomic preferences shown by the predators and the capacity of some zooplankton to actively select or reject individual prey items from mixtures. We carried out two model experiments comparing impacts of zooplankton displaying passive and active selection, which resulted in contrasting dynamics for the pelagic system. Passive selection by the grazer resulted in a top down control on the prey with a fast turn-over of nutrients. Active selection, on the other hand led to a bottom-up control, with slower nutrient turnover constraining primary production by changing the system toward export of particulate matter. Our results suggest that selective feeding behavior is an important trait, and should be considered alongside size and taxonomy when studying the role of zooplankton impact in the ecosystem.</t>
  </si>
  <si>
    <t>[Sailley, Sevrine F.; Polimene, Luca; Atkinson, Angus; Allen, J. Icarus] Plymouth Marine Lab, Plymouth PL1 3DH, Devon, England; [Mitra, Aditee] Swansea Univ, CSAR, Swansea SA2 8PP, W Glam, Wales</t>
  </si>
  <si>
    <t>Plymouth Marine Laboratory; Swansea University</t>
  </si>
  <si>
    <t>Sailley, SF (corresponding author), Plymouth Marine Lab, Prospect Pl, Plymouth PL1 3DH, Devon, England.</t>
  </si>
  <si>
    <t>sesa@pml.ac.uk</t>
  </si>
  <si>
    <t>Atkinson, Angus/HOH-3417-2023</t>
  </si>
  <si>
    <t>Mitra, Aditee/0000-0001-5572-9331</t>
  </si>
  <si>
    <t>NERC/Defra Marine Ecosystems Research Program [MB0310]; EC FP7 My Ocean project; UK NERC/Defra Shelf Seas Biogeochemistry program; EC FP7 Euro Basin project; NERC UK project iMarNet [NE/K001345/1]; NERC National Capability; Natural Environment Research Council [NE/L003066/1, NE/K001345/1, NE/K001876/1, pml010007, pml010006, pml010010] Funding Source: researchfish; NERC [pml010007, pml010006, NE/K001876/1, NE/K001345/1, pml010010, NE/L003066/1] Funding Source: UKRI</t>
  </si>
  <si>
    <t>NERC/Defra Marine Ecosystems Research Program; EC FP7 My Ocean project; UK NERC/Defra Shelf Seas Biogeochemistry program; EC FP7 Euro Basin project; NERC UK project iMarNet; NERC National Capability; Natural Environment Research Council(UK Research &amp; Innovation (UKRI)Natural Environment Research Council (NERC)); NERC(UK Research &amp; Innovation (UKRI)Natural Environment Research Council (NERC))</t>
  </si>
  <si>
    <t>S.S. and A. A. were part funded by MB0310 NERC/Defra Marine Ecosystems Research Program.; L.P. was part funded by the EC FP7 My Ocean project. A. A. and L.P. were part funded through the UK NERC/Defra Shelf Seas Biogeochemistry program. J.I.A. and A.M. were part funded thought the EC FP7 Euro Basin project. A.M. was part funded by the NERC UK project iMarNet NE/K001345/1. A.A., J.I.A., L.P. and S.S. were part funded through NERC National Capability, in sustained observations and marine modeling.</t>
  </si>
  <si>
    <t>10.1093/plankt/fbv020</t>
  </si>
  <si>
    <t>WOS:000356039200004</t>
  </si>
  <si>
    <t>Shibuya, R; Sato, K; Tomikawa, Y; Tsutsumi, M; Sato, T</t>
  </si>
  <si>
    <t>Shibuya, Ryosuke; Sato, Kaoru; Tomikawa, Yoshihiro; Tsutsumi, Masaki; Sato, Toru</t>
  </si>
  <si>
    <t>A Study of Multiple Tropopause Structures Caused by Inertia-Gravity Waves in the Antarctic</t>
  </si>
  <si>
    <t>JOURNAL OF THE ATMOSPHERIC SCIENCES</t>
  </si>
  <si>
    <t>GENERAL-CIRCULATION MODEL; LOWER STRATOSPHERE; SOUTHERN-HEMISPHERE; MOMENTUM FLUXES; CLIMATE MODELS; PART I; BREAKING; PARAMETERIZATION; COORDINATE; TRANSPORT</t>
  </si>
  <si>
    <t>Multiple tropopauses (MTs) defined by theWorldMeteorologicalOrganization are frequently detected from autumn to spring at Syowa Station (69.0 degrees S, 39.6 degrees E). The dynamical mechanism of MT events was examined by observations of the first mesosphere-stratosphere-troposphere (MST) radar in the Antarctic, the Program of the Antarctic Syowa MST/Incoherent Scatter (IS) Radar (PANSY), and of radiosondes on 8-11 April 2013. The MT structure above the first tropopause is composed of strong temperature fluctuations. By a detailed analysis of observed three-dimensional wind and temperature fluctuation components, it is shown that the phase and amplitude relations between these components are consistent with the theoretical characteristics of linear inertia-gravity waves (IGWs). Numerical simulations were performed by using a nonhydrostatic model. The simulated MT structures and IGW parameters agree well with the observation. In the analysis using the numerical simulation data, it is seen that IGWs were generated around 65 degrees S, 15 degrees E and around 70 degrees S, 15 degrees E, propagated eastward, and reached the region above Syowa Station when the MT event was observed. These IGWs were likely radiated spontaneously from the upper-tropospheric flow around 65 degrees S, 15 degrees E and were forced by strong southerly surface winds over steep topography (70 degrees S, 15 degrees E). The MT occurrence is attributable to strong IGWs and the low mean static stability in the polar winter lower stratosphere. It is also shown that nonorographic gravity waves associated with the tropopause folding event contribute to 40% of the momentum fluxes, as shown by a gravity wave-resolving general circulation model in the lower stratosphere around 65 degrees S. This result indicates that they are one of the key components for solving the cold-bias problem found in most climate models.</t>
  </si>
  <si>
    <t>[Shibuya, Ryosuke; Sato, Kaoru] Univ Tokyo, Dept Earth &amp; Planetary Sci, Tokyo 1130033, Japan; [Tomikawa, Yoshihiro; Tsutsumi, Masaki] Natl Inst Polar Res, Tokyo, Japan; [Tomikawa, Yoshihiro; Tsutsumi, Masaki] Grad Univ Adv Studies SOKENDAI, Tokyo, Japan; [Sato, Toru] Kyoto Univ, Dept Commun &amp; Comp Engn, Kyoto, Japan</t>
  </si>
  <si>
    <t>University of Tokyo; Research Organization of Information &amp; Systems (ROIS); National Institute of Polar Research (NIPR) - Japan; Graduate University for Advanced Studies - Japan; Kyoto University</t>
  </si>
  <si>
    <t>Shibuya, R (corresponding author), Univ Tokyo, Bunkyo Ku, 7-3-1 Hongo, Tokyo 1130033, Japan.</t>
  </si>
  <si>
    <t>shibuya@eps.s.u-tokyo.ac.jp</t>
  </si>
  <si>
    <t>Tomikawa, Yoshihiro/D-5304-2012; Satoh, Kaoru/P-2047-2015; Sato, Toru/F-3818-2012; Sato, Kaoru/E-1693-2012</t>
  </si>
  <si>
    <t>Tomikawa, Yoshihiro/0000-0002-5652-3017; Sato, Kaoru/0000-0002-6225-6066</t>
  </si>
  <si>
    <t>program for Leading Graduate Schools, MEXT, Japan; Japan Society for the Promotion of Science (JSPS) [25247075, 26-9257]; Grants-in-Aid for Scientific Research [25247075, 25610145, 14J09257] Funding Source: KAKEN</t>
  </si>
  <si>
    <t>program for Leading Graduate Schools, MEXT, Japan; Japan Society for the Promotion of Science (JSPS)(Ministry of Education, Culture, Sports, Science and Technology, Japan (MEXT)Japan Society for the Promotion of Science); Grants-in-Aid for Scientific Research(Ministry of Education, Culture, Sports, Science and Technology, Japan (MEXT)Japan Society for the Promotion of ScienceGrants-in-Aid for Scientific Research (KAKENHI))</t>
  </si>
  <si>
    <t>The authors thank associate professors H. Miura and M. Koike for their many useful comments and discussions. Numerical simulations were run on the supercomputer in NIPR. All figures in this paper are pictured by using Dennou Club Library (DCL). This work was supported by the program for Leading Graduate Schools, MEXT, Japan. This study was also supported by Grant-in-Aid Scientific Research (A) 25247075 and by Grant-in-Aid for Research Fellow (26-9257) provided by the Japan Society for the Promotion of Science (JSPS).</t>
  </si>
  <si>
    <t>0022-4928</t>
  </si>
  <si>
    <t>1520-0469</t>
  </si>
  <si>
    <t>J ATMOS SCI</t>
  </si>
  <si>
    <t>J. Atmos. Sci.</t>
  </si>
  <si>
    <t>10.1175/JAS-D-14-0228.1</t>
  </si>
  <si>
    <t>CH2FC</t>
  </si>
  <si>
    <t>WOS:000353840100024</t>
  </si>
  <si>
    <t>Jorgensen, L; Stedmon, CA; Kaartokallio, H; Middelboe, M; Thomas, DN</t>
  </si>
  <si>
    <t>Jorgensen, Linda; Stedmon, Colin A.; Kaartokallio, Hermanni; Middelboe, Mathias; Thomas, David N.</t>
  </si>
  <si>
    <t>Changes in the composition and bioavailability of dissolved organic matter during sea ice formation</t>
  </si>
  <si>
    <t>ARCTIC-OCEAN; INORGANIC NUTRIENTS; FLUORESCENCE; MARINE; CARBON; BIOGEOCHEMISTRY; DYNAMICS; ENVIRONMENTS; DEGRADATION; BEHAVIOR</t>
  </si>
  <si>
    <t>The Arctic Ocean receives a large amount of terrestrial dissolved organic matter (DOM) from rivers and more than half of this is removed during its passage through the Arctic Ocean. Terrestrial DOM is generally believed to have a low bioavailability and recent studies point to physicochemical processes such as sea ice formation as the source of the significant DOM removal in the Arctic Ocean. We present the results of a mesocosm experiment designed to investigate how sea ice formation affects DOM composition and bioavailability. We measured the change in different fluorescent dissolved organic matter (FDOM) fractions in sea ice, brines (contained in small pores between the ice crystals), and the underlying seawater during a 14 d experiment. Two series of mesocosms were used: one with seawater alone and one with seawater enriched with humic-rich river water. Abiotic processes increased the humic-like FDOM signal in the seawater below the ice during the initial ice formation. Humic-like FDOM fractions with a marine signal were preferentially retained in sea ice (relative to salinity), whereas humic-like FDOM with a terrestrial signal behaved more conservatively with respect to salinity. Amino acid-like FDOM and an unknown FDOM component, only previously found in Antarctic brines, were associated with biological activity and possibly extracellular polymeric substances in sea ice. An additional long-term (226-228 d) bioassay experiment with seawater collected from the mesocosm experiment revealed that 11%+/- 2% of the bulk dissolved organic carbon (DOC) was bioavailable. However, 16%+/- 12% of DOC expelled from the ice into the seawater below was bioavailable and the bioavailability of DOC in brine was even higher at 45%. DOM is highly susceptible to physicochemical changes during sea ice formation, leading to modifications in composition and increased bioavailability, which can in part explain terrestrial DOC removal in the Arctic Ocean.</t>
  </si>
  <si>
    <t>[Jorgensen, Linda; Stedmon, Colin A.] Tech Univ Denmark, Natl Inst Aquat Resources, Charlottenlund, Denmark; [Jorgensen, Linda; Middelboe, Mathias] Univ Copenhagen, Marine Biol Sect, Helsingor, Denmark; [Kaartokallio, Hermanni; Thomas, David N.] Finnish Environm Inst SYKE, Ctr Marine Res, Helsinki, Finland; [Thomas, David N.] Bangor Univ, Sch Ocean Sci, Coll Nat Sci, Menai Bridge, Anglesey, Wales</t>
  </si>
  <si>
    <t>Technical University of Denmark; University of Copenhagen; Finnish Environment Institute; Bangor University</t>
  </si>
  <si>
    <t>Jorgensen, L (corresponding author), Tech Univ Denmark, Natl Inst Aquat Resources, Charlottenlund, Denmark.</t>
  </si>
  <si>
    <t>linda.jor.85@gmail.com</t>
  </si>
  <si>
    <t>Thomas, David Neville/B-1448-2010; Stedmon, Colin Andrew/B-5841-2008; Middelboe, Mathias/B-9995-2009</t>
  </si>
  <si>
    <t>Thomas, David Neville/0000-0001-8832-5907; Stedmon, Colin Andrew/0000-0001-6642-9692; Middelboe, Mathias/0000-0002-9587-9171</t>
  </si>
  <si>
    <t>European Community [261520]; Danish Strategic Research Council [10-093903]; Academy of Finland (Finland Distinguished Professor Programme) [127097]; Danish Research Council for Independent Research [FNU-09-072829]; Walter and Andree de Nottbeck Foundation; Academy of Finland (AKA) [127097] Funding Source: Academy of Finland (AKA)</t>
  </si>
  <si>
    <t>European Community; Danish Strategic Research Council(Danske Strategiske Forskningsrad (DSF)); Academy of Finland (Finland Distinguished Professor Programme); Danish Research Council for Independent Research(Det Frie Forskningsrad (DFF)); Walter and Andree de Nottbeck Foundation; Academy of Finland (AKA)</t>
  </si>
  <si>
    <t>We thank Harri Kuosa, Riitta Autio, Anne-Mari Luhtanen, Jean Louis Tison, Bruno DeLille, Jiayun Zhou, Gerhard Dieckmann, Michael Fischer, Gerhard Kattner, and Hillary Kennedy for assistance with planning, setting up and carrying out the mesocosm experiment. The work was supported by the European Community's Seventh Framework Programme through the grant to the budget of the Integrating Activity HYDRALAB IV, Contract no. 261520. We thank the Hamburg Ship Model Basin (HSVA), especially Karl-Ulrich Evers and the ice tank crew, for the hospitality, technical and scientific support, and the professional execution of the test program in the Research Infrastructure Arctic Technology Laboratories (ARCTECLAB). This work was also partly funded by the Danish Strategic Research Council (grant 10-093903), the Academy of Finland (Finland Distinguished Professor Programme, project 127097), the Danish Research Council for Independent Research (FNU-09-072829), and the Walter and Andree de Nottbeck Foundation. We also thank the editor Anna M. Romani and two anonymous reviewers for valuable comments on the manuscript.</t>
  </si>
  <si>
    <t>10.1002/lno.10058</t>
  </si>
  <si>
    <t>WOS:000354490100008</t>
  </si>
  <si>
    <t>Lorenzo, S; Moreno, G; Graziano, V; Lentini, NA</t>
  </si>
  <si>
    <t>Lorenzo, Santiago; Moreno, Gustavo; Graziano, Vicente; Lentini, Nestor A.</t>
  </si>
  <si>
    <t>Swimming In The Antarctic Ocean For 20 Minutes Without Thermoprotective Gear: Is It Possible?</t>
  </si>
  <si>
    <t>MEDICINE AND SCIENCE IN SPORTS AND EXERCISE</t>
  </si>
  <si>
    <t>[Lorenzo, Santiago] Lake Erie Coll Osteopath Med, Bradenton, FL USA; [Moreno, Gustavo; Graziano, Vicente; Lentini, Nestor A.] Secretaria Deportes Nacion, CeNARD, Ctr Nacl Alto Rendimiento Deport, Buenos Aires, DF, Argentina; [Moreno, Gustavo; Graziano, Vicente; Lentini, Nestor A.] Inst Antartico Argentino, Direcc Nacl Antartico, Buenos Aires, DF, Argentina</t>
  </si>
  <si>
    <t>Instituto Antartico Argentino</t>
  </si>
  <si>
    <t>slorenzo@lecom.edu</t>
  </si>
  <si>
    <t>Lorenzo, Santiago/JXW-7257-2024</t>
  </si>
  <si>
    <t>Argentine Armed Forces; National Direction of Antarctic Studies, Secretariat of Sports; Gatorade Sports Science Institute</t>
  </si>
  <si>
    <t>Work supported by Argentine Armed Forces, National Direction of Antarctic Studies, Secretariat of Sports, and the Gatorade Sports Science Institute.</t>
  </si>
  <si>
    <t>LIPPINCOTT WILLIAMS &amp; WILKINS</t>
  </si>
  <si>
    <t>TWO COMMERCE SQ, 2001 MARKET ST, PHILADELPHIA, PA 19103 USA</t>
  </si>
  <si>
    <t>0195-9131</t>
  </si>
  <si>
    <t>1530-0315</t>
  </si>
  <si>
    <t>MED SCI SPORT EXER</t>
  </si>
  <si>
    <t>Med. Sci. Sports Exerc.</t>
  </si>
  <si>
    <t>10.1249/01.mss.0000477700.16252.a1</t>
  </si>
  <si>
    <t>Sport Sciences</t>
  </si>
  <si>
    <t>VB2WI</t>
  </si>
  <si>
    <t>WOS:000415220100558</t>
  </si>
  <si>
    <t>Vecchiato, M; Zambon, S; Argiriadis, E; Barbante, C; Gambaro, A; Piazza, R</t>
  </si>
  <si>
    <t>Vecchiato, Marco; Zambon, Stefano; Argiriadis, Elena; Barbante, Carlo; Gambaro, Andrea; Piazza, Rossano</t>
  </si>
  <si>
    <t>Polychlorinated biphenyls (PCBs) and polybrominated diphenyl ethers (PBDEs) in Antarctic ice-free areas: Influence of local sources on lakes and soils</t>
  </si>
  <si>
    <t>MICROCHEMICAL JOURNAL</t>
  </si>
  <si>
    <t>Antarctica; Lake; Research stations; PCBs; PBDEs; GC-MS</t>
  </si>
  <si>
    <t>PERSISTENT ORGANIC POLLUTANTS; VICTORIA LAND LAKES; KING GEORGE ISLAND; BROMINATED FLAME RETARDANTS; ORGANOCHLORINE PESTICIDES; TOXIC-SUBSTANCES; SEDIMENTS; CONTAMINANTS; DEPOSITION; SVALBARD</t>
  </si>
  <si>
    <t>Antarctica is usually considered a pristine ecosystem; nevertheless it is influenced by Persistent Organic Pollutants (POPs), mainly driven by long-range atmospheric transport (LRAT). However, localized sources such as human and wildlife activities can also contribute to pollution, constituting contaminated points at a local scale. Antarctic ice-free areas, where rare lakes are located, are influenced by such sources. In this work we determine polychlorinated biphenyls (PCBs, including the non-Aroclor CB-11) and polybrominated diphenyl ethers (PBDEs) in water and sediment samples of 6 lakes in Northern Victoria Land and in soils near the Italian research station Mario Zucchelli. Determinations were performed through gas chromatography (GC) coupled both to low-resolution and high-resolution mass spectrometry (LRMS, HRMS). POP concentrations in lakes resulted low and rather similar across the sites despite their distance: Sigma(PCBs) range between 46 and 143 pg L-1 in water and 10 and 634 pg g(-1) in sediments, while Sigma(PBDEs) range between 60 and 151 pg L-1 in water and 193 and 1682 pg g(-1) in sediments. Lakes exhibited limited amplification phenomena in water during the melting season. PBDEs in the soils near the base yielded more concerning results, reaching a concentration of 33 ng g(-1). (C) 2014 Elsevier B.V. All rights reserved.</t>
  </si>
  <si>
    <t>[Vecchiato, Marco] Univ Siena, Dept Phys Sci Earth &amp; Environm, I-53100 Siena, Italy; [Vecchiato, Marco; Barbante, Carlo; Gambaro, Andrea; Piazza, Rossano] CNR, Inst Dynam Environm Proc, I-30123 Venice, Italy; [Zambon, Stefano; Argiriadis, Elena; Gambaro, Andrea; Piazza, Rossano] Ca Foscari Univ Venice, Dept Environm Sci Informat &amp; Stat, I-30123 Venice, Italy</t>
  </si>
  <si>
    <t>University of Siena; Consiglio Nazionale delle Ricerche (CNR); Istituto per la Dinamica dei Processi Ambientali (IDPA-CNR); Universita Ca Foscari Venezia</t>
  </si>
  <si>
    <t>Vecchiato, M (corresponding author), Univ Siena, Via Laterina 8, I-53100 Siena, Italy.</t>
  </si>
  <si>
    <t>vecchiato@unive.it</t>
  </si>
  <si>
    <t>Argiriadis, Elena/ABD-4415-2020; Barbante, Carlo/B-3195-2011</t>
  </si>
  <si>
    <t>Piazza, Rossano/0000-0002-1897-4124; Barbante, Carlo/0000-0003-4177-2288; Argiriadis, Elena/0000-0001-7227-405X; Vecchiato, Marco/0000-0002-5112-8472</t>
  </si>
  <si>
    <t>Italian National Program for Research in Antarctica (PNRA) [PEA 2009/A2.10]</t>
  </si>
  <si>
    <t>Italian National Program for Research in Antarctica (PNRA)(Ministry of Education, Universities and Research (MIUR))</t>
  </si>
  <si>
    <t>Funds were provided by the Italian National Program for Research in Antarctica (PNRA) PEA 2009/A2.10. We also wish to thank Dr. Marta Radaelli for TOC measurements, Riccardo Manente and Lorenzo Fedon for their help during analyses and Dr. Daniela Almansi for her accurate revision of our manuscript</t>
  </si>
  <si>
    <t>0026-265X</t>
  </si>
  <si>
    <t>1095-9149</t>
  </si>
  <si>
    <t>MICROCHEM J</t>
  </si>
  <si>
    <t>Microchem J.</t>
  </si>
  <si>
    <t>10.1016/j.microc.2014.12.008</t>
  </si>
  <si>
    <t>CE7TH</t>
  </si>
  <si>
    <t>WOS:000352044200004</t>
  </si>
  <si>
    <t>Tomikawa, Y; Nomoto, M; Miura, H; Tsutsumi, M; Nishimura, K; Nakamura, T; Yamagishi, H; Yamanouchi, T; Sato, T; Sato, K</t>
  </si>
  <si>
    <t>Tomikawa, Yoshihiro; Nomoto, Masahiro; Miura, Hiroaki; Tsutsumi, Masaki; Nishimura, Koji; Nakamura, Takuji; Yamagishi, Hisao; Yamanouchi, Takashi; Sato, Toru; Sato, Kaoru</t>
  </si>
  <si>
    <t>Vertical Wind Disturbances during a Strong Wind Event Observed by the PANSY Radar at Syowa Station, Antarctica</t>
  </si>
  <si>
    <t>MONTHLY WEATHER REVIEW</t>
  </si>
  <si>
    <t>MODEL; TROPOSPHERE; ICE</t>
  </si>
  <si>
    <t>Characteristically strong vertical wind disturbances (VWDs) with magnitudes larger than 1 m s(-1) were observed in the Antarctic troposphere using a new mesosphere-stratosphere-troposphere (MST) radar called the Program of the Antarctic Syowa MST/incoherent scatter (IS) Radar (PANSY) during 15-19 June 2012 at Syowa Station (69.0 degrees S, 39.6 degrees E). In the same period, two synoptic-scale cyclones approached Syowa Station and caused a strong wind event (SWE) at the surface. The VWDs observed during the SWE at Syowa Station had a nearly standing (i.e., no phase tilt with height) phase structure up to the tropopause and a power spectrum proportional to the -5/3 power of frequency. On the other hand, the observed VWDs were not associated with systematic horizontal momentum fluxes. Meteorological fields around Syowa Station during the SWE were successfully simulated using the Nonhydrostatic Icosahedral Atmospheric Model (NICAM). A strong VWD was also simulated at the model grid of 70.0 degrees S, 40.0 degrees E in NICAM, which had a standing phase structure similar to the observed ones. An analysis based on the Froude number showed that the simulated VWD was likely due to a hydraulic jump leeward of the coastal mountain ridge. The Scorer parameter analysis indicated that the observed VWDs at Syowa Station during 16-17 June 2012 were likely due to the hydraulic jump similar to that in NICAM. On the other hand, a possibility of lee waves was also suggested for the VWD observed on 18 June 2012.</t>
  </si>
  <si>
    <t>[Tomikawa, Yoshihiro; Tsutsumi, Masaki; Nishimura, Koji; Nakamura, Takuji; Yamagishi, Hisao; Yamanouchi, Takashi] Natl Inst Polar Res, Tachikawa, Tokyo 1908518, Japan; [Tomikawa, Yoshihiro; Tsutsumi, Masaki; Nishimura, Koji; Nakamura, Takuji; Yamagishi, Hisao; Yamanouchi, Takashi] Grad Univ Adv Studies SOKENDAI, Tokyo, Japan; [Nomoto, Masahiro; Miura, Hiroaki; Sato, Kaoru] Univ Tokyo, Tokyo, Japan; [Sato, Toru] Kyoto Univ, Kyoto, Japan</t>
  </si>
  <si>
    <t>Research Organization of Information &amp; Systems (ROIS); National Institute of Polar Research (NIPR) - Japan; Graduate University for Advanced Studies - Japan; University of Tokyo; Kyoto University</t>
  </si>
  <si>
    <t>Tomikawa, Y (corresponding author), Natl Inst Polar Res, 10-3 Midori Cho, Tachikawa, Tokyo 1908518, Japan.</t>
  </si>
  <si>
    <t>tomikawa@nipr.ac.jp</t>
  </si>
  <si>
    <t>Satoh, Kaoru/P-2047-2015; Tomikawa, Yoshihiro/D-5304-2012; Sato, Toru/F-3818-2012; Sato, Kaoru/E-1693-2012</t>
  </si>
  <si>
    <t>Tomikawa, Yoshihiro/0000-0002-5652-3017; Sato, Kaoru/0000-0002-6225-6066; Nakamura, Takuji/0000-0002-3876-2946</t>
  </si>
  <si>
    <t>Ministry of Education, Culture, Sports and Technology, Japan [25247075]; NIPR; Grants-in-Aid for Scientific Research [25247075, 25610145] Funding Source: KAKEN</t>
  </si>
  <si>
    <t>Ministry of Education, Culture, Sports and Technology, Japan(Ministry of Education, Culture, Sports, Science and Technology, Japan (MEXT)); NIPR(National Institute of Polar Research (NIPR) - Japan); Grants-in-Aid for Scientific Research(Ministry of Education, Culture, Sports, Science and Technology, Japan (MEXT)Japan Society for the Promotion of ScienceGrants-in-Aid for Scientific Research (KAKENHI))</t>
  </si>
  <si>
    <t>The operational observations of surface meteorology and the PANSY radar at Syowa Station were conducted by the Japanese Antarctic Research Expedition (JARE). The surface meteorological data at Syowa Station were provided by the Japan Meteorological Agency. The authors appreciate constructive and useful comments from Prof. M. Satoh at the Atmosphere and Ocean Research Institute (AORI) about NICAM. The authors are deeply grateful to Prof. Niino at AORI for his insightful comments and suggestions. We are also indebted to Assist. Prof. N. Hirasawa at the National Institute of Polar Research (NIPR) for his kindly providing AVHRR data. This study is supported by Grant-in-Aid for Scientific Research (A) 25247075 of the Ministry of Education, Culture, Sports and Technology, Japan. Numerical simulations were run on the supercomputer at NIPR. The MERRA data were provided by the NASA GSFC Global Modeling and Assimilation Office (GMAO) at http://disc.sci.gsfc.nasa.gov/daac-bin/DataHoldings.pl. Figures were drawn using Dennou Club Library (DCL). The production of this paper was supported by an NIPR publication subsidy.</t>
  </si>
  <si>
    <t>0027-0644</t>
  </si>
  <si>
    <t>1520-0493</t>
  </si>
  <si>
    <t>MON WEATHER REV</t>
  </si>
  <si>
    <t>Mon. Weather Rev.</t>
  </si>
  <si>
    <t>10.1175/MWR-D-14-00289.1</t>
  </si>
  <si>
    <t>CH5RW</t>
  </si>
  <si>
    <t>WOS:000354094000018</t>
  </si>
  <si>
    <t>van Nes, EH; Scheffer, M; Brovkin, V; Lenton, TM; Ye, H; Deyle, E; Sugihara, G</t>
  </si>
  <si>
    <t>van Nes, Egbert H.; Scheffer, Marten; Brovkin, Victor; Lenton, Timothy M.; Ye, Hao; Deyle, Ethan; Sugihara, George</t>
  </si>
  <si>
    <t>Causal feedbacks in climate change</t>
  </si>
  <si>
    <t>NATURE CLIMATE CHANGE</t>
  </si>
  <si>
    <t>CARBON-DIOXIDE; ANTARCTIC TEMPERATURE; ICE CORE; ATMOSPHERIC CO2; GLOBAL CLIMATE; RECORD; LAG</t>
  </si>
  <si>
    <t>The statistical association between temperature and greenhouse gases over glacial cycles is well documented(1), but causality behind this correlation remains difficult to extract directly from the data. A time lag of CO2 behind Antarctic temperature-originally thought to hint at a driving role for temperature(2,3)-is absent(4,5) at the last deglaciation, but recently confirmed at the last ice age inception(6) and the end of the earlier termination II (ref. 7). We show that such variable time lags are typical for complex nonlinear systems such as the climate, prohibiting straightforward use of correlation lags to infer causation. However, an insight from dynamical systems theory(8) now allows us to circumvent the classical challenges of unravelling causation from multivariate time series. We build on this insight to demonstrate directly from ice-core data that, over glacial-interglacial timescales, climate dynamics are largely driven by internal Earth system mechanisms, including a marked positive feedback effect from temperature variability on greenhouse-gas concentrations.</t>
  </si>
  <si>
    <t>[van Nes, Egbert H.; Scheffer, Marten] Wageningen Univ, Environm Sci Grp, NL-6700 AA Wageningen, Netherlands; [Brovkin, Victor] Max Planck Inst Meteorol, D-20146 Hamburg, Germany; [Lenton, Timothy M.] Univ Exeter, Coll Life &amp; Environm Sci, Earth Syst Sci Grp, Exeter EX4 4QE, Devon, England; [Ye, Hao; Deyle, Ethan; Sugihara, George] Univ Calif San Diego, Scripps Inst Oceanog, La Jolla, CA 92093 USA</t>
  </si>
  <si>
    <t>Wageningen University &amp; Research; Max Planck Society; University of Exeter; University of California System; University of California San Diego; Scripps Institution of Oceanography</t>
  </si>
  <si>
    <t>van Nes, EH (corresponding author), Wageningen Univ, Environm Sci Grp, NL-6700 AA Wageningen, Netherlands.</t>
  </si>
  <si>
    <t>egbert.vannes@wur.nl; gsugihara@ucsd.edu</t>
  </si>
  <si>
    <t>Deyle, Ethan R/AAR-8749-2021; Ye, Hao/HGD-5399-2022; Brovkin, Victor/C-2803-2016; Brovkin, Victor/I-7450-2012; van Nes, Egbert H/F-2681-2011; Lenton, Tim M/X-1893-2018</t>
  </si>
  <si>
    <t>Brovkin, Victor/0000-0001-6420-3198; Lenton, Tim M/0000-0002-6725-7498; Ye, Hao/0000-0002-8630-1458; van Nes, Egbert/0000-0002-6345-104X</t>
  </si>
  <si>
    <t>ERC advanced grant; Royal Society Wolfson Research Merit Award; European Commission HELIX project [ENB.2013.6.1-3]; National Science Foundation [DEB-1020372]; National Science Foundation Graduate Research Fellowships; Environmental Protection Agency Science to Achieve Results Fellowship; NSF-NOAA Comparative Analysis of Marine Ecosystem Organization (CAMEO) program [NA08OAR4320894/CAMEO]; Sugihara Family Trust; Deutsche Bank-Jameson Complexity Studies Fund; McQuown Chair in Natural Science; DoD/SERDP; NERC [NE/G018332/2] Funding Source: UKRI; Natural Environment Research Council [NE/G018332/2] Funding Source: researchfish; Direct For Biological Sciences; Division Of Environmental Biology [1020372] Funding Source: National Science Foundation</t>
  </si>
  <si>
    <t>ERC advanced grant(European Research Council (ERC)); Royal Society Wolfson Research Merit Award(Royal Society); European Commission HELIX project; National Science Foundation(National Science Foundation (NSF)); National Science Foundation Graduate Research Fellowships(National Science Foundation (NSF)); Environmental Protection Agency Science to Achieve Results Fellowship; NSF-NOAA Comparative Analysis of Marine Ecosystem Organization (CAMEO) program; Sugihara Family Trust; Deutsche Bank-Jameson Complexity Studies Fund; McQuown Chair in Natural Science; DoD/SERDP; NERC(UK Research &amp; Innovation (UKRI)Natural Environment Research Council (NERC)); Natural Environment Research Council(UK Research &amp; Innovation (UKRI)Natural Environment Research Council (NERC)); Direct For Biological Sciences; Division Of Environmental Biology(National Science Foundation (NSF)NSF - Directorate for Biological Sciences (BIO))</t>
  </si>
  <si>
    <t>M.S. and E.H.v.N. are supported by an ERC advanced grant. This work was carried out under the program of the Netherlands Earth System Science Centre (NESSC). T.M.L. is supported by a Royal Society Wolfson Research Merit Award and the European Commission (ENB.2013.6.1-3) HELIX project. G.S. and H.Y. were supported by National Science Foundation (Grant No. DEB-1020372). E.D. and H.Y. are supported by National Science Foundation Graduate Research Fellowships and E.D. also by the Environmental Protection Agency Science to Achieve Results Fellowship. G.S. was further supported by NSF-NOAA Comparative Analysis of Marine Ecosystem Organization (CAMEO) program Grant NA08OAR4320894/CAMEO, by the Sugihara Family Trust, the Deutsche Bank-Jameson Complexity Studies Fund, the McQuown Chair in Natural Science, and DoD/SERDP.</t>
  </si>
  <si>
    <t>NATURE RESEARCH</t>
  </si>
  <si>
    <t>1758-678X</t>
  </si>
  <si>
    <t>1758-6798</t>
  </si>
  <si>
    <t>NAT CLIM CHANGE</t>
  </si>
  <si>
    <t>Nat. Clim. Chang.</t>
  </si>
  <si>
    <t>10.1038/NCLIMATE2568</t>
  </si>
  <si>
    <t>Environmental Sciences; Environmental Studies; Meteorology &amp; Atmospheric Sciences</t>
  </si>
  <si>
    <t>CI6SO</t>
  </si>
  <si>
    <t>WOS:000354891900021</t>
  </si>
  <si>
    <t>Chipperfield, MP; Dhomse, SS; Feng, W; McKenzie, RL; Velders, GJM; Pyle, JA</t>
  </si>
  <si>
    <t>Chipperfield, M. P.; Dhomse, S. S.; Feng, W.; McKenzie, R. L.; Velders, G. J. M.; Pyle, J. A.</t>
  </si>
  <si>
    <t>Quantifying the ozone and ultraviolet benefits already achieved by the Montreal Protocol</t>
  </si>
  <si>
    <t>NATURE COMMUNICATIONS</t>
  </si>
  <si>
    <t>TRANSPORT; MODEL; DEPLETION; WINTER; LAYER</t>
  </si>
  <si>
    <t>Chlorine-and bromine-containing ozone-depleting substances (ODSs) are controlled by the 1987 Montreal Protocol. In consequence, atmospheric equivalent chlorine peaked in 1993 and has been declining slowly since then. Consistent with this, models project a gradual increase in stratospheric ozone with the Antarctic ozone hole expected to disappear by similar to 2050. However, we show that by 2013 the Montreal Protocol had already achieved significant benefits for the ozone layer. Using a 3D atmospheric chemistry transport model, we demonstrate that much larger ozone depletion than observed has been avoided by the protocol, with beneficial impacts on surface ultraviolet. A deep Arctic ozone hole, with column values &lt;120 DU, would have occurred given meteorological conditions in 2011. The Antarctic ozone hole would have grown in size by 40% by 2013, with enhanced loss at subpolar latitudes. The decline over northern hemisphere middle latitudes would have continued, more than doubling to similar to 15% by 2013.</t>
  </si>
  <si>
    <t>[Chipperfield, M. P.; Dhomse, S. S.; Feng, W.] Univ Leeds, Sch Earth &amp; Environm, Leeds LS2 9JT, W Yorkshire, England; [Chipperfield, M. P.; Dhomse, S. S.] Univ Leeds, NCEO, Leeds LS2 9JT, W Yorkshire, England; [Feng, W.; Pyle, J. A.] NCAS, Bilthoven, Netherlands; [McKenzie, R. L.] Natl Inst Water &amp; Atmospher Res NIWA, Wellington, New Zealand; [Velders, G. J. M.] Natl Inst Publ Hlth &amp; Environm, NL-3720 BA Bilthoven, Netherlands; [Pyle, J. A.] Univ Cambridge, Dept Chem, Cambridge CB2 1EW, England</t>
  </si>
  <si>
    <t>University of Leeds; University of Leeds; National Institute of Water &amp; Atmospheric Research (NIWA) - New Zealand; Netherlands National Institute for Public Health &amp; the Environment; University of Cambridge</t>
  </si>
  <si>
    <t>Chipperfield, MP (corresponding author), Univ Leeds, Sch Earth &amp; Environm, Leeds LS2 9JT, W Yorkshire, England.</t>
  </si>
  <si>
    <t>M.Chipperfield@leeds.ac.uk</t>
  </si>
  <si>
    <t>Dhomse, Sandip/C-8198-2011; Chipperfield, Martyn/H-6359-2013; FENG, WUHU/B-8327-2008; Velders, Guus/H-1204-2013</t>
  </si>
  <si>
    <t>Dhomse, Sandip/0000-0003-3854-5383; Chipperfield, Martyn/0000-0002-6803-4149; FENG, WUHU/0000-0002-9907-9120; Velders, Guus/0000-0002-6597-7088; McKenzie, Richard Lloyd/0000-0002-4484-7057</t>
  </si>
  <si>
    <t>UK Natural Environment Research Council (NERC) through the MAPLE project [NE/J008621/1]; ERC through the ACCI project [267760]; NERC; NERC [nceo020005, NE/J02449X/1, NE/J008621/1] Funding Source: UKRI; Natural Environment Research Council [NE/J008621/1, NE/J02449X/1, ncas10009, nceo020005] Funding Source: researchfish</t>
  </si>
  <si>
    <t>UK Natural Environment Research Council (NERC) through the MAPLE project(UK Research &amp; Innovation (UKRI)Natural Environment Research Council (NERC)); ERC through the ACCI project(European Research Council (ERC)); NERC(UK Research &amp; Innovation (UKRI)Natural Environment Research Council (NERC)); NERC(UK Research &amp; Innovation (UKRI)Natural Environment Research Council (NERC)); Natural Environment Research Council(UK Research &amp; Innovation (UKRI)Natural Environment Research Council (NERC))</t>
  </si>
  <si>
    <t>The TOMCAT modelling work was supported by the UK Natural Environment Research Council (NERC) through the MAPLE project (NE/J008621/1) and performed on the Archer HPC machine. The TOMCAT model is a community model, which is available to NERC-funded researchers in the UK. J.A.P. thanks the ERC for support through the ACCI project (number 267760). We thank European Centre for Medium-Range Weather Forecasts for providing the ERA-Interim reanalyses. We acknowledge use of the publically available OMI and SBUV data.</t>
  </si>
  <si>
    <t>2041-1723</t>
  </si>
  <si>
    <t>NAT COMMUN</t>
  </si>
  <si>
    <t>Nat. Commun.</t>
  </si>
  <si>
    <t>10.1038/ncomms8233</t>
  </si>
  <si>
    <t>CJ5OX</t>
  </si>
  <si>
    <t>Green Published, Green Accepted, gold</t>
  </si>
  <si>
    <t>WOS:000355538500001</t>
  </si>
  <si>
    <t>Bauska, TK; Joos, F; Mix, AC; Roth, R; Ahn, J; Brook, EJ</t>
  </si>
  <si>
    <t>Bauska, Thomas K.; Joos, Fortunat; Mix, Alan C.; Roth, Raphael; Ahn, Jinho; Brook, Edward J.</t>
  </si>
  <si>
    <t>Links between atmospheric carbon dioxide, the land carbon reservoir and climate over the past millennium</t>
  </si>
  <si>
    <t>ICE CORE; CO2; RECONSTRUCTION; VARIABILITY; SENSITIVITY; SIMULATIONS; TERRESTRIAL; DELTA-C-13; RECORD; SINKS</t>
  </si>
  <si>
    <t>The stability of terrestrial carbon reservoirs is thought to be closely linked to variations in climate(1), but the magnitude of carbon-climate feedbacks has proved difficult to constrain for both modern(2-4) and millennial(5-13) timescales. Reconstructions of atmospheric CO2 concentrations for the past thousand years have shown fluctuations on multidecadal to centennial timescales(5-7), but the causes of these fluctuations are unclear. Here we report high-resolution carbon isotope measurements of CO2 trapped within the ice of the West Antarctic Ice Sheet Divide ice core for the past 1,000 years. We use a deconvolution approach(14) to show that changes in terrestrial organic carbon stores best explain the observed multidecadal variations in the delta C-13 of CO2 and in CO2 concentrations from 755 to 1850 CE. If significant long-term carbon emissions came from pre-industrial anthropogenic land-use changes over this interval, the emissions must have been offset by a natural terrestrial sink for C-13-depleted carbon, such as peatlands. We find that on multidecadal timescales, carbon cycle changes seem to vary with reconstructed regional climate changes. We conclude that climate variability could be an important control of fluctuations in land carbon storage on these timescales.</t>
  </si>
  <si>
    <t>[Bauska, Thomas K.; Mix, Alan C.; Brook, Edward J.] Oregon State Univ, Coll Earth Ocean &amp; Atmospher Sci, Corvallis, OR 97331 USA; [Joos, Fortunat; Roth, Raphael] Univ Bern, Inst Phys, Climate &amp; Environm Phys, CH-3012 Bern, Switzerland; [Joos, Fortunat; Roth, Raphael] Univ Bern, Oeschger Ctr Climate Change Res, CH-3012 Bern, Switzerland; [Ahn, Jinho] Seoul Natl Univ, Sch Earth &amp; Environm Sci, Seoul 151742, South Korea</t>
  </si>
  <si>
    <t>Oregon State University; University of Bern; University of Bern; Seoul National University (SNU)</t>
  </si>
  <si>
    <t>Bauska, TK (corresponding author), Oregon State Univ, Coll Earth Ocean &amp; Atmospher Sci, Corvallis, OR 97331 USA.</t>
  </si>
  <si>
    <t>bauskat@geo.oregonstate.edu</t>
  </si>
  <si>
    <t>Joos, Fortunat/B-4118-2018; Brook, Edward/AAB-7807-2021</t>
  </si>
  <si>
    <t>Joos, Fortunat/0000-0002-9483-6030; Bauska, Thomas/0000-0003-1901-0367</t>
  </si>
  <si>
    <t>NSF [0839078]; National Research Foundation of Korea (NRF) Grant - Korean Government (MSIP) [2014R1A1A2A16054779]; Swiss National Science Foundation [136295]; European Commission [264879, 243908]; NSF (University of New Hampshire) [0230396, 0440817, 0944348, 0944266]; NSF; Office of Polar Programs (OPP); Directorate For Geosciences [0944348] Funding Source: National Science Foundation</t>
  </si>
  <si>
    <t>NSF(National Science Foundation (NSF)); National Research Foundation of Korea (NRF) Grant - Korean Government (MSIP)(National Research Foundation of Korea); Swiss National Science Foundation(Swiss National Science Foundation (SNSF)); European Commission(European Union (EU)European Commission Joint Research Centre); NSF (University of New Hampshire); NSF(National Science Foundation (NSF)); Office of Polar Programs (OPP); Directorate For Geosciences(National Science Foundation (NSF)NSF - Directorate for Geosciences (GEO))</t>
  </si>
  <si>
    <t>Carbon isotope work was supported by NSF Grant 0839078 (E.J.B. and A.C.M.). Oregon State University provided additional support for mass spectrometer purchase and management of the OSU/CEOAS stable isotope laboratory. J.A. was partially supported by a National Research Foundation of Korea (NRF) Grant funded by the Korean Government (MSIP) 2014R1A1A2A16054779. F.J. and R.R. are grateful for financial contributions by the Swiss National Science Foundation, including contributions through the Sinergia Project iTree (grant no. 136295), and by the European Commission through the FP7 project CARBOCHANGE (grant no. 264879) and Past4Future (grant no. 243908). We appreciate the support of the WAIS Divide Science Coordination Office for the collection and distribution of the WAIS Divide ice core (Kendrick Taylor (Desert Research Institute of Reno Nevada), NSF Grants 0230396, 0440817, 0944348 and 0944266-University of New Hampshire). The NSF also funds the Ice Drilling Program Office, Ice Drilling Design and Operations group, which leads coring activities, and The National Ice Core Laboratory, which curates the core and performs core processing. We thank J. Severinghaus for providing delta15N of N2 data, Raytheon Polar Services for logistics support in Antarctica, and the 109th New York Air National Guard for airlift in Antarctica.</t>
  </si>
  <si>
    <t>10.1038/NGEO2422</t>
  </si>
  <si>
    <t>WOS:000353640100016</t>
  </si>
  <si>
    <t>Snow, K; Hogg, AM; Downes, SM; Sloyan, BM; Bates, ML; Griffies, SM</t>
  </si>
  <si>
    <t>Snow, Kate; Hogg, Andrew McC.; Downes, Stephanie M.; Sloyan, Bernadette M.; Bates, Michael L.; Griffies, Stephen M.</t>
  </si>
  <si>
    <t>Sensitivity of abyssal water masses to overflow parameterisations</t>
  </si>
  <si>
    <t>OCEAN MODELLING</t>
  </si>
  <si>
    <t>AABW; NADW; Global climate models; Sector model; Overflow schemes</t>
  </si>
  <si>
    <t>ANTARCTIC BOTTOM WATER; SOUTHERN-OCEAN; WESTERN BOUNDARY; CLIMATE MODEL; PART I; DEEP; CIRCULATION; COORDINATE; PARAMETERIZATION; ENTRAINMENT</t>
  </si>
  <si>
    <t>Antarctic Bottom Water (AABW) and North Atlantic Deep Water (NADW) control the abyssal limb of the global overturning circulation and play a major role in oceanic heat uptake and carbon storage. However, current general circulation models are unable to resolve the observed AABW and NADW formation and transport processes. One key process, that of overflows, motivates the application of overflow parameterisations. We present a sensitivity study of both AABW and NADW properties to three current parameterisations using a z*-coordinate ocean-sea ice model within a realistic-topography sector of the Atlantic Ocean. Overflow parameterisations that affect only tracer equations are compared to a fully dynamical Lagrangian point particle method. An overflow parameterisation involving partial convective mixing of tracers is most efficient at transporting dense NADW water downslope. This parameterisation leads to a maximum mean increase in density in the north of 0.027 kg m (3) and a decrease in age of 525 years (53%). The relative change in density and age in the south is less than 30% of that in the north for all overflow parameterisations. The reduced response in the south may result from the differing dense water formation and overflow characteristics of AABW compared to NADW. Alternative approaches may be necessary to improve AABW representation in z*-coordinate ocean climate models. (C) 2015 Elsevier Ltd. All rights reserved.</t>
  </si>
  <si>
    <t>[Snow, Kate; Hogg, Andrew McC.; Downes, Stephanie M.] Australian Natl Univ, Res Sch Earth Sci, Canberra, ACT, Australia; [Snow, Kate; Hogg, Andrew McC.; Downes, Stephanie M.] Australian Natl Univ, ARC Ctr Excellence Climate Syst Sci, Canberra, ACT, Australia; [Sloyan, Bernadette M.] CSIRO, Ocean &amp; Atmosphere Flagship, Hobart, Tas, Australia; [Bates, Michael L.] Griffith Univ, Griffith Sch Environm, Nathan, Qld 4111, Australia; [Griffies, Stephen M.] NOAA, Geophys Fluid Dynam Lab, Princeton, NJ 08542 USA</t>
  </si>
  <si>
    <t>Australian National University; ARC Centre of Excellence for Climate System Science; Australian National University; Commonwealth Scientific &amp; Industrial Research Organisation (CSIRO); Griffith University; National Oceanic Atmospheric Admin (NOAA) - USA</t>
  </si>
  <si>
    <t>Snow, K (corresponding author), Australian Natl Univ, Res Sch Earth Sci, Canberra, ACT, Australia.</t>
  </si>
  <si>
    <t>kate.snow@anu.edu.au</t>
  </si>
  <si>
    <t>Hogg, Andy McC./A-7553-2011; Downes, Stephanie/A-1424-2012; Hogg, Andy/AAZ-8733-2021; Griffies, Stephen Matthew/N-9144-2019; Sloyan, Bernadette/N-8989-2014</t>
  </si>
  <si>
    <t>Hogg, Andy McC./0000-0001-5898-7635; Hogg, Andy/0000-0001-5898-7635; Griffies, Stephen Matthew/0000-0002-3711-236X; Sloyan, Bernadette/0000-0003-0250-0167; Bates, Michael/0000-0002-3729-1417</t>
  </si>
  <si>
    <t>Australian Government Department of the Environment; CSIRO through the Australian Climate Change Science Programme; Australian Research Council [FT120100842]; ARC Centre of Excellence for Climate System Science [CE110001028]; Australian Research Council [FT120100842] Funding Source: Australian Research Council</t>
  </si>
  <si>
    <t>Australian Government Department of the Environment(Australian Government); CSIRO through the Australian Climate Change Science Programme; Australian Research Council(Australian Research Council); ARC Centre of Excellence for Climate System Science(Australian Research Council); Australian Research Council(Australian Research Council)</t>
  </si>
  <si>
    <t>We thank Marshall Ward for his ongoing technical assistance and infinite availability for questions during the initial set-up of the model. This work was undertaken using the National Facility of the National Computational Infrastructure at the ANU. BMS was supported by the Australian Government Department of the Environment, and CSIRO through the Australian Climate Change Science Programme. AMH was supported by an Australian Research Council Future Fellowship FT120100842. SMH was supported by the ARC Centre of Excellence for Climate System Science (Grant CE110001028). Finally, we thank the anonymous reviewers for their efforts and thoughtful comments.</t>
  </si>
  <si>
    <t>1463-5003</t>
  </si>
  <si>
    <t>1463-5011</t>
  </si>
  <si>
    <t>OCEAN MODEL</t>
  </si>
  <si>
    <t>Ocean Model.</t>
  </si>
  <si>
    <t>10.1016/j.ocemod.2015.03.004</t>
  </si>
  <si>
    <t>Meteorology &amp; Atmospheric Sciences; Oceanography</t>
  </si>
  <si>
    <t>CG3ND</t>
  </si>
  <si>
    <t>WOS:000353186000006</t>
  </si>
  <si>
    <t>Cornwall, CE; Revill, AT; Hurd, CL</t>
  </si>
  <si>
    <t>Cornwall, Christopher E.; Revill, Andrew T.; Hurd, Catriona L.</t>
  </si>
  <si>
    <t>High prevalence of diffusive uptake of CO2 by macroalgae in a temperate subtidal ecosystem</t>
  </si>
  <si>
    <t>PHOTOSYNTHESIS RESEARCH</t>
  </si>
  <si>
    <t>CCMs; Climate change; CO2-concentrating mechanisms; Inorganic carbon acquisition; Irradiance; Seaweed</t>
  </si>
  <si>
    <t>INORGANIC CARBON ACQUISITION; CONCENTRATING MECHANISMS; ISOTOPE DISCRIMINATION; MARINE MACROALGAE; LIGHT; DELTA-N-15; DELTA-C-13; DEPTH; ALGAE; PHOTOSYNTHESIS</t>
  </si>
  <si>
    <t>Productivity of most macroalgae is not currently considered limited by dissolved inorganic carbon (DIC), as the majority of species have CO2-concentrating mechanisms (CCM) allowing the active uptake of DIC. The alternative, diffusive uptake of CO2 (non-CCM), is considered rare (0-9 % of all macroalgal cover in a given ecosystem), and identifying species without CCMs is important in understanding factors controlling inorganic carbon use by eukaryotic algae. CCM activity has higher energetic requirements than diffusive CO2 uptake, therefore when light is low, CCM activity is reduced in favour of diffusive CO2 uptake. We hypothesized that the proportional cover of macroalgae without CCMs (red and green macroalgae) would be low (&lt; 10 %) across four sites in Tasmania, southern Australia at two depths (4-5 and 12-14 m); the proportion of species lacking CCMs would increase with decreasing depth; the delta C-13 values of macroalgae with CCMs would be more depleted with depth. We found the proportion of non-CCM species ranged from 0 to 90 % and included species from all three macroalgal phyla: 81 % of red (59 species), 14 % of brown (three species) and 29 % of green macroalgae (two species). The proportion of non-CCM species increased with depth at three of four sites. 35 % of species tested had significantly depleted delta C-13 values at deeper depths. Non-CCM macroalgae are more abundant in some temperate reefs than previously thought. If ocean acidification benefits non-CCM species, the ramifications for subtidal macroalgal assemblages could be larger than previously considered.</t>
  </si>
  <si>
    <t>[Cornwall, Christopher E.; Hurd, Catriona L.] Univ Tasmania, Inst Marine &amp; Antarctic Studies, Hobart, Tas 7005, Australia; [Revill, Andrew T.] CSIRO Oceans &amp; Atmosphere, Hobart, Tas, Australia</t>
  </si>
  <si>
    <t>Cornwall, CE (corresponding author), Univ Western Australia, ARC Ctr Excellence Coral Reef Studies, Sch Earth &amp; Environm &amp; Oceans Inst, Crawley, WA 6009, Australia.</t>
  </si>
  <si>
    <t>christopher.cornwall@uwa.edu.au</t>
  </si>
  <si>
    <t>Cornwall, Christopher Edward/J-3982-2012; Revill, Andrew/B-8733-2011; Hurd, Catriona/J-2411-2013</t>
  </si>
  <si>
    <t>Cornwall, Christopher Edward/0000-0002-6154-4082; Revill, Andrew/0000-0003-2486-5976; Hurd, Catriona/0000-0001-9965-4917</t>
  </si>
  <si>
    <t>0166-8595</t>
  </si>
  <si>
    <t>1573-5079</t>
  </si>
  <si>
    <t>PHOTOSYNTH RES</t>
  </si>
  <si>
    <t>Photosynth. Res.</t>
  </si>
  <si>
    <t>10.1007/s11120-015-0114-0</t>
  </si>
  <si>
    <t>CF7DD</t>
  </si>
  <si>
    <t>WOS:000352715500005</t>
  </si>
  <si>
    <t>Warton, DI; Foster, SD; De'ath, G; Stoklosa, J; Dunstan, PK</t>
  </si>
  <si>
    <t>Warton, David I.; Foster, Scott D.; De'ath, Glenn; Stoklosa, Jakub; Dunstan, Piers K.</t>
  </si>
  <si>
    <t>Model-based thinking for community ecology</t>
  </si>
  <si>
    <t>PLANT ECOLOGY</t>
  </si>
  <si>
    <t>Community-level modelling; Fourth-corner problem; Model checking; Multivariate analysis; Ordination; Species distribution models</t>
  </si>
  <si>
    <t>SPECIES DISTRIBUTIONS; TRAITS; ENVIRONMENT; STATISTICS; ORDINATION; SAMPLES; LEVEL; SPACE; TIME</t>
  </si>
  <si>
    <t>In this paper, a case is made for the use of model-based approaches for the analysis of community data. This involves the direct specification of a statistical model for the observed multivariate data. Recent advances in statistical modelling mean that it is now possible to build models that are appropriate for the data which address key ecological questions in a statistically coherent manner. Key advantages of this approach include interpretability, flexibility, and efficiency, which we explain in detail and illustrate by example. The steps in a model-based approach to analysis are outlined, with an emphasis on key features arising in a multivariate context. A key distinction in the model-based approach is the emphasis on diagnostic checking to ensure that the model provides reasonable agreement with the observed data. Two examples are presented that illustrate how the model-based approach can provide insights into ecological problems not previously available. In the first example, we test for a treatment effect in a study where different sites had different sampling intensities, which was handled by adding an offset term to the model. In the second example, we incorporate trait information into a model for ordinal response in order to identify the main reasons why species differ in their environmental response.</t>
  </si>
  <si>
    <t>[Warton, David I.; Stoklosa, Jakub] Univ New S Wales, Sch Math &amp; Stat, Sydney, NSW 2052, Australia; [Warton, David I.; Stoklosa, Jakub] Univ New S Wales, Evolut &amp; Ecol Res Ctr, Sydney, NSW 2052, Australia; [Foster, Scott D.; Dunstan, Piers K.] CSIRO, Wealth Oceans Flagship, Hobart, Tas, Australia; [Foster, Scott D.] CSIRO, Div Computat Informat, Hobart, Tas, Australia; [De'ath, Glenn] Australian Inst Marine Sci, Cape Ferguson, Qld, Australia</t>
  </si>
  <si>
    <t>University of New South Wales Sydney; University of New South Wales Sydney; Commonwealth Scientific &amp; Industrial Research Organisation (CSIRO); Commonwealth Scientific &amp; Industrial Research Organisation (CSIRO); Australian Institute of Marine Science</t>
  </si>
  <si>
    <t>Warton, DI (corresponding author), Univ New S Wales, Sch Math &amp; Stat, Sydney, NSW 2052, Australia.</t>
  </si>
  <si>
    <t>David.Warton@unsw.edu.au</t>
  </si>
  <si>
    <t>Warton, David/B-5791-2009; Foster, Scott/E-9311-2010; Dunstan, Piers/B-7309-2016</t>
  </si>
  <si>
    <t>Warton, David/0000-0001-9441-6645; Foster, Scott/0000-0002-6719-8002; Dunstan, Piers/0000-0002-2568-5945</t>
  </si>
  <si>
    <t>Australian Research Council [FT120100501]; Marine Biodiversity Hub; Australian Government's National Environmental Research Program (NERP); Australian Research Council [FT120100501] Funding Source: Australian Research Council</t>
  </si>
  <si>
    <t>Australian Research Council(Australian Research Council); Marine Biodiversity Hub; Australian Government's National Environmental Research Program (NERP)(Australian Government); Australian Research Council(Australian Research Council)</t>
  </si>
  <si>
    <t>DIW is supported by the Australian Research Council Future Fellow scheme (project number FT120100501). SDF, GD and PKD were supported by the Marine Biodiversity Hub, a collaborative partnership supported through funding from the Australian Government's National Environmental Research Program (NERP). NERP Marine Biodiversity Hub partners include the Institute for Marine and Antarctic Studies, University of Tasmania; CSIRO Wealth from Oceans National Flagship, Geoscience Australia, Australian Institute of Marine Science, Museum Victoria, Charles Darwin University and the University of Western Australia.</t>
  </si>
  <si>
    <t>1385-0237</t>
  </si>
  <si>
    <t>1573-5052</t>
  </si>
  <si>
    <t>PLANT ECOL</t>
  </si>
  <si>
    <t>Plant Ecol.</t>
  </si>
  <si>
    <t>10.1007/s11258-014-0366-3</t>
  </si>
  <si>
    <t>Plant Sciences; Ecology; Forestry</t>
  </si>
  <si>
    <t>Plant Sciences; Environmental Sciences &amp; Ecology; Forestry</t>
  </si>
  <si>
    <t>CH8XS</t>
  </si>
  <si>
    <t>WOS:000354320400004</t>
  </si>
  <si>
    <t>Hüne, M; González-Wevar, C; Poulin, E; Mansilla, A; Fernández, DA; Barrera-Oro, E</t>
  </si>
  <si>
    <t>Huene, Mathias; Gonzalez-Wevar, Claudio; Poulin, Elie; Mansilla, Andres; Fernandez, Daniel A.; Barrera-Oro, Esteban</t>
  </si>
  <si>
    <t>Low level of genetic divergence between Harpagifer fish species (Perciformes: Notothenioidei) suggests a Quaternary colonization of Patagonia from the Antarctic Peninsula</t>
  </si>
  <si>
    <t>mtDNA control region; Southern Ocean; Antarctic Polar Front; Great Patagonian Glaciation; Long-distance dispersal</t>
  </si>
  <si>
    <t>MIOCENE CLIMATIC TRANSITION; SOUTHERN-OCEAN; POLAR FRONT; SEA-ICE; MITOCHONDRIAL; EVOLUTION; DNA; ANTIFREEZE; DISPERSAL; TELEOSTEI</t>
  </si>
  <si>
    <t>The evolution of the marine benthic fauna of Antarctica has been shaped by geological and climatic atmospheric factors such as the geographic isolation of the continent and the subsequent installation of the Antarctic Circumpolar Current (ACC). Despite this isolation process, strong biogeographic links still exist between marine fauna from the Antarctic Peninsula and southern South America. Recent studies in different taxa have shown, for example, that shallow benthic organisms with long larval stages maintained contact after the physical separation of the continents and divergence may be associated with the intensification of the ACC in the late Miocene-early Pliocene. In this context, here we performed phylogenetic reconstructions and estimated the level of molecular divergence between congeneric species of Harpagifer, a marine notothenioid from the Antarctic Peninsula (Harpagifer antarcticus) and Patagonia (H. bispinis) using the mitochondrial control region. Phylogenies were reconstructed using Maximum Parsimony and Bayesian Inference, while the divergence time of H. antarcticus and H. bispinis was estimated following a relaxed Bayesian approach and assuming a strict molecular clock hypothesis. According to our estimation, the divergence between H. bispinis and H. antarcticus is more recent than expected if it was associated with the intensification of the ACC during the mid to late Miocene. We propose that climatic and oceanographic changes during the coldest periods of the Quaternary (i. e., Great Patagonian Glaciation, 1-0.9 Ma) and the northward migration of the Antarctic Polar Front may have assisted the colonization of southern South America by Harpagifer, from the Antarctic Peninsula via the Scotia Arc Islands.</t>
  </si>
  <si>
    <t>[Huene, Mathias; Gonzalez-Wevar, Claudio; Poulin, Elie; Mansilla, Andres] Inst Ecol &amp; Biodiversidad, Casilla 653, Santiago, Chile; [Huene, Mathias; Gonzalez-Wevar, Claudio; Poulin, Elie] Univ Chile, Dept Ciencias Ecol, Lab Ecol Mol, Santiago, Chile; [Huene, Mathias; Mansilla, Andres] Univ Magallanes, Dept Recursos Nat, Punta Arenas, Chile; [Huene, Mathias] Fdn Ictiol, Santiago, Chile; [Gonzalez-Wevar, Claudio] Univ Magallanes, GAIA Antartica, Punta Arenas 6210427, Chile; [Fernandez, Daniel A.] Ctr Austral Invest Cient CADIC CONICET, Ushuaia, Argentina; [Barrera-Oro, Esteban] Inst Antartico Argentino, Buenos Aires, DF, Argentina</t>
  </si>
  <si>
    <t>Universidad de Chile; Universidad de Magallanes; Universidad de Magallanes; Consejo Nacional de Investigaciones Cientificas y Tecnicas (CONICET); Instituto Antartico Argentino</t>
  </si>
  <si>
    <t>Hüne, M (corresponding author), Inst Ecol &amp; Biodiversidad, Casilla 653, Santiago, Chile.</t>
  </si>
  <si>
    <t>mathiashune@gmail.com</t>
  </si>
  <si>
    <t>Hüne, Mathias/ABE-6000-2020; González-Wevar, Claudio Alejandro/AAD-6513-2021; Poulin, Elie/C-2654-2012</t>
  </si>
  <si>
    <t>Poulin, Elie/0000-0001-7736-0969; Fernandez, Daniel Alfredo/0000-0002-3367-4138; Mansilla, Andres/0000-0003-3505-7018</t>
  </si>
  <si>
    <t>MSc thesis project [INACH M_10-11]; Institute of Ecology and Biodiversity (IEB) [PFB-23-2008]</t>
  </si>
  <si>
    <t>MSc thesis project; Institute of Ecology and Biodiversity (IEB)</t>
  </si>
  <si>
    <t>We would like to thank Christina Cheng for constructive comments on the original manuscript. The following Projects supported this study: MSc thesis project INACH M_10-11 and Institute of Ecology and Biodiversity (IEB) PFB-23-2008.</t>
  </si>
  <si>
    <t>10.1007/s00300-014-1623-6</t>
  </si>
  <si>
    <t>WOS:000370838600002</t>
  </si>
  <si>
    <t>Goebel, ME; Perryman, WL; Hinke, JT; Krause, DJ; Hann, NA; Gardner, S; LeRoi, DJ</t>
  </si>
  <si>
    <t>Goebel, Michael E.; Perryman, Wayne L.; Hinke, Jefferson T.; Krause, Douglas J.; Hann, Nancy A.; Gardner, Steve; LeRoi, Donald J.</t>
  </si>
  <si>
    <t>A small unmanned aerial system for estimating abundance and size of Antarctic predators</t>
  </si>
  <si>
    <t>UAS; VTOL; Photogrammetry; Leopard seal; Antarctic fur seal; Penguin</t>
  </si>
  <si>
    <t>CLASS SEGREGATION; VEHICLES; SEALS; COUNTS; GROWTH</t>
  </si>
  <si>
    <t>Quantifying the distribution and abundance of predators is integral to many ecological studies, but can be difficult in remote settings such as Antarctica. Recent advances in the development of unmanned aerial systems (UAS), particularly vertical takeoff and landing (VTOL) aircraft, have provided a new tool for studying the distribution and abundance of predator populations. We detail our experience and testing in selecting a VTOL platform for use in remote, windy, perennially overcast settings, where acquiring cloud-free high-resolution satellite images is often impractical. We present results from the first use of VTOLs for estimating abundance, colony area, and density of krill-dependent predators in Antarctica, based upon 65 missions flown in 2010/2011 (n = 28) and 2012/2013 (n = 37). We address concerns over UAS sound affecting wildlife by comparing VTOL-generated noise to ambient and penguin-generated sound. We also report on the utility of VTOLs for missions other than abundance and distribution, namely to estimate size of individual leopard seals. Several characteristics of small, battery-powered VTOLs make them particularly useful in wildlife applications: (1) portability, (2) stability in flight, (3) limited launch area requirements, (4) safety, and (5) limited sound when compared to fixed-wing and internal combustion engine aircraft. We conclude that of the numerous UAS available, electric VTOLs are among the most promising for ecological applications.</t>
  </si>
  <si>
    <t>[Goebel, Michael E.; Hinke, Jefferson T.; Krause, Douglas J.] NOAA, Antarctic Ecosyst Res Div, NMFS, SWFSC, 8901 La Jolla Shores Dr, La Jolla, CA 92037 USA; [Perryman, Wayne L.] NOAA, Protected Resources Div, NMFS, SWFSC, La Jolla, CA 92037 USA; [Hann, Nancy A.] NOAA, Off Marine &amp; Aviat Operat, Silver Spring, MD 20910 USA; [Gardner, Steve] ViaSat Inc, Carlsbad, CA 92009 USA; [LeRoi, Donald J.] Aerial Imaging Solut, Old Lyme, CT 06371 USA</t>
  </si>
  <si>
    <t>National Oceanic Atmospheric Admin (NOAA) - USA; National Oceanic Atmospheric Admin (NOAA) - USA; National Oceanic Atmospheric Admin (NOAA) - USA</t>
  </si>
  <si>
    <t>Goebel, ME (corresponding author), NOAA, Antarctic Ecosyst Res Div, NMFS, SWFSC, 8901 La Jolla Shores Dr, La Jolla, CA 92037 USA.</t>
  </si>
  <si>
    <t>mike.goebel@noaa.gov</t>
  </si>
  <si>
    <t>, Jefferson/AAG-1702-2021</t>
  </si>
  <si>
    <t>, Jefferson/0000-0002-3600-1414; Krause, Douglas J./0000-0002-2517-3106</t>
  </si>
  <si>
    <t>US-AMLR Program; Advanced Sampling Technology Working Group, NOAA/NMFS/Office of Science and Technology</t>
  </si>
  <si>
    <t>We would not have been successful in this project without the insight and support of Robbie Hood, NOAA, UAS Program Director. We are grateful to K. Pietrzak, M. Mudge, J. Wright, N. Cook, and M. Goh for their assistance in the field. We thank S. Nehasil for counting penguin nests and M. Lynn for measuring leopard seals from the photographs. All work was conducted under Marine Mammal Protection Act Permit Nos. 16472-01 and 774-1847-04 granted by the Office of Protected Resources, National Marine Fisheries Service, the Antarctic Conservation Act Permit Nos. 2012-005 and 2008-008, and the NMFS-SWFSC Institutional Animal Care and Use Committee Permit No. SWPI2011-02. Clearance for all UAS missions in this study was arranged with the Argentine air force with the assistance of the US Embassy, Buenos Aires, AR. This study was funded by US-AMLR Program and grants to W. Perryman and M. Goebel from the Advanced Sampling Technology Working Group, NOAA/NMFS/Office of Science and Technology.</t>
  </si>
  <si>
    <t>10.1007/s00300-014-1625-4</t>
  </si>
  <si>
    <t>WOS:000370838600003</t>
  </si>
  <si>
    <t>Alvito, PM; Rosa, R; Phillips, RA; Cherel, Y; Ceia, F; Guerreiro, M; Seco, J; Baeta, A; Vieira, RP; Xavier, JC</t>
  </si>
  <si>
    <t>Alvito, Pedro M.; Rosa, Rui; Phillips, Richard A.; Cherel, Yves; Ceia, Filipe; Guerreiro, Miguel; Seco, Jose; Baeta, Alexandra; Vieira, Rui P.; Xavier, Jose C.</t>
  </si>
  <si>
    <t>Cephalopods in the diet of nonbreeding black-browed and grey-headed albatrosses from South Georgia</t>
  </si>
  <si>
    <t>Antarctica; Albatrosses; Cephalopods; Thalassarche melanophris; Thalassarche chrysostoma</t>
  </si>
  <si>
    <t>SYMPATRIC ALBATROSSES; WANDERING ALBATROSSES; INTERANNUAL VARIATION; HABITAT PREFERENCES; STOMACH-CONTENTS; TROPHIC ECOLOGY; FEEDING ECOLOGY; STABLE-ISOTOPES; RAMIREZ ISLANDS; PREY</t>
  </si>
  <si>
    <t>The food and feeding ecology of albatrosses during the nonbreeding season is still poorly known, particularly with regard to the cephalopod component. This was studied in black-browed Thalassarche melanophris and grey-headed T. chrysostoma albatrosses by analysing boluses collected shortly after adults returned to colonies at Bird Island, South Georgia (54 degrees S, 38 degrees W), in 2009. Based on stable isotopic analyses of the lower beaks, we determined the habitat and trophic level (from delta C-13 and delta N-15, respectively) of the most important cephalopods and assessed the relative importance of scavenging in terms of the albatrosses' feeding regimes. Based on lower rostral lengths (LRLs), the main cephalopod species in the diets of both albatrosses was Kondakovia longimana, by frequency of occurrence (F&gt;90 %), number (N&gt;40 %) and mass (M&gt;80 %). The large estimated mass of many squid, including K. longimana, suggests that a high proportion (&gt;80 % by mass) was scavenged, and that scavenging is much more important during the nonbreeding season than would be expected from breeding-season diets. The diversity of cephalopods consumed by nonbreeding birds in our study was similar to that recorded during previous breeding seasons, but included two new species [Moroteuthis sp. B (Imber) and ? Mastigoteuthis A (Clarke)]. Based on similarities in LRL, delta C-13 and delta N-15, the squid consumed may have been from the same oceanic populations or region, with the exception of Taonius sp. B (Voss) and K. longimana, which, based on significant differences in delta N-15 values, suggest that they may have originated from different stocks, indicating differences in the albatrosses' feeding regimes.</t>
  </si>
  <si>
    <t>[Alvito, Pedro M.; Ceia, Filipe; Guerreiro, Miguel; Seco, Jose; Baeta, Alexandra; Vieira, Rui P.; Xavier, Jose C.] Univ Coimbra, MARE Marine &amp; Environm Res Ctr, P-3001401 Coimbra, Portugal; [Rosa, Rui] Univ Lisbon, Fac Ciencias, Ctr Oceanog, Lab Maritimo Guia, P-2750374 Cascais, Portugal; [Phillips, Richard A.; Xavier, Jose C.] British Antarctic Survey, Nat Environm Res Council, Cambridge CB3 0ET, England; [Cherel, Yves] Univ La Rochelle, UMR CNRS 7372, Ctr Etud Biol Chize, F-79360 Villiers En Bois, France</t>
  </si>
  <si>
    <t>Universidade de Coimbra; Universidade de Lisboa; UK Research &amp; Innovation (UKRI); Natural Environment Research Council (NERC); NERC British Antarctic Survey; La Rochelle Universite</t>
  </si>
  <si>
    <t>Alvito, PM (corresponding author), Univ Coimbra, MARE Marine &amp; Environm Res Ctr, P-3001401 Coimbra, Portugal.</t>
  </si>
  <si>
    <t>pm_alvito@hotmail.com</t>
  </si>
  <si>
    <t>Seco, José/AAS-4612-2020; Xavier, José/KFB-6739-2024; Ceia, Filipe R./A-2196-2012; Rosa, Rui/A-4580-2009; Vieira, Rui/R-6881-2019; Guerreiro, Miguel/D-8651-2015; Vieira, Rui Pedro/G-1738-2012; Baeta, Alexandra/Q-6704-2018</t>
  </si>
  <si>
    <t>Seco, José/0000-0002-7957-6488; Ceia, Filipe R./0000-0002-5470-5183; Rosa, Rui/0000-0003-2801-5178; Guerreiro, Miguel/0000-0002-0735-9812; Vieira, Rui Pedro/0000-0001-8491-2565; Baeta, Alexandra/0000-0001-9898-9096; /0000-0002-9621-6660</t>
  </si>
  <si>
    <t>Ministry of Science and Higher Education, Portugal (Fundacao para a Ciencia e a Tecnologia); British Antarctic Survey; Tinker Foundation; Natural Environment Research Council; NERC [bas0100025] Funding Source: UKRI; Natural Environment Research Council [bas0100025] Funding Source: researchfish</t>
  </si>
  <si>
    <t>Ministry of Science and Higher Education, Portugal (Fundacao para a Ciencia e a Tecnologia); British Antarctic Survey; Tinker Foundation; Natural Environment Research Council(UK Research &amp; Innovation (UKRI)Natural Environment Research Council (NERC)); NERC(UK Research &amp; Innovation (UKRI)Natural Environment Research Council (NERC)); Natural Environment Research Council(UK Research &amp; Innovation (UKRI)Natural Environment Research Council (NERC))</t>
  </si>
  <si>
    <t>We are grateful to Derren Fox, Stacey Adlard and Ewan Edwards at Bird Island research station for helping with sample collection in winter 2009, and Janet Silk for creating Fig. 1. This research was supported by the Ministry of Science and Higher Education, Portugal (Fundacao para a Ciencia e a Tecnologia), the British Antarctic Survey and the Tinker Foundation, under the research programs CEPH, SCAR AnT-ERA, PROPOLAR and ICED. This study represents a contribution to the Ecosystems component of the British Antarctic Survey Polar Science for Planet Earth Programme, funded by The Natural Environment Research Council.</t>
  </si>
  <si>
    <t>10.1007/s00300-014-1626-3</t>
  </si>
  <si>
    <t>WOS:000370838600004</t>
  </si>
  <si>
    <t>Grilli, MG; Montalti, D</t>
  </si>
  <si>
    <t>Grana Grilli, Maricel; Montalti, Diego</t>
  </si>
  <si>
    <t>Variation in diet composition during the breeding cycle of an Antarctic seabird in relation to its breeding chronology and that of its main food resource</t>
  </si>
  <si>
    <t>Brown skua; Diet study; Pellets; Resource availability; Stercorarius antarcticus lonnbergi</t>
  </si>
  <si>
    <t>SOUTH POLAR; BROWN SKUAS; ISLAND; LONNBERGI</t>
  </si>
  <si>
    <t>This work had two aims related to the diet of brown skuas (Stercorarius antarcticus lonnbergi) breeding at Laurie Island (South Orkney Islands, Antarctic). The first aim was to explore whether there are changes throughout the breeding season. The second aim was to determine whether those changes relate to differences in food resource availability of their main prey, penguins, at different time periods of the penguins' breeding cycles, or to different moments of the skuas breeding cycle, which may variably restrict the foraging activities of parents. Diet was analyzed from pellet samples grouped in two different ways. They were grouped in three periods defined for the skuas breeding cycle (laying and incubation; early parental care; later parental care), or the pellets were assigned to five periods based on the type of food resources available at the penguin colonies (eggs; eggs and small chicks; small and large chicks; large and fledged chicks; fledged chicks). A temporal variation in diet composition was evident from the analysis of contingency tables for both sample grouping methods. The more represented item in every period for both analyses was adult penguins, which may be related to the proposed cleaning function of the gut of penguin feathers. Both ways of grouping the samples suggest a relationship between the kind of resources available at the penguin colonies and the easiness of delivering them to the skuas chicks, reflected in a successive predominance of use of penguin eggs first and of penguin chicks and other birds later.</t>
  </si>
  <si>
    <t>[Grana Grilli, Maricel; Montalti, Diego] Inst Antartico Argentino, Balcarce 290,C1010AAZ, Buenos Aires, DF, Argentina; [Grana Grilli, Maricel; Montalti, Diego] Consejo Nacl Invest Cient &amp; Tecn, RA-1033 Buenos Aires, DF, Argentina; [Grana Grilli, Maricel; Montalti, Diego] Museo La Plata, Div Zool Vertebrados, La Plata, Buenos Aires, Argentina</t>
  </si>
  <si>
    <t>Instituto Antartico Argentino; Consejo Nacional de Investigaciones Cientificas y Tecnicas (CONICET); National University of La Plata; Museo La Plata</t>
  </si>
  <si>
    <t>Grilli, MG (corresponding author), Inst Antartico Argentino, Balcarce 290,C1010AAZ, Buenos Aires, DF, Argentina.</t>
  </si>
  <si>
    <t>ggmaricel@gmail.com</t>
  </si>
  <si>
    <t>Grana Grilli, Maricel/0000-0002-6209-5872</t>
  </si>
  <si>
    <t>10.1007/s00300-014-1627-2</t>
  </si>
  <si>
    <t>WOS:000370838600005</t>
  </si>
  <si>
    <t>Dias, RL; Ruberto, L; Calabró, A; Lo Balbo, A; Del Panno, MT; Mac Cormack, WP</t>
  </si>
  <si>
    <t>Dias, Romina L.; Ruberto, Lucas; Calabro, Ariel; Lo Balbo, Alfredo; Del Panno, Maria T.; Mac Cormack, Walter P.</t>
  </si>
  <si>
    <t>Hydrocarbon removal and bacterial community structure in on-site biostimulated biopile systems designed for bioremediation of diesel-contaminated Antarctic soil</t>
  </si>
  <si>
    <t>Antarctic soils; Hydrocarbons; Biopiles; Biostimulation; Fish meal; Commercial fertilizer</t>
  </si>
  <si>
    <t>ARCTIC SOILS; BIOAUGMENTATION; BIODEGRADATION; DIVERSITY; COLD; FUEL; DEGRADATION; NITROGEN; GROWTH; SPILLS</t>
  </si>
  <si>
    <t>Several studies have shown that biostimulation can promote hydrocarbon bioremediation processes in Antarctic soils. However, the effect of the different nutrient sources on hydrocarbon removal heavily depends on the nutrients used and the soil characteristics. In this work, using a sample of chronically contaminated Antarctic soil that was exposed to a fresh hydrocarbon contamination, we analyzed how a complex organic nutrient source such as fish meal (FM) and a commercial fertilizer (OSEII) can affect hydrocarbon biodegradation and bacterial community composition. Both amended and unamended (control) biopiles were constructed and controlled at Carlini Station and sampled at days 0, 5, 16, 30 and 50 for microbiological, chemical and molecular analyses. FM caused a fast increase in both total heterotrophic and hydrocarbon degrading bacterial counts. These high values were maintained until the end of the assay, when statistically significant total hydrocarbon removal (71 %) was detected when compared with a control system. The FM biopile evidenced the dominance of members of the phylum Proteobacteria and a clear shift in bacterial structure at the final stage of the assay, when an increase of Actinobacteria was observed. The biopile containing the commercial fertilizer evidenced a hydrocarbon removal activity that was not statistically significant when compared with the untreated system and exhibited a bacterial community that differed from those observed in the unamended and FM-amended biopiles. In summary, biostimulation using FM in biopiles significantly enhanced the natural hydrocarbon-degradation activity of the Carlini station soils in biopile systems and caused significant changes in the bacterial community structure. The results will be considered for the future design of soil bioremediation protocols for Carlini Station and could also be taken into account to deal with diesel-contaminated soils from other cold-climate areas.</t>
  </si>
  <si>
    <t>[Dias, Romina L.; Del Panno, Maria T.] Ctr Invest &amp; Desarrollo Fermentac Ind CINDEFI, Calle 50 &amp; 115,B1900AJL, La Plata, Buenos Aires, Argentina; [Dias, Romina L.; Ruberto, Lucas] Consejo Nacl Invest Cient &amp; Tecn, RA-1033 Buenos Aires, DF, Argentina; [Ruberto, Lucas; Calabro, Ariel; Lo Balbo, Alfredo; Mac Cormack, Walter P.] Univ Buenos Aires, Fac Farm &amp; Bioquim, Catedra Biotecnol, RA-1113 Buenos Aires, DF, Argentina; [Ruberto, Lucas; Mac Cormack, Walter P.] Inst Antartico Argentino, Balcarce 290,C1064AAF, Buenos Aires, DF, Argentina</t>
  </si>
  <si>
    <t>Consejo Nacional de Investigaciones Cientificas y Tecnicas (CONICET); University of Buenos Aires; Instituto Antartico Argentino</t>
  </si>
  <si>
    <t>Mac Cormack, WP (corresponding author), Inst Antartico Argentino, Balcarce 290,C1064AAF, Buenos Aires, DF, Argentina.</t>
  </si>
  <si>
    <t>wmac@ffyb.uba.ar</t>
  </si>
  <si>
    <t>Ruberto, Lucas Adolfo Mauro/0000-0001-5604-772X; Mac Cormack, Walter/0000-0002-5280-5463</t>
  </si>
  <si>
    <t>Agencia Nacional de Promocion Cientifica y Tecnologica (PICTO) [0124]; Facultad de Farmacia y Bioquimica, Universidad de Buenos Aires (UBACyT) [20,020,100,100,378]; European Commission through the Marie Curie Action IRSES [318718]</t>
  </si>
  <si>
    <t>Agencia Nacional de Promocion Cientifica y Tecnologica (PICTO)(ANPCyT); Facultad de Farmacia y Bioquimica, Universidad de Buenos Aires (UBACyT); European Commission through the Marie Curie Action IRSES</t>
  </si>
  <si>
    <t>We acknowledge the financial support of this research by the Agencia Nacional de Promocion Cientifica y Tecnologica (PICTO No. 0124) and the Facultad de Farmacia y Bioquimica, Universidad de Buenos Aires (UBACyT 20,020,100,100,378). We also had financial support from the European Commission through the Marie Curie Action IRSES, project no. 318718, IMCONet (Interdisciplinary Modeling of Climate Change in Coastal Western Antarctica-Network for Staff Exchange and Training). In addition, we acknowledge Cecilia Ferreiro for her professional help with the English in the manuscript.</t>
  </si>
  <si>
    <t>10.1007/s00300-014-1630-7</t>
  </si>
  <si>
    <t>WOS:000370838600008</t>
  </si>
  <si>
    <t>Scambos, T; Abraham, J</t>
  </si>
  <si>
    <t>Scambos, Ted; Abraham, John</t>
  </si>
  <si>
    <t>Briefing: Antarctic ice sheet mass loss and future sea-level rise</t>
  </si>
  <si>
    <t>PROCEEDINGS OF THE INSTITUTION OF CIVIL ENGINEERS-FORENSIC ENGINEERING</t>
  </si>
  <si>
    <t>environment; sea defences; weather</t>
  </si>
  <si>
    <t>Sea-level rise, one of the most obvious consequences of climate change, has direct impacts on coastal communities and economic infrastructure. It is important to assess current sea-level rise and forecast future rates. These predictions are made difficult because the potential for rapid destabilisation of some of the world's large ice sheets, in particular the west Antarctic ice sheet, remains poorly constrained. In particular, new processes and new mapping and modelling, currently emerging from the science community, may have a radical impact on forecasts. Here, a summary of observations and models of recent west Antarctic ice sheet dynamics are provided. This summary highlights that sea-level rise above the similar to 1 m expected by 2100 is possible if ice sheet response begins to exceed present rates. Moreover, ice losses from Antarctica have an amplified impact on the coastlines of North America and Europe, because of the resulting redistribution of water due to the changed gravitational field near the ice sheet.</t>
  </si>
  <si>
    <t>[Scambos, Ted] Univ Colorado, Natl Snow &amp; Ice Data Ctr, Boulder, CO 80301 USA; [Abraham, John] Univ St Thomas, St Paul, MN 55101 USA</t>
  </si>
  <si>
    <t>University of Colorado System; University of Colorado Boulder; University of St Thomas Minnesota</t>
  </si>
  <si>
    <t>Scambos, T (corresponding author), Univ Colorado, Natl Snow &amp; Ice Data Ctr, Boulder, CO 80301 USA.</t>
  </si>
  <si>
    <t>SCAMBOS, Ted A./0000-0003-4268-6322</t>
  </si>
  <si>
    <t>NSF [ANT0944763]; NASA [NNX10AR76G]; NASA [NNX10AR76G, 124632] Funding Source: Federal RePORTER</t>
  </si>
  <si>
    <t>NSF(National Science Foundation (NSF)); NASA(National Aeronautics &amp; Space Administration (NASA)); NASA(National Aeronautics &amp; Space Administration (NASA))</t>
  </si>
  <si>
    <t>Information and graphics used to reproduce figures from publications were provided by Ian Joughin and Jonathan Bamber. This work was supported by NSF grant ANT0944763 and NASA grant NNX10AR76G to T. Scambos.</t>
  </si>
  <si>
    <t>ICE PUBLISHING</t>
  </si>
  <si>
    <t>WESTMINISTER</t>
  </si>
  <si>
    <t>INST CIVIL ENGINEERS, 1 GREAT GEORGE ST, WESTMINISTER SW 1P 3AA, ENGLAND</t>
  </si>
  <si>
    <t>2043-9903</t>
  </si>
  <si>
    <t>2043-9911</t>
  </si>
  <si>
    <t>PROC INST CIV ENG-FO</t>
  </si>
  <si>
    <t>PROC. INST. CIV. ENG.-FORENSIC ENG.</t>
  </si>
  <si>
    <t>10.1680/feng.14.00014</t>
  </si>
  <si>
    <t>Engineering, Civil</t>
  </si>
  <si>
    <t>V4Q7X</t>
  </si>
  <si>
    <t>WOS:000219178000008</t>
  </si>
  <si>
    <t>Loeb, VJ; Santora, JA</t>
  </si>
  <si>
    <t>Loeb, Valerie J.; Santora, Jarrod A.</t>
  </si>
  <si>
    <t>Climate variability and spatiotemporal dynamics of five Southern Ocean krill species</t>
  </si>
  <si>
    <t>WESTERN ANTARCTIC PENINSULA; EUPHAUSIA-SUPERBA DANA; THYSANOESSA-MACRURA EUPHAUSIACEA; BRANSFIELD STRAIT REGION; SEA-ICE; ELEPHANT ISLAND; LIFE-HISTORY; TROPHIC RELATIONSHIPS; SEASONAL DISTRIBUTION; TEMPORAL VARIABILITY</t>
  </si>
  <si>
    <t>Understanding the ecological response of marine organisms to future climate change will benefit from quantifying spatiotemporal aspects of their distribution and abundance as well as the influence of ocean-atmospheric climate modes on their population cycles. Our study provides a synthesis of 18 years of data (1992-2009) for 5 krill (euphausiid) species monitored near the North Antarctic Peninsula (NAP) during austral summer. Distribution and abundance data are presented for postlarval stages of Euphausia crystallorophias, E. frigida, E. superba, E. triacantha and Thysanoessa macrura and larval E. superba and T. macrura. Intraseasonal, interannual and longer-term distribution and abundance patterns are quantified relative to climate modes driving ecosystem variability off the Antarctic Peninsula: El Nino-Southern Oscillation (ENSO), Southern Annual Mode (SAM) and associated zonal and meridional winds. Interannual abundance variations of all 5 species are significantly correlated with seasonally averaged ENSO indices and, with the exception of E. triacantha, elevated population sizes are associated with the higher productivity La Nina phase. Time-lagged responses of each species to ENSO indices approximate their generation times and suggest evolution of their life histories and reproductive efforts in accordance with the ENSO cycle. Postlarval E. aystallorophias and E. frigida and larval T. macrura demonstrate significant abundance increases after 1998 associated with a shift from an El Nino dominated period to predominantly La Nina and Nino-neutral conditions. Seasonal changes in species distributions and co-occurrence indicate portions of the southernmost E. frigida, E. triacantha and T. macrura populations move poleward with E. superba during late-summer, suggesting that environmental conditions associated with sea ice development (e.g., food, retention) may be more favorable than within the Antarctic Circumpolar Current during low productivity seasons. Spatial distributions of larval and postlarval T. macrura suggest 2 separate spawning populations within oceanic and coastal waters. Lastly, mean euphausiid species concentrations and abundance relationships encountered during 1992-2009 are remarkably similar to those reported for the Antarctic Peninsula during the 1928-1935 Discovery Investigations. Circumpolar observations of E. superba superswarms associated with a major climatically related ecosystem change in the late 1970s may have represented an episodic period of anomalous peak abundance. Subsequent abundance estimates compared to these anomalies would indicate a significant decrease, but should not be taken to reflect the impact of climate warming. (C) 2015 Elsevier Ltd. All rights reserved.</t>
  </si>
  <si>
    <t>[Loeb, Valerie J.] Moss Landing Marine Labs, Moss Landing, CA 93950 USA; [Santora, Jarrod A.] Univ Calif Santa Cruz, Dept Appl Math &amp; Stat, Ctr Stock Assessment Res, Santa Cruz, CA 95060 USA</t>
  </si>
  <si>
    <t>Moss Landing Marine Laboratories; University of California System; University of California Santa Cruz</t>
  </si>
  <si>
    <t>Loeb, VJ (corresponding author), Moss Landing Marine Labs, 8272 Moss Landing Rd, Moss Landing, CA 93950 USA.</t>
  </si>
  <si>
    <t>United States National Science Foundation Office of Polar Programs [1347911]; Center for Stock Assessment Research; Southwest Fisheries Science Center; University of California, Santa Cruz; Office of Polar Programs (OPP); Directorate For Geosciences [1347911] Funding Source: National Science Foundation</t>
  </si>
  <si>
    <t>United States National Science Foundation Office of Polar Programs(National Science Foundation (NSF)); Center for Stock Assessment Research; Southwest Fisheries Science Center; University of California, Santa Cruz(University of California System); Office of Polar Programs (OPP); Directorate For Geosciences(National Science Foundation (NSF)NSF - Directorate for Geosciences (GEO))</t>
  </si>
  <si>
    <t>Support for this manuscript preparation was provided by United States National Science Foundation Office of Polar Programs Grant No. 1347911. Shiptime was provided by the U.S. Antarctic Marine Living Resources (AMLR) Program (NOAA-NMFS), Southwest Fisheries Science Center and field work support, La Jolla, CA. We gratefully acknowledge the assistance provided by the officers and crew of the NOAA R/V Surveyor (1992-1995) and the R/V Yuzhmorgeologiya (1996-2009). Our sincere appreciation goes to Rennie Holt and Roger Hewitt for facilitating development of the long-term AMLR data base used in this study. We also gratefully acknowledge the shipboard data collection and sample processing by a number of wonderful colleagues, research assistants and technicians including Wes Armstrong, Mike Force, Adam Jenkins, Dawn Outram, Kim Dietrich and Darci Lombard. The structure and clarity of this work was improved through the helpful comments from 3 anonymous reviewers. This work was partially supported by the Center for Stock Assessment Research, a partnership between the Southwest Fisheries Science Center and the University of California, Santa Cruz. The views expressed herein are those of the authors and do not necessarily reflect the views of NOAA or any of its subagencies.</t>
  </si>
  <si>
    <t>10.1016/j.pocean.2015.01.002</t>
  </si>
  <si>
    <t>WOS:000356553900005</t>
  </si>
  <si>
    <t>Fajar, NM; Guallart, EF; Steinfeldt, R; Ríos, AF; Pelegrí, JL; Pelejero, C; Calvo, E; Pérez, FF</t>
  </si>
  <si>
    <t>Fajar, N. M.; Guallart, E. F.; Steinfeldt, R.; Rios, A. F.; Pelegri, J. L.; Pelejero, C.; Calvo, E.; Perez, F. F.</t>
  </si>
  <si>
    <t>Anthropogenic CO2 changes in the Equatorial Atlantic Ocean</t>
  </si>
  <si>
    <t>WESTERN SOUTH-ATLANTIC; NORTH-ATLANTIC; WATER MASSES; CARBON-DIOXIDE; TROPICAL ATLANTIC; INORGANIC CARBON; DECADAL CHANGES; ALKALINITY; SEA; DISTRIBUTIONS</t>
  </si>
  <si>
    <t>Methods based on CO2 and chlorofluorocarbon (CFC) data are used to describe and evaluate the anthropogenic CO2 (C-ant) concentrations, C-ant specific inventories, and C-ant storage rates in the Equatorial Atlantic Ocean. The C-ant variability in the water masses is evaluated from the comparison of two hydrographic sections along 7.5 degrees N carried out in 1993 and 2010. During both cruises, high C-ant concentrations are detected in the upper layers, with values decreasing progressively towards the deep layers. Overall, the C-ant concentrations increase from 1993 to 2010, with a large increment in the upper North Atlantic Deep Water layer of about 0.18 +/- 0.03 mu mol kg(-1) y(-1). In 2010, the C-ant inventory along the whole section amounts to 58.9 +/- 2.2 and 45.1 +/- 2.0 mol m(-2) using CO2 and CFC based methods, respectively, with most C-ant accumulating in the western basin. Considering the time elapsed between the two cruises, C-ant storage rates of 1.01 +/- 0.18 and 0.75 +/- 0.17 mol m(-2) y(-1) (CO2 and CFC based methods, respectively) are obtained. Below similar to 1000 m, these rates follow the pace expected from a progressive increase of C-ant at steady state; above similar to 1000 m, C-ant increases faster, mainly due to the retreat of the Antarctic Intermediate Waters. (C) 2015 Elsevier Ltd. All rights reserved.</t>
  </si>
  <si>
    <t>[Fajar, N. M.; Rios, A. F.; Perez, F. F.] CSIC, Inst Invest Marinas, E-36208 Vigo, Spain; [Guallart, E. F.; Pelegri, J. L.; Pelejero, C.; Calvo, E.] CSIC, Inst Ciencias Mar, E-08003 Barcelona, Spain; [Steinfeldt, R.] Univ Bremen, Abt Ozeanog, Inst Umweltphys, D-28359 Bremen, Germany; [Pelejero, C.] Inst Catalana Recerca &amp; Estudis Avancats, E-08010 Barcelona, Spain</t>
  </si>
  <si>
    <t>Consejo Superior de Investigaciones Cientificas (CSIC); CSIC - Instituto de Investigaciones Marinas (IIM); Consejo Superior de Investigaciones Cientificas (CSIC); CSIC - Centro Mediterraneo de Investigaciones Marinas y Ambientales (CMIMA); CSIC - Instituto de Ciencias del Mar (ICM); University of Bremen; ICREA</t>
  </si>
  <si>
    <t>Pérez, FF (corresponding author), CSIC, Inst Invest Marinas, Eduardo Cabello 6, E-36208 Vigo, Spain.</t>
  </si>
  <si>
    <t>fiz.perez@iim.csic.es</t>
  </si>
  <si>
    <t>Calvo, Eva/C-2618-2014; Fernandez Perez, Fiz/B-9001-2011; Pelejero, Carles/AAF-4550-2019; Pelegrí, Josep L/L-5815-2014; Fajar, Noelia M/AAT-5394-2021; Guallart, Elisa Fernández/AAB-2049-2020</t>
  </si>
  <si>
    <t>Calvo, Eva/0000-0003-3659-4499; Fernandez Perez, Fiz/0000-0003-4836-8974; Pelejero, Carles/0000-0002-7763-7769; Pelegrí, Josep L/0000-0003-0661-2190; Fajar, Noelia M/0000-0001-9560-4381; Guallart, Elisa Fernández/0000-0003-2965-6671</t>
  </si>
  <si>
    <t>7th Framework Programme (EU FP7 CARBOCHANGE) [264879]; Spanish Ministry of Economy and Competitiveness [CTM2009-07574-E, CTM2008-06438-C02-01/MAR, CTM2009-07405-E/MAR]; Deutsche Forschungsgemeinschaft (DFG) [Rh25/36-1]; Spanish Government; European Regional Development Fund [CTM2013-41048-P]; ICREA Funding Source: Custom</t>
  </si>
  <si>
    <t>7th Framework Programme (EU FP7 CARBOCHANGE)(European Union (EU)Marie Curie Actions); Spanish Ministry of Economy and Competitiveness(Spanish Government); Deutsche Forschungsgemeinschaft (DFG)(German Research Foundation (DFG)); Spanish Government(Spanish Government); European Regional Development Fund(European Union (EU)); ICREA(ICREA)</t>
  </si>
  <si>
    <t>Thanks are due to the cruise participants of the MOC2 cruise, the BIO Hesperides crew and the scientific and technical team, for their indispensable help. We also wish to thank A. Velo for his support with the 3DwMLR method, Paula C. Pardo for her very useful comments and advices and two anonymous reviewers for their careful reading and their many insightful and constructive comments. This work was funded by the 7th Framework Programme (EU FP7 CARBOCHANGE, under grand agreement no. 264879) and by the Spanish Ministry of Economy and Competitiveness through Projects GHGMOC (CTM2009-07574-E), MOC2 (CTM2008-06438-C02-01/MAR) and ESCLAT (CTM2009-07405-E/MAR) and by the Deutsche Forschungsgemeinschaft (DFG) (M. Rhein, grant Rh25/36-1). FFP and AFR were supported by the Spanish Government and co-founded by the European Regional Development Fund (CTM2013-41048-P).</t>
  </si>
  <si>
    <t>1873-4472</t>
  </si>
  <si>
    <t>10.1016/j.pocean.2015.02.004</t>
  </si>
  <si>
    <t>WOS:000356553900015</t>
  </si>
  <si>
    <t>Cresswell-Moorcock, K; Rodger, CJ; Clilverd, MA; Milling, DK</t>
  </si>
  <si>
    <t>Cresswell-Moorcock, Kathy; Rodger, Craig J.; Clilverd, Mark A.; Milling, David K.</t>
  </si>
  <si>
    <t>Techniques to determine the quiet day curve for a long period of subionospheric VLF observations</t>
  </si>
  <si>
    <t>RADIO SCIENCE</t>
  </si>
  <si>
    <t>subionospheric vlf; quiet day curve; fast fourier transform; principal component analysis; space weather</t>
  </si>
  <si>
    <t>Very low frequency (VLF) transmissions propagating between the conducting Earth's surface and lower edge of the ionosphere have been used for decades to study the effect of space weather events on the upper atmosphere. The VLF response to these events can only be quantified by comparison of the observed signal to the estimated quiet time or undisturbed signal levels, known as the quiet day curve (QDC). A common QDC calculation approach for periods of investigation of up to several weeks is to use observations made on quiet days close to the days of interest. This approach is invalid when conditions are not quiet around the days of interest. Longer-term QDCs have also been created from specifically identified quiet days within the period and knowledge of propagation characteristics. This approach is time consuming and can be subjective. We present three algorithmic techniques, which are based on either (1) a mean of previous days' observations, (2) principal component analysis, or (3) the fast Fourier transform (FFT), to calculate the QDC for a long-period VLF data set without identification of specific quiet days as a basis. We demonstrate the effectiveness of the techniques at identifying the true QDCs of synthetic data sets created to mimic patterns seen in actual VLF data including responses to space weather events. We find that the most successful technique is to use a smoothing method, developed within the study, on the data set and then use the developed FFT algorithm. This technique is then applied to multiyear data sets of actual VLF observations.</t>
  </si>
  <si>
    <t>[Cresswell-Moorcock, Kathy; Rodger, Craig J.] Univ Otago, Dept Phys, Dunedin, New Zealand; [Clilverd, Mark A.] British Antarctic Survey, NERC, Cambridge CB3 0ET, England; [Milling, David K.] Univ Alberta, Dept Phys, Edmonton, AB, Canada</t>
  </si>
  <si>
    <t>University of Otago; UK Research &amp; Innovation (UKRI); Natural Environment Research Council (NERC); NERC British Antarctic Survey; University of Alberta</t>
  </si>
  <si>
    <t>Cresswell-Moorcock, K (corresponding author), Univ Otago, Dept Phys, Dunedin, New Zealand.</t>
  </si>
  <si>
    <t>creal158@student.otago.ac.nz</t>
  </si>
  <si>
    <t>Rodger, Craig/A-1501-2011</t>
  </si>
  <si>
    <t>Rodger, Craig J./0000-0002-6770-2707</t>
  </si>
  <si>
    <t>New Zealand Marsden Fund; University of Otago Publishing Bursary; Natural Environmental Research Council [NE/J008125/1]; NERC [NE/J007773/1, bas0100031, NE/J008125/1] Funding Source: UKRI; Natural Environment Research Council [NE/J007773/1, bas0100031, NE/J008125/1] Funding Source: researchfish</t>
  </si>
  <si>
    <t>New Zealand Marsden Fund(Royal Society of New ZealandMarsden Fund (NZ)); University of Otago Publishing Bursary; Natural Environmental Research Council(UK Research &amp; Innovation (UKRI)Natural Environment Research Council (NERC)); NERC(UK Research &amp; Innovation (UKRI)Natural Environment Research Council (NERC)); Natural Environment Research Council(UK Research &amp; Innovation (UKRI)Natural Environment Research Council (NERC))</t>
  </si>
  <si>
    <t>The synthetic data set used throughout this paper and the file used to create it are available from the corresponding author in MATLAB. mat and .m formats, respectively. AARRDVARK VLF data availability is described at its website http://www.physics.otago.ac.nz/space/AARDDVARK_homepage.htm. The GOES 13 proton (&gt; 10 MeV) corrected flux data used in Figure 9c was downloaded (2 December 2014) from online file http://satdat.ngdc.noaa.gov/sem/goes/data/new_avg/2011/11/goes13/csv/g13_epead_cpflux_5m_20111101_20111130.csv. The GOES 14 X-ray data used in Figure 8a were downloaded (28 June 2014) from online file http://satdat.ngdc.noaa.gov/sem/goes/data/new_avg/2010/01/goes14/csv/g14_xrs_1m_20100101_20100131.csv The GOES 15 X-ray data used in Figure 8b were downloaded (12 November 2014) from online file http://satdat.ngdc.noaa.gov/sem/goes/data/new_avg/2010/01/goes14/csv/g15_xrs_1m_20111101_20111130.csv. K.C.M. and C.J.R. would like to acknowledge support from the New Zealand Marsden Fund. K.C.M would like to acknowledge support from a University of Otago Publishing Bursary. M.A.C would like to acknowledge support from the Natural Environmental Research Council grant NE/J008125/1.</t>
  </si>
  <si>
    <t>0048-6604</t>
  </si>
  <si>
    <t>1944-799X</t>
  </si>
  <si>
    <t>RADIO SCI</t>
  </si>
  <si>
    <t>Radio Sci.</t>
  </si>
  <si>
    <t>10.1002/2015RS005652</t>
  </si>
  <si>
    <t>Astronomy &amp; Astrophysics; Geochemistry &amp; Geophysics; Meteorology &amp; Atmospheric Sciences; Remote Sensing; Telecommunications</t>
  </si>
  <si>
    <t>CK8MT</t>
  </si>
  <si>
    <t>WOS:000356493000009</t>
  </si>
  <si>
    <t>Bakunov, NA; Bol'shiyanov, DY; Makarov, AS</t>
  </si>
  <si>
    <t>Bakunov, N. A.; Bol'shiyanov, D. Yu.; Makarov, A. S.</t>
  </si>
  <si>
    <t>From Global 137Cs to Determinations of the Sedimentation Rate in Deep Lakes and Sea Estuaries</t>
  </si>
  <si>
    <t>RADIOCHEMISTRY</t>
  </si>
  <si>
    <t>cesium-137; fallout; dumping; sedimentation</t>
  </si>
  <si>
    <t>Sedimentation rate in deep lakes and estiaries of the Baltic, Pechora, and Laptev Seas was determined using global Cs-137 as a sedimentogenesis marker. The sedimentation rate in Lake Ladoga and Levinson-Lessing Lake was 0.3-3 mm year(-1), and that in estuaries of the Baltic, Pechora, and Laptev Seas was 0.74-1.76, 1.0, and 3.3-5.0 mm year(-1), respectively. At a sedimentation rate of &gt;1-2 mm year(-1), the concentration peaks of global and Chernobyl Cs-137 in the bulk of the bottom sediments do not overlap, and the sedimentation rate is estimated for each kind of nuclides separately. At a sedimentation rate of &lt;1 mm year(-1), Chernobyl Cs-137 + Cs-137 from dumping into sea mask in the bottom sediments the subsurface maximum of the global Cs-137 concentration and prevent the sedimentation rate determination. The use of 137Cs for sedimentation rate determinations is appropriate for the poorly studied shelf zone of Russian Arctic seas.</t>
  </si>
  <si>
    <t>[Bakunov, N. A.; Bol'shiyanov, D. Yu.; Makarov, A. S.] Arctic &amp; Antarctic Res Inst, Ul Beringa 38, St Petersburg 199397, Russia</t>
  </si>
  <si>
    <t>Makarov, AS (corresponding author), Arctic &amp; Antarctic Res Inst, Ul Beringa 38, St Petersburg 199397, Russia.</t>
  </si>
  <si>
    <t>makarov@aari.nw.ru</t>
  </si>
  <si>
    <t>1066-3622</t>
  </si>
  <si>
    <t>1608-3288</t>
  </si>
  <si>
    <t>RADIOCHEMISTRY+</t>
  </si>
  <si>
    <t>Radiochemistry</t>
  </si>
  <si>
    <t>10.1134/S1066362215030145</t>
  </si>
  <si>
    <t>Chemistry, Analytical; Chemistry, Inorganic &amp; Nuclear</t>
  </si>
  <si>
    <t>VC1DK</t>
  </si>
  <si>
    <t>WOS:000428375800014</t>
  </si>
  <si>
    <t>Césari, SN; Panti, C; Pujana, RR; Francis, JE; Marenssi, SA</t>
  </si>
  <si>
    <t>Cesari, Silvia N.; Panti, Carolina; Pujana, Roberto R.; Francis, Jane E.; Marenssi, Sergio A.</t>
  </si>
  <si>
    <t>The late Oligocene flora from the Rio Leona Formation, Argentinian Patagonia</t>
  </si>
  <si>
    <t>REVIEW OF PALAEOBOTANY AND PALYNOLOGY</t>
  </si>
  <si>
    <t>Oligocene; Fossil leaves; Fern; Conifer; Angiosperms; Patagonia</t>
  </si>
  <si>
    <t>FOSSIL WOODS; SANTA-CRUZ; ROSACEAE; REVISION; PROVINCE; CLASSIFICATION; ARCHITECTURE; ANTARCTICA; PROTEACEAE; MYRTACEAE</t>
  </si>
  <si>
    <t>A late Oligocene plant macrofossil assemblage is described from the Rio Leona Formation, Argentinian Patagonia. This includes a fern, Blechnum turbioense Frenguelli, one species of conifer, and sixteen angiosperm taxa. Rosaceae, Myrtaceae, Proteaceae, Lauraceae, Anacardiaceae and Typhaceae are represented by one species in each family. Five species are considered to be members of the Fabales. Three leaf taxa together with Carpolithus seeds are placed in the Nothofagaceae. Palynomorphs and permineralized woods complete the floral record of the Rio Leona Formation, which is considered early late Oligocene based on radiometric dating and palynofloras. (C) 2015 Elsevier B.V. All rights reserved.</t>
  </si>
  <si>
    <t>[Cesari, Silvia N.; Panti, Carolina; Pujana, Roberto R.] Museo Argentino Ciencias Nat Bernardino Rivadavia, Buenos Aires, DF, Argentina; [Francis, Jane E.] British Antarctic Survey High Cross, Cambridge CB3 0ET, England; [Marenssi, Sergio A.] Univ Buenos Aires, Dept Geol, IGEBA, RA-1428 Buenos Aires, DF, Argentina</t>
  </si>
  <si>
    <t>Museo Argentino de Ciencias Naturales Bernardino Rivadavia (MACN); UK Research &amp; Innovation (UKRI); Natural Environment Research Council (NERC); NERC British Antarctic Survey; University of Buenos Aires</t>
  </si>
  <si>
    <t>Césari, SN (corresponding author), Museo Argentino Ciencias Nat Bernardino Rivadavia, Av Angel Gallardo 470,C1405DJR Buenos Aires, Buenos Aires, DF, Argentina.</t>
  </si>
  <si>
    <t>scesari@macn.gov.ar</t>
  </si>
  <si>
    <t>Pujana, Roberto Roman/0000-0001-8006-3332; Cesari, Silvia/0000-0001-7311-1156</t>
  </si>
  <si>
    <t>University of Leeds; Argentinean Agenda Nacional de Promocion Cientifica y Tecnologica; NERC [bas0100026] Funding Source: UKRI; Natural Environment Research Council [bas0100026] Funding Source: researchfish</t>
  </si>
  <si>
    <t>University of Leeds; Argentinean Agenda Nacional de Promocion Cientifica y Tecnologica; NERC(UK Research &amp; Innovation (UKRI)Natural Environment Research Council (NERC)); Natural Environment Research Council(UK Research &amp; Innovation (UKRI)Natural Environment Research Council (NERC))</t>
  </si>
  <si>
    <t>We thank two anonymous reviewers for their helpful comments. J. Francis is grateful for funding from the University of Leeds to support the fieldwork in Argentina. The research was financed by the Argentinean Agenda Nacional de Promocion Cientifica y Tecnologica.</t>
  </si>
  <si>
    <t>0034-6667</t>
  </si>
  <si>
    <t>1879-0615</t>
  </si>
  <si>
    <t>REV PALAEOBOT PALYNO</t>
  </si>
  <si>
    <t>Rev. Palaeobot. Palynology</t>
  </si>
  <si>
    <t>10.1016/j.revpalbo.2015.01.002</t>
  </si>
  <si>
    <t>Plant Sciences; Paleontology</t>
  </si>
  <si>
    <t>CG6QK</t>
  </si>
  <si>
    <t>WOS:000353426800011</t>
  </si>
  <si>
    <t>Barbraud, C; Delord, K; Weimerskirch, H</t>
  </si>
  <si>
    <t>Barbraud, Christophe; Delord, Karine; Weimerskirch, Henri</t>
  </si>
  <si>
    <t>Extreme ecological response of a seabird community to unprecedented sea ice cover</t>
  </si>
  <si>
    <t>ROYAL SOCIETY OPEN SCIENCE</t>
  </si>
  <si>
    <t>Antarctic; breeding; sea ice; petrels; penguins; skuas</t>
  </si>
  <si>
    <t>CLIMATE-CHANGE; POPULATION-DYNAMICS; EMPEROR PENGUINS; POINTE GEOLOGIE; ADELIE LAND; VARIABILITY; PROJECTIONS; ABUNDANCE; FUTURE; ISLAND</t>
  </si>
  <si>
    <t>Climate change has been predicted to reduce Antarctic sea ice but, instead, sea ice surrounding Antarctica has expanded over the past 30 years, albeit with contrasted regional changes. Here we report a recent extreme event in sea ice conditions in East Antarctica and investigate its consequences on a seabird community. In early 2014, the Dumont d'Urville Sea experienced the highest magnitude sea ice cover (76.8%) event on record (1982-2013: range 11.3-65.3%; mean +/- 95% confidence interval: 27.7% (23.1-32.2%)). Catastrophic effects were detected in the breeding output of all sympatric seabird species, with a total failure for two species. These results provide a new view crucial to predictive models of species abundance and distribution as to how extreme sea ice events might impact an entire community of top predators in polar marine ecosystems in a context of expanding sea ice in eastern Antarctica.</t>
  </si>
  <si>
    <t>[Barbraud, Christophe; Delord, Karine; Weimerskirch, Henri] CEBC, CNRS UMR7372, F-79360 Villiers En Bois, France</t>
  </si>
  <si>
    <t>Centre National de la Recherche Scientifique (CNRS); CNRS - Institute of Ecology &amp; Environment (INEE)</t>
  </si>
  <si>
    <t>Barbraud, C (corresponding author), CEBC, CNRS UMR7372, F-79360 Villiers En Bois, France.</t>
  </si>
  <si>
    <t>barbraud@cebc.cnrs.fr</t>
  </si>
  <si>
    <t>Weimerskirch, Henri/K-7306-2019; Barbraud, Christophe/A-5870-2012; Weimerskirch, Henri/F-5562-2013</t>
  </si>
  <si>
    <t>Weimerskirch, Henri/0000-0002-0457-586X; Barbraud, Christophe/0000-0003-0146-212X;</t>
  </si>
  <si>
    <t>Institut Paul Emile Victor (IPEV) [109]; Terres Australes et Antarctiques Francaises; Zone Atelier Antarctique (CNRS-INEE)</t>
  </si>
  <si>
    <t>Institut Paul Emile Victor (IPEV); Terres Australes et Antarctiques Francaises; Zone Atelier Antarctique (CNRS-INEE)</t>
  </si>
  <si>
    <t>Support was provided by the Institut Paul Emile Victor (IPEV no109), Terres Australes et Antarctiques Francaises and Zone Atelier Antarctique (CNRS-INEE).</t>
  </si>
  <si>
    <t>2054-5703</t>
  </si>
  <si>
    <t>ROY SOC OPEN SCI</t>
  </si>
  <si>
    <t>R. Soc. Open Sci.</t>
  </si>
  <si>
    <t>10.1098/rsos.140456</t>
  </si>
  <si>
    <t>DO7MB</t>
  </si>
  <si>
    <t>WOS:000377965600007</t>
  </si>
  <si>
    <t>Chen, J; Chung, CH</t>
  </si>
  <si>
    <t>Chen Ji; Chung ChiHang</t>
  </si>
  <si>
    <t>Representation of global precipitation anomalies using four major climate patterns</t>
  </si>
  <si>
    <t>SCIENCE CHINA-TECHNOLOGICAL SCIENCES</t>
  </si>
  <si>
    <t>global precipitation anomalies; regression model; four major climate patterns; teleconnection</t>
  </si>
  <si>
    <t>PACIFIC DECADAL OSCILLATION; NINO SOUTHERN-OSCILLATION; ARCTIC OSCILLATION; INDIAN-OCEAN; DIPOLE MODE; ENSO; IMPACTS; VARIABILITY; MONSOON; PROJECT</t>
  </si>
  <si>
    <t>This study aims at finding the dominant climate patterns that influence the precipitation anomalies for different regions over the world. To this end, a multiple linear regression model is employed to represent the impact of four major climate patterns (El Nino-Southern Oscillation (ENSO), Indian Ocean Dipole (IOD), Arctic Oscillation (AO) and Antarctic Oscillation (AAO)) on the global precipitation anomalies. The normalized climate pattern indexes and normalized precipitation anomalies are used in the regression model. For the Northern Hemisphere, the three predictors used are the normalized NINO3.4 index (representing ENSO), normalized DMI (representing IOD) and normalized AO index; for the Southern Hemisphere, also three indexes are used as three predictors, and the normalized AO index is replaced by the normalized AAO index. The influences brought by each climate pattern can be represented by the magnitude of the corresponding regression coefficients, and the dominant climate patterns are those with the largest magnitude. The study results show that the precipitation anomalies in the northern part of South America and the northwestern part of Southeast Asia are mainly influenced by ENSO. The precipitation anomalies in East Africa and the southwestern part of Southeast Asia are mainly influenced by IOD. The precipitation anomalies in Europe and west coast of North America are mainly influenced by AO; the precipitation anomalies in the eastern part and southern part of South America, southern part of Africa, and the northeastern Australia are mainly influenced by AAO. These findings are consistent with the general understanding on the teleconnection features of the four climate patterns. Further, the regression model can be used for predicting precipitation anomalies through use of these major climate patterns.</t>
  </si>
  <si>
    <t>[Chen Ji; Chung ChiHang] Univ Hong Kong, Dept Civil Engn, Pokfulam 999077, Hong Kong, Peoples R China</t>
  </si>
  <si>
    <t>University of Hong Kong</t>
  </si>
  <si>
    <t>Chen, J (corresponding author), Univ Hong Kong, Dept Civil Engn, Pokfulam 999077, Hong Kong, Peoples R China.</t>
  </si>
  <si>
    <t>jichen@hku.hk</t>
  </si>
  <si>
    <t>Hong Kong RGC GRF [HKU 710712E, 7109010E]; NSFC [51479224]</t>
  </si>
  <si>
    <t>Hong Kong RGC GRF(Hong Kong Research Grants Council); NSFC(National Natural Science Foundation of China (NSFC))</t>
  </si>
  <si>
    <t>This work was supported by Hong Kong RGC GRF projects (Grant Nos. HKU 710712E and 7109010E) and NSFC project (Grant No. 51479224).</t>
  </si>
  <si>
    <t>1674-7321</t>
  </si>
  <si>
    <t>1869-1900</t>
  </si>
  <si>
    <t>SCI CHINA TECHNOL SC</t>
  </si>
  <si>
    <t>Sci. China-Technol. Sci.</t>
  </si>
  <si>
    <t>10.1007/s11431-015-5799-y</t>
  </si>
  <si>
    <t>Engineering, Multidisciplinary; Materials Science, Multidisciplinary</t>
  </si>
  <si>
    <t>Engineering; Materials Science</t>
  </si>
  <si>
    <t>CH7XN</t>
  </si>
  <si>
    <t>WOS:000354250000020</t>
  </si>
  <si>
    <t>Hagen, O; Hartmann, K; Steel, M; Stadler, T</t>
  </si>
  <si>
    <t>Hagen, Oskar; Hartmann, Klaas; Steel, Mike; Stadler, Tanja</t>
  </si>
  <si>
    <t>Age-Dependent Speciation Can Explain the Shape of Empirical Phylogenies</t>
  </si>
  <si>
    <t>SYSTEMATIC BIOLOGY</t>
  </si>
  <si>
    <t>Birth-death process; diversification; macroevolution; Stochastic models</t>
  </si>
  <si>
    <t>EVOLUTIONARY MODELS; TREE BALANCE; MOLECULAR PHYLOGENIES; EXTINCTION; PATTERNS; RATES; YULE</t>
  </si>
  <si>
    <t>Tens of thousands of phylogenetic trees, describing the evolutionary relationships between hundreds of thousands of taxa, are readily obtainable from various databases. From such trees, inferences can be made about the underlying macroevolutionary processes, yet remarkably these processes are still poorly understood. Simple and widely used evolutionary null models are problematic: Empirical trees show very different imbalance between the sizes of the daughter clades of ancestral taxa compared to what models predict. Obtaining a simple evolutionary model that is both biologically plausible and produces the imbalance seen in empirical trees is a challenging problem, to which none of the existing models provide a satisfying answer. Here we propose a simple, biologically plausible macroevolutionary model in which the rate of speciation decreases with species age, whereas extinction rates can vary quite generally. We show that this model provides a remarkable fit to the thousands of trees stored in the online database TreeBase. The biological motivation for the identified age-dependent speciation process may be that recently evolved taxa often colonize new regions or niches and may initially experience little competition. These new taxa are thus more likely to give rise to further new taxa than a taxon that has remained largely unchanged and is, therefore, well adapted to its niche. We show that age-dependent speciation may also be the result of different within-species populations following the same laws of lineage splitting to produce new species. As the fit of our model to the tree database shows, this simple biological motivation provides an explanation for a long standing problem in macroevolution.</t>
  </si>
  <si>
    <t>[Hagen, Oskar; Stadler, Tanja] Swiss Fed Inst Technol, Inst Integrat Biol, CH-8092 Zurich, Switzerland; [Hartmann, Klaas] Univ Tasmania, Inst Marine &amp; Antarctic Studies, Hobart, Tas 7001, Australia; [Steel, Mike] Univ Canterbury, Allan Wilson Ctr Mol Ecol &amp; Evolut, Biomath Res Ctr, Christchurch 8140, New Zealand; [Stadler, Tanja] Swiss Fed Inst Technol, Dept Biosyst Sci &amp; Engn, CH-4058 Basel, Switzerland</t>
  </si>
  <si>
    <t>Swiss Federal Institutes of Technology Domain; ETH Zurich; University of Tasmania; University of Canterbury; Swiss Federal Institutes of Technology Domain; ETH Zurich</t>
  </si>
  <si>
    <t>Stadler, T (corresponding author), Swiss Fed Inst Technol, Dept Biosyst Sci &amp; Engn, Mattenstr 26, CH-4058 Basel, Switzerland.</t>
  </si>
  <si>
    <t>tanja.stadler@bsse.ethz.ch</t>
  </si>
  <si>
    <t>Stadler, Tanja/J-4742-2013; Hagen, Oskar/HJB-4480-2022; Hartmann, Klaas/B-3991-2008</t>
  </si>
  <si>
    <t>Stadler, Tanja/0000-0001-6431-535X; Hagen, Oskar/0000-0002-7931-6571; Steel, Mike/0000-0001-7015-4644</t>
  </si>
  <si>
    <t>European Research Council under the 7th Framework Programme of the European Commission (PhyPD) [335529]</t>
  </si>
  <si>
    <t>European Research Council under the 7th Framework Programme of the European Commission (PhyPD)</t>
  </si>
  <si>
    <t>T.S. is supported in part by the European Research Council under the 7th Framework Programme of the European Commission (PhyPD: Grant Agreement Number 335529).</t>
  </si>
  <si>
    <t>1063-5157</t>
  </si>
  <si>
    <t>1076-836X</t>
  </si>
  <si>
    <t>SYST BIOL</t>
  </si>
  <si>
    <t>Syst. Biol.</t>
  </si>
  <si>
    <t>10.1093/sysbio/syv001</t>
  </si>
  <si>
    <t>Evolutionary Biology</t>
  </si>
  <si>
    <t>CJ1ZF</t>
  </si>
  <si>
    <t>Green Published, Green Submitted, Green Accepted, hybrid</t>
  </si>
  <si>
    <t>WOS:000355283000006</t>
  </si>
  <si>
    <t>Yao, JQ; Chen, YN</t>
  </si>
  <si>
    <t>Yao, Junqiang; Chen, Yaning</t>
  </si>
  <si>
    <t>Trend analysis of temperature and precipitation in the Syr Darya Basin in Central Asia</t>
  </si>
  <si>
    <t>THEORETICAL AND APPLIED CLIMATOLOGY</t>
  </si>
  <si>
    <t>CLIMATE-CHANGE; ANTARCTIC OSCILLATION; POLAR VORTEX; PACIFIC; PLATEAU; INDEX</t>
  </si>
  <si>
    <t>By investigating temperature and precipitation data from eight meteorological stations in the Syr Darya Basin (SDB) during 1881-2011 and 1891-2011, we analyzed trends using the Mann-Kendall (MK) test. Our results indicated that there was a notable increasing trend in annual temperature of 0.14 degrees C/decade (P&lt;0.05) and step change points in 1989 (P&lt;0.05). Similarly, annual precipitation showed a significant rising trend (P&lt;0.001) at a rate of 4.44 mm/decade and step change points in 1991 (P&lt;0.05). Overall, temperature and precipitation increases were more rapid in the plains than in the mountain areas, Furthermore, we found that temperature in the SDB region is strongly associated with the Asian Polar Vortex Area Index (APVAI, correlation coefficient: R=0.701, P&lt;0.01) rather than with carbon dioxide emissions, especially in the plains area. For precipitation, the correlation coefficient is strongly associated with the Tibet Plateau Index (TPI. R=0.490, P&lt;0.01), followed by the Antarctic Oscillation Index (AAOI, R=0.343, P&lt;0.01), and the correlations in the plains are higher than those in the mountains. It is anticipated that the results of this study will further the understanding surrounding climate change in the SDB.</t>
  </si>
  <si>
    <t>[Yao, Junqiang] Xinjiang Univ, Coll Resources &amp; Environm, Urumqi 830046, Peoples R China; [Yao, Junqiang] Xinjiang Univ, Key Lab Oasis Ecol, Minist Educ, Urumqi 830046, Peoples R China; [Chen, Yaning] Chinese Acad Sci, Xinjiang Inst Ecol &amp; Geog, State Key Lab Desert &amp; Oasis Ecol, Beijing Nanlu 830011, Urumqi, Peoples R China</t>
  </si>
  <si>
    <t>Xinjiang University; Xinjiang University; Chinese Academy of Sciences; Xinjiang Institute of Ecology &amp; Geography, CAS</t>
  </si>
  <si>
    <t>Chen, YN (corresponding author), Chinese Acad Sci, Xinjiang Inst Ecol &amp; Geog, State Key Lab Desert &amp; Oasis Ecol, Beijing Nanlu 830011, Urumqi, Peoples R China.</t>
  </si>
  <si>
    <t>chenyn@ms.xjb.ac.cn</t>
  </si>
  <si>
    <t>Chen, Yaning/A-2338-2019; Yao, Junqiang/O-7681-2019; chen, yaning/AAN-8170-2020</t>
  </si>
  <si>
    <t>Yao, Junqiang/0000-0002-2700-0700;</t>
  </si>
  <si>
    <t>National Basic Research Program of China (or 973 Program) [2010CB951003]</t>
  </si>
  <si>
    <t>National Basic Research Program of China (or 973 Program)(National Basic Research Program of China)</t>
  </si>
  <si>
    <t>This paper was sponsored by the National Basic Research Program of China (or 973 Program) (grant 2010CB951003). The authors thank the National Climate Center, China Meteorological Administration, for providing the atmospheric circulations indices data for this study. We are grateful to Dr. Hartmut Grassl and anonymous reviewers for their helpful comments on improving the manuscript.</t>
  </si>
  <si>
    <t>SPRINGER WIEN</t>
  </si>
  <si>
    <t>WIEN</t>
  </si>
  <si>
    <t>SACHSENPLATZ 4-6, PO BOX 89, A-1201 WIEN, AUSTRIA</t>
  </si>
  <si>
    <t>0177-798X</t>
  </si>
  <si>
    <t>1434-4483</t>
  </si>
  <si>
    <t>THEOR APPL CLIMATOL</t>
  </si>
  <si>
    <t>Theor. Appl. Climatol.</t>
  </si>
  <si>
    <t>3-4</t>
  </si>
  <si>
    <t>10.1007/s00704-014-1187-y</t>
  </si>
  <si>
    <t>CG3ZZ</t>
  </si>
  <si>
    <t>WOS:000353220700010</t>
  </si>
  <si>
    <t>Fehlauer-Ale, KH; Winston, JE; Tilbrook, KJ; Nascimento, KB; Vieira, LM</t>
  </si>
  <si>
    <t>Fehlauer-Ale, Karin H.; Winston, Judith E.; Tilbrook, Kevin J.; Nascimento, Karine B.; Vieira, Leandro M.</t>
  </si>
  <si>
    <t>Identifying monophyletic groups within Bugula sensu lato ( Bryozoa, Buguloidea)</t>
  </si>
  <si>
    <t>ZOOLOGICA SCRIPTA</t>
  </si>
  <si>
    <t>MOLECULAR PHYLOGENY; CHEILOSTOMATA; PATTERNS; SHORELINE; SEQUENCES; TAXONOMY; NERITINA; BARCODE; KOREA; COAST</t>
  </si>
  <si>
    <t>Species in the genus Bugula are globally distributed. They are most abundant in tropical and temperate shallow waters, but representatives are found in polar regions. Seven species occur in the Arctic and one in the Antarctic and species are represented in continental shelf or greater depths as well. The main characters used to define the genus include bird's head pedunculate avicularia, erect colonies, embryos brooded in globular ooecia and branches comprising two or more series of zooids. Skeletal morphology has been the primary source of taxonomic information for many calcified bryozoan groups, including the Buguloidea. Several morphological characters, however, have been suggested to be homoplastic at distinct taxonomic levels, in the light of molecular phylogenies. Our purpose was to investigate the phylogenetic interrelationships of the genus Bugula, based on molecular phylogenetics and morphology. A Bayesian molecular phylogeny was constructed using original and previously published sequences of the mitochondrial genes cytochrome c oxidase subunit 1 (COI) and the large ribosomal RNA subunit (16S). Morphological characteristics from scanning electron and light microscopy were used to confirm the clades detected by the molecular phylogeny. Our results suggest that the genus is composed of four clades, for which we provide diagnoses: Bugula sensu stricto (30 species), Bugulina (24 species), Crisularia (23 species) and the monotypic Virididentula gen. n. Ten species could not be assigned to any of those genera, so they remain as genus incertae sedis. Our findings highlight the importance of using molecular phylogenies in association with morphological characters in systematic revisions of bryozoan taxa.</t>
  </si>
  <si>
    <t>[Fehlauer-Ale, Karin H.] Univ Fed Parana, Ctr Estudos Mar, Lab Bentos, BR-83255976 Pontal Do Parana, PR, Brazil; [Fehlauer-Ale, Karin H.; Nascimento, Karine B.; Vieira, Leandro M.] Univ Sao Paulo, Ctr Biol Marinha, Lab Sistemat &amp; Evolucao Bryozoa, BR-05588000 Sao Sebastiao, SP, Brazil; [Winston, Judith E.] Smithsonian Marine Stn, Ft Pierce, FL 34949 USA; [Tilbrook, Kevin J.] Univ Oxford, Museum Nat Hist, Oxford OX1 3PW, England; [Vieira, Leandro M.] Univ Fed Pernambuco, Dept Zool, Ctr Ciencias Biol, BR-50670901 Recife, PE, Brazil</t>
  </si>
  <si>
    <t>Universidade Federal do Parana; Universidade de Sao Paulo; Smithsonian Institution; Smithsonian National Museum of Natural History; University of Oxford; Universidade Federal de Pernambuco</t>
  </si>
  <si>
    <t>Fehlauer-Ale, KH (corresponding author), Univ Fed Parana, Ctr Estudos Mar, Lab Bentos, Ave Beira Mar,Caixa Postal 61, BR-83255976 Pontal Do Parana, PR, Brazil.</t>
  </si>
  <si>
    <t>fehlauer.ale@gmail.com; judithewinston@gmail.com; kevin_j_tilbrook@yahoo.co.uk; kbnasc@gmail.com; leandromanzoni@hotmail.com</t>
  </si>
  <si>
    <t>Vieira, Leandro/B-7712-2011; Hoch Fehlauer Ale, Karin/D-6628-2011</t>
  </si>
  <si>
    <t>Vieira, Leandro/0000-0001-8661-8861; Hoch Fehlauer Ale, Karin/0000-0002-6617-2062</t>
  </si>
  <si>
    <t>National Council for Scientific and Technological Development (CNPq) [151221/2013-8, 305608/2006-1, 474605/2013-2, 564945/2010-2 - 'BrBol']; Sao Paulo Research Foundation (FAPESP) [2009/08940-7, 2009/08941-3, 2012/24285-1]; Fundacao de Amparo a Pesquisa do Estado de Sao Paulo (FAPESP) [12/24285-1, 09/08940-7, 09/08941-3] Funding Source: FAPESP</t>
  </si>
  <si>
    <t>National Council for Scientific and Technological Development (CNPq)(Conselho Nacional de Desenvolvimento Cientifico e Tecnologico (CNPQ)); Sao Paulo Research Foundation (FAPESP)(Fundacao de Amparo a Pesquisa do Estado de Sao Paulo (FAPESP)); Fundacao de Amparo a Pesquisa do Estado de Sao Paulo (FAPESP)(Fundacao de Amparo a Pesquisa do Estado de Sao Paulo (FAPESP))</t>
  </si>
  <si>
    <t>This is a contribution of the Center for Marine Studies, Federal University of Parana (CEM/UFPR), the Center for Marine Biology of the University of Sao Paulo (CEBIMar/USP) and the Center for Marine Biodiversity Research (NP-BioMar/USP). This research was partially supported by The National Council for Scientific and Technological Development (CNPq) (151221/2013-8, granted to Paulo C. Lana and Karin H. Fehlauer-Ale; 305608/2006-1, 474605/2013-2, granted to Leandro M. Vieira; 564945/2010-2 - 'BrBol', granted to Mariana C de Oliveira) and the Sao Paulo Research Foundation (FAPESP) (2009/08940-7, granted to Karin H Fehlauer-Ale; 2009/08941-3 to Alvaro E Migotto; 2012/24285-1, granted to Leandro M Vieira). Contribution no. 979 from the Smithsonian Marine Station, Fort Pierce, Florida. We wish to thank Alvaro E. Migotto (Center for Marine Biology of the University of Sao Paulo), Paulo C. Lana (Center for Marine Studies of the Federal University of Parana) and Tim Littlewood (Natural History Museum of London) for providing laboratory and office facilities. Several collaborators donated exemplars and/or helped with fieldwork, and we are very grateful to all of them: Alberto Lindner (Federal University of Santa Catarina), Andrea Waeschenbach (Natural History Museum of London), Arnaud Czaja (Imperial College of London), Dennis Gordon (National Institute of Water &amp; Atmospheric Research), Javier Souto (University of Santiago de Compostela), Judith Fuchs (Marine Biological Association UK), Oscar Reverter-Gil (University of Santiago de Compostela) and Rosana M. da Rocha (Federal University of Parana). Andrew Ostrovsky provided helpful information on brood chamber structures included in this study. Three anonymous reviewers provided very helpful comments and suggestions on the manuscript.</t>
  </si>
  <si>
    <t>0300-3256</t>
  </si>
  <si>
    <t>1463-6409</t>
  </si>
  <si>
    <t>ZOOL SCR</t>
  </si>
  <si>
    <t>Zool. Scr.</t>
  </si>
  <si>
    <t>10.1111/zsc.12103</t>
  </si>
  <si>
    <t>Evolutionary Biology; Zoology</t>
  </si>
  <si>
    <t>CF5PG</t>
  </si>
  <si>
    <t>WOS:000352608600008</t>
  </si>
  <si>
    <t>Mah, C; Linse, K; Copley, J; Marsh, L; Rogers, A; Clague, D; Foltz, D</t>
  </si>
  <si>
    <t>Mah, Christopher; Linse, Katrin; Copley, Jon; Marsh, Leigh; Rogers, Alex; Clague, David; Foltz, David</t>
  </si>
  <si>
    <t>Description of a new family, new genus, and two new species of deep-sea Forcipulatacea (Asteroidea), including the first known sea star from hydrothermal vent habitats</t>
  </si>
  <si>
    <t>ZOOLOGICAL JOURNAL OF THE LINNEAN SOCIETY</t>
  </si>
  <si>
    <t>Antarctica; deep sea; forcipulatacea; hydrothermal vent; North Pacific; pedicellariae</t>
  </si>
  <si>
    <t>OPHIUROID ECHINODERMATA; MOLECULAR PHYLOGENY; AXIAL SEAMOUNT; MORPHOLOGY; BIOLOGY; PEDICELLARIAE; COMMUNITIES; VALVATACEA; PREDATION; BEHAVIOR</t>
  </si>
  <si>
    <t>Based on a phylogenetic analysis of undescribed taxa within the Forcipulatacea, a new family of deep-sea forcipulatacean starfishes, Paulasteriidaefam.nov., is described from deep-sea settings. Paulasterias tylerigen.etsp.nov. was observed at recently documented hydrothermal vents on the East Scotia Ridge, Southern Ocean. A second species, Paulasterias mcclainigen.etsp.nov. was observed in deep-sea settings in the North Pacific, more distant from hydrothermal vents. Both species are multi-armed (with between six and eight arms), with a fleshy body wall, and a poorly developed or absent adoral carina. Here, we include discussions of pedicellariae morphology, feeding biology, and classification.(c) 2015 The Linnean Society of London</t>
  </si>
  <si>
    <t>[Mah, Christopher] Smithsonian Inst, Natl Museum Nat Hist, Dept Invertebrate Zool, Washington, DC 20013 USA; [Mah, Christopher; Foltz, David] Louisiana State Univ, Dept Biol Sci, Baton Rouge, LA 70803 USA; [Linse, Katrin] British Antarctic Survey, Cambridge CB3 0ET, England; [Copley, Jon; Marsh, Leigh] Univ Southampton, Ocean &amp; Earth Sci, Southampton SO14 3ZH, Hants, England; [Rogers, Alex] Univ Oxford, Dept Zool, Oxford OX1 3PS, England; [Clague, David] Monterey Bay Aquarium Res Inst, Moss Landing, CA 95039 USA</t>
  </si>
  <si>
    <t>Smithsonian Institution; Smithsonian National Museum of Natural History; Louisiana State University System; Louisiana State University; UK Research &amp; Innovation (UKRI); Natural Environment Research Council (NERC); NERC British Antarctic Survey; University of Southampton; University of Oxford; Monterey Bay Aquarium Research Institute</t>
  </si>
  <si>
    <t>Mah, C (corresponding author), Smithsonian Inst, Natl Museum Nat Hist, Dept Invertebrate Zool, Washington, DC 20013 USA.</t>
  </si>
  <si>
    <t>brisinga@gmail.com</t>
  </si>
  <si>
    <t>Marsh, Leigh/J-6068-2013; Copley, Jon/I-7076-2012; Marsh, Leigh/AAT-5597-2020</t>
  </si>
  <si>
    <t>Marsh, Leigh/0000-0002-4613-1538; Copley, Jon/0000-0003-3333-4325; Marsh, Leigh/0000-0002-4613-1538; Rogers, Alex David/0000-0002-4864-2980; Linse, Katrin/0000-0003-3477-3047</t>
  </si>
  <si>
    <t>UK NERC Consortium [NE/DO1249X/1]; NSF-Polar Programs Postdoctoral Fellowship [OPP-0631245]; LSU Faculty Research Grant; NSF [DEB-1036358]; Natural Environment Research Council [bas0100026, NE/D010470/2] Funding Source: researchfish; NERC [bas0100026, NE/D010470/2] Funding Source: UKRI; Direct For Biological Sciences; Division Of Environmental Biology [1036358] Funding Source: National Science Foundation</t>
  </si>
  <si>
    <t>UK NERC Consortium; NSF-Polar Programs Postdoctoral Fellowship; LSU Faculty Research Grant; NSF(National Science Foundation (NSF)); Natural Environment Research Council(UK Research &amp; Innovation (UKRI)Natural Environment Research Council (NERC)); NERC(UK Research &amp; Innovation (UKRI)Natural Environment Research Council (NERC)); Direct For Biological Sciences; Division Of Environmental Biology(National Science Foundation (NSF)NSF - Directorate for Biological Sciences (BIO))</t>
  </si>
  <si>
    <t>C. Mah is extremely grateful to Dr Craig McClain and Dr Dave Clague for their invitation to participate in the 2009 MBARI Pacific Northwest Expedition. C. Mah also thanks Lonny Lundsten, Linda Kuntz, the crew of the RV Western Flyer and other personnel at MBARI for their assistance. We extend thanks to the crew of RRS James Cook and the staff of the UK National Marine Facilities at NOC, especially the ROV Isis team, for logistic, technical, and shipboard support during JC42, as well the ChEsSo research programme, which was funded by UK NERC Consortium Grant (NE/DO1249X/1) under the lead of Professor Paul Tyler. We gratefully acknowledge Will Reid, who provided us with isotope data in advance of his paper (Reid et al., 2013). Special appreciation is extended to Bob Ford and Taylor Steed, Frederick Community College, and Scott Whitaker, NMNH SEM Lab, for their help with SEM logistics. For specimen cataloguing and logistics we thank Linda Ward and Paul Greenhall at the NMNH, and Miranda Lowe and Andrew Cabrinovic at the NHM. The original forcipulates sequence data set was collected with support by NSF-Polar Programs Postdoctoral Fellowship OPP-0631245 to C. Mah, and by an LSU Faculty Research Grant to D. Foltz. The new molecular work was funded in part by NSF award DEB-1036358 to D. Foltz and C. Mah. The manuscript benefitted from improvements provided by two anonymous reviewers.</t>
  </si>
  <si>
    <t>0024-4082</t>
  </si>
  <si>
    <t>1096-3642</t>
  </si>
  <si>
    <t>ZOOL J LINN SOC-LOND</t>
  </si>
  <si>
    <t>Zool. J. Linn. Soc.</t>
  </si>
  <si>
    <t>10.1111/zoj.12229</t>
  </si>
  <si>
    <t>CG6GU</t>
  </si>
  <si>
    <t>WOS:000353397200004</t>
  </si>
  <si>
    <t>Li, CJ; Xiao, CD; Shi, GT; Ding, MH; Kang, SC; Zhang, LL; Hou, SG; Sun, B; Qin, DH; Ren, JW</t>
  </si>
  <si>
    <t>Li, Chuanjin; Xiao, Cunde; Shi, Guitao; Ding, Minghu; Kang, Shichang; Zhang, Lulu; Hou, Shugui; Sun, Bo; Qin, Dahe; Ren, Jiawen</t>
  </si>
  <si>
    <t>Spatiotemporal variations of monocarboxylic acids in snow layers along a transect from Zhongshan Station to Dome A, eastern Antarctica</t>
  </si>
  <si>
    <t>ATMOSPHERIC RESEARCH</t>
  </si>
  <si>
    <t>Monocarboxylic acids; Spatiotemporal variations; Human activities; Eastern Antarctica</t>
  </si>
  <si>
    <t>ORGANIC-ACIDS; SEASONAL-VARIATIONS; TRAVERSE ROUTE; ACETIC-ACIDS; DEPOSITION; GLACIER; AIR; ACCUMULATION; AMMONIUM; SEAWATER</t>
  </si>
  <si>
    <t>The spatiotemporal distributions of formate and acetate in snow layers along a transect from Zhongshan Station to Dome A are presented here. The mean concentrations of mono-carboxylic acids in summer surface snow layers were 2.93 +/- 1.72 ng g(-1) and 10.07 +/- 5.87 ng g(-1) for formate and acetate, respectively. In the snow pit samples, the concentrations varied between 0.47 +/- 0.14 ng g(-1) and 3.12 +/- 424 ng g(-1) for formate and between 5.31 +/- 1.55 ng g(-1) and 13329 +/- 4.64 ng g(-1) for acetate. Spatially, the concentrations of both acids featured negative trends with increasing elevation and distance inland for the initial 600 km of the transect, which implies that marine sources from the coastal oceans dominate the acid supply. Different distribution styles of the acids in the interior section (600-1248 km) suggest that different source region and transporting mechanism may be responsible for the acid deposition in the interior regions. Seasonal variations in the amounts of acid in a coastal snow pit (29-A) indicate higher values in the summer and lower amounts in the winter. An enlarged source region and intensified production and transport mechanisms were primarily responsible for the higher values in summer. Longer records from the interior snow pits (29-L and 29-M) indicate elevated values in the 1970s and lower values in the 1980s and early 1990s. The increases in the mono-carboxylic acids since 1999 in snow pit 29-L and since 2005 in snow pit 29-M were temporally coincident with Chinese expedition activities in the area, suggesting that human activities were responsible for the increases in the acid load during recent decades. (c) 2015 Elsevier B.V. All rights reserved.</t>
  </si>
  <si>
    <t>[Li, Chuanjin; Xiao, Cunde; Ding, Minghu; Kang, Shichang; Qin, Dahe; Ren, Jiawen] Chinese Acad Sci, Cold &amp; Arid Reg Environm &amp; Engn Res Inst, State Key Lab Cryospher Sci, Lanzhou 730000, Peoples R China; [Xiao, Cunde; Ding, Minghu] Chinese Acad Meteorol Sci, Climate Syst Inst, Beijing 100081, Peoples R China; [Shi, Guitao; Sun, Bo] Polar Res Inst China, Shanghai 200136, Peoples R China; [Kang, Shichang] Chinese Acad Sci, Inst Tibetan Plateau Res, Key Lab Tibetan Environm Changes &amp; Land Surface P, Beijing 100101, Peoples R China; [Zhang, Lulu] Univ Sci &amp; Technol China, Inst Polar Environm, Sch Earth &amp; Space Sci, Hefei 230026, Peoples R China; [Hou, Shugui] Nanjing Univ, Sch Geog &amp; Oceanog Sci, Nanjing 210093, Jiangsu, Peoples R China</t>
  </si>
  <si>
    <t>Chinese Academy of Sciences; Cold &amp; Arid Regions Environmental &amp; Engineering Research Institute, CAS; China Meteorological Administration; Chinese Academy of Meteorological Sciences (CAMS); Polar Research Institute of China; Chinese Academy of Sciences; Institute of Tibetan Plateau Research, CAS; Chinese Academy of Sciences; University of Science &amp; Technology of China, CAS; Nanjing University</t>
  </si>
  <si>
    <t>Li, CJ (corresponding author), Chinese Acad Sci, Cold &amp; Arid Reg Environm &amp; Engn Res Inst, State Key Lab Cryospher Sci, Lanzhou 730000, Peoples R China.</t>
  </si>
  <si>
    <t>lichuanjin@lzb.ac.cn; cdxiao@cams.cma.gov.cn</t>
  </si>
  <si>
    <t>Jiawen, Ren/K-7734-2012; Hou, Shugui/J-3651-2015; Ding, Minghu/AFU-3600-2022; Kang, Shichang/I-6830-2018</t>
  </si>
  <si>
    <t>Ding, Minghu/0000-0002-1142-6598; Hou, Shugui/0000-0002-0905-3542; Kang, Shichang/0000-0003-2115-9005</t>
  </si>
  <si>
    <t>Innovative Research Group; National Natural Science Foundation of China [501100001809, 41121001, 41201069, 41476164]; National Basic Research Program of China (973 Program) [2013CBA01804]; State Key Laboratory of Cryospheric Sciences; State Oceanic Administration of People's Republic of China Project on Climate in Polar Regions [CHINARE 2014-04-04, CHINARE 2014-02-02]; Foundation for Excellent Youth Scholars of CAREERI, CAS</t>
  </si>
  <si>
    <t>Innovative Research Group; National Natural Science Foundation of China(National Natural Science Foundation of China (NSFC)); National Basic Research Program of China (973 Program)(National Basic Research Program of China); State Key Laboratory of Cryospheric Sciences; State Oceanic Administration of People's Republic of China Project on Climate in Polar Regions; Foundation for Excellent Youth Scholars of CAREERI, CAS(Chinese Academy of Sciences)</t>
  </si>
  <si>
    <t>The authors thank all of the members who participated in the 2012-2013 Chinese National Antarctic Research Expedition field campaigns for sample collection. In addition, special thanks are given to Ms. Xiaoxiang Wang, Xiaoqing Cui, and Yuman Zhu from the Cold and Arid Regions Environmental and Engineering Research Institute for completing portions of the analysis. This work was financially supported by the Innovative Research Group, the National Natural Science Foundation of China (501100001809) (41121001), the National Basic Research Program of China (973 Program, 2013CBA01804), the State Key Laboratory of Cryospheric Sciences, the National Natural Science Foundation of China (Grant Nos. 41201069 and 41476164), the State Oceanic Administration of People's Republic of China Project on Climate in Polar Regions (Grant Nos. CHINARE 2014-04-04 and CHINARE 2014-02-02), and the Foundation for Excellent Youth Scholars of CAREERI, CAS.</t>
  </si>
  <si>
    <t>ELSEVIER SCIENCE INC</t>
  </si>
  <si>
    <t>STE 800, 230 PARK AVE, NEW YORK, NY 10169 USA</t>
  </si>
  <si>
    <t>0169-8095</t>
  </si>
  <si>
    <t>1873-2895</t>
  </si>
  <si>
    <t>ATMOS RES</t>
  </si>
  <si>
    <t>Atmos. Res.</t>
  </si>
  <si>
    <t>10.1016/j.atmosres.2015.02.008</t>
  </si>
  <si>
    <t>CF1ST</t>
  </si>
  <si>
    <t>WOS:000352328900007</t>
  </si>
  <si>
    <t>Liu, PF; Bose, N; Veitch, B</t>
  </si>
  <si>
    <t>Liu, Pengfei; Bose, Neil; Veitch, Brian</t>
  </si>
  <si>
    <t>Evaluation, design and optimization for strength and integrity of polar class propellers</t>
  </si>
  <si>
    <t>COLD REGIONS SCIENCE AND TECHNOLOGY</t>
  </si>
  <si>
    <t>Ice breaker; Polar class; R-class; Arctic Antarctic navigation; Fluid-structure interaction; Ice-structure interaction</t>
  </si>
  <si>
    <t>An advanced 3D unsteady panel method was developed for the design and optimization of the strength and integrity of polar class propellers. Blade ice loading specification in both milling and impact cases, under the Unified Polar Class Rules (URI3), by the International Association of Classification Societies (IACS), was implemented. An optimization example and analysis were given for an R-class propeller. The strength of the R-class propeller was assessed for all 7 polar classes and 5 loading cases. Comparison was also made for all polar classes and ice loading cases. As the blade has little skew with a wide chord, both the spindle torque and the in-plane bending moment are small, so only out-of-plane bending failure is the key factor for strength. It was also found that by URI3, there is little difference in strength requirement between polar classes 1 (strongest requirement) and 7 (the weakest). An integrity design and optimization example showed a saving of 1.4 tonnes of blade material (22% saving) by decreasing the safety factor to 1.51 (the minimum safety factor under URI3 is 1.5), for which case the blade thickness is about 80% of the existing design. Crown Copyright (C) 2015 Published by Elsevier B.V. All rights reserved.</t>
  </si>
  <si>
    <t>[Liu, Pengfei] Natl Res Council Canada, Ocean Coastal &amp; River Engn, St John, NF A1B 3T5, Canada; [Bose, Neil] Univ Tasmania, Australian Maritime Coll, Newnham, Tas 7248, Australia; [Veitch, Brian] Mem Univ Newfoundland, Fac Engn &amp; Appl Sci, St John, NF A1B 3X5, Canada</t>
  </si>
  <si>
    <t>National Research Council Canada; University of Tasmania; Australian Maritime College; Memorial University Newfoundland</t>
  </si>
  <si>
    <t>Liu, PF (corresponding author), Natl Res Council Canada, Ocean Coastal &amp; River Engn, St John, NF A1B 3T5, Canada.</t>
  </si>
  <si>
    <t>Pengfei.Liu@nrc-cnrc.gc.ca; N.Bose@UTAS.EDU.AU; B.Veitch@MUN.CA</t>
  </si>
  <si>
    <t>Bose, Neil/AAG-6329-2019; Veitch, Brian/AAU-8907-2020; Liu, Pengfei/I-1836-2013</t>
  </si>
  <si>
    <t>Bose, Neil/0000-0002-6444-0756; Veitch, Brian/0000-0001-5450-4587; Liu, Pengfei/0000-0003-2158-5442</t>
  </si>
  <si>
    <t>National Research Council Canada (NRC)</t>
  </si>
  <si>
    <t>The authors would like to acknowledge National Research Council Canada (NRC) for its support.</t>
  </si>
  <si>
    <t>0165-232X</t>
  </si>
  <si>
    <t>1872-7441</t>
  </si>
  <si>
    <t>COLD REG SCI TECHNOL</t>
  </si>
  <si>
    <t>Cold Reg. Sci. Tech.</t>
  </si>
  <si>
    <t>10.1016/j.coldregions.2015.02.001</t>
  </si>
  <si>
    <t>Engineering, Environmental; Engineering, Civil; Geosciences, Multidisciplinary</t>
  </si>
  <si>
    <t>Engineering; Geology</t>
  </si>
  <si>
    <t>CE7VA</t>
  </si>
  <si>
    <t>WOS:000352048800004</t>
  </si>
  <si>
    <t>Stark, JS; Smith, J; King, CK; Lindsay, M; Stark, S; Palmer, AS; Snape, I; Bridgen, P; Riddle, M</t>
  </si>
  <si>
    <t>Stark, Jonathan S.; Smith, James; King, Catherine K.; Lindsay, Margaret; Stark, Scott; Palmer, Anne S.; Snape, Ian; Bridgen, Phil; Riddle, Martin</t>
  </si>
  <si>
    <t>Physical, chemical, biological and ecotoxicological properties of wastewater discharged from Davis Station, Antarctica</t>
  </si>
  <si>
    <t>PBDEs; Metals; Wastewater treatment; Sewage; Antarctic stations; Environmental risk</t>
  </si>
  <si>
    <t>BROMINATED FLAME RETARDANTS; POLYBROMINATED DIPHENYL ETHERS; MCMURDO-STATION; ORGANIC ENRICHMENT; SEWAGE POLLUTION; CASEY STATION; ENVIRONMENT; PATTERNS; CONTAMINATION; SEDIMENTS</t>
  </si>
  <si>
    <t>The properties and toxicity of untreated wastewater at Davis Station, East Antarctica, were investigated to inform decisions regarding the appropriate level of treatment for local discharge purposes and more generally, to better understand the risk associated with dispersal and impact of wastewaters in Antarctica. Suspended solids, nutrients (nitrogen, phosphorus), biological oxygen demand (BOD), metals, organic contaminants, surfactants and microbiological load were measured at various locations throughout the wastewater discharge system. Wastewater quality and properties varied greatly between buildings on station, each of which has separate holding tanks. Nutrients, BOD and settleable solid levels were higher than standard municipal wastewaters. Microbiological loads were typical of untreated wastewater. Contaminants detected in the wastewater included metals and persistent organic compounds, mainly polybrominated diphenyl ethers (PBDEs). The toxicity of wastewater was also investigated in laboratory bioassays using two local Antarctic marine invertebrates, the amphipod Paramoera walkeri and the microgastropod Skenella paludionoides. Animals were exposed to a range of wastewater concentrations from 3% to 68% (test 1) or 63% (test 2) over 21 days with survival monitoreddaily. Significant mortality occurred in all concentrations of wastewater after 14 to 21 days, and at higher concentrations (50-68% wastewater) mortality occurred after only one day. Results indicate that the local receiving marine environment at Davis Station is at risk from existing wastewater discharges, and that advanced treatment is required both to remove contaminants shown to cause toxicity to biota, as well as to reduce the environmental risks associated with non-native micro-organisms in wastewater. Crown Copyright (C) 2015 Published by Elsevier B.V. All rights reserved.</t>
  </si>
  <si>
    <t>[Stark, Jonathan S.; King, Catherine K.; Lindsay, Margaret; Stark, Scott; Palmer, Anne S.; Snape, Ian; Riddle, Martin] Australian Antarctic Div, Terr &amp; Nearshore Ecosyst Program, Kingston, Tas 7050, Australia; [Smith, James] Queensland Univ Technol, Fac Sci &amp; Engn, Sch Earth, Environm Biol Sci, Brisbane, Qld 4001, Australia; [Bridgen, Phil] AsureQuality, Lower Hutt 50106, New Zealand</t>
  </si>
  <si>
    <t>Australian Antarctic Division; Queensland University of Technology (QUT)</t>
  </si>
  <si>
    <t>Stark, JS (corresponding author), Australian Antarctic Div, Terr &amp; Nearshore Ecosyst Program, 203 Channel Hwy, Kingston, Tas 7050, Australia.</t>
  </si>
  <si>
    <t>jonny.stark@aad.gov.au; smithjj16@tpg.com.au; cath.king@aad.gov.au; margaretcmlindsay@gmail.com; scott.stark@aad.gov.au; anne.palmer@aad.gov.au; ian.snape@aad.gov.au; Phil.Bridgen@asurequality.com; martin.riddle@aad.gov.au</t>
  </si>
  <si>
    <t>Stark, Jonathan/ABF-4025-2020; King, Catherine K/G-7059-2017</t>
  </si>
  <si>
    <t>Stark, Jonathan/0000-0002-4268-8072; King, Catherine K/0000-0003-3356-0381; Smith, James/0000-0001-9687-3022</t>
  </si>
  <si>
    <t>Australian Antarctic Division [AAS 3127, AAS 4180]</t>
  </si>
  <si>
    <t>This project was made possible by the contributions of the following people: Helena Baird, Peter Barnes, Damon Bolton, Kathryn Brown, Andrew Cawthorn, Ben Coombe, Glenn Dunshea, Chris Gillies, Roger Handsworth, Melanie Ho, Greg Hince, Teresa O'Leary, Michael Packer, Mark Pekin, Simon Reeves, Bianca Sfiligoj, Aaron Spur, Michelle Thums, Patti Virtue, Lauren Wise, Ellen Woolfenden and Mike Woolridge. This study was funded by the Australian Antarctic Division AAS 3127, AAS 4180.</t>
  </si>
  <si>
    <t>10.1016/j.coldregions.2015.02.006</t>
  </si>
  <si>
    <t>WOS:000352048800006</t>
  </si>
  <si>
    <t>Smith, IJ; Gough, AJ; Langhorne, PJ; Mahoney, AR; Leonard, GH; Van Hale, R; Jendersie, S; Haskell, TG</t>
  </si>
  <si>
    <t>Smith, I. J.; Gough, A. J.; Langhorne, P. J.; Mahoney, A. R.; Leonard, G. H.; Van Hale, R.; Jendersie, S.; Haskell, T. G.</t>
  </si>
  <si>
    <t>First-year land-fast Antarctic sea ice as an archive of ice shelf meltwater fluxes</t>
  </si>
  <si>
    <t>Ice shelf basal meltwater; Sea ice formation; Oxygen isotope fractionation; Surface water isotope changes; Ice-ocean interaction; Growth rates</t>
  </si>
  <si>
    <t>MCMURDO SOUND; PLATELET ICE; OCEANOGRAPHIC CONDITIONS; HEAT-FLUX; ROSS SEA; GROWTH; WATER; EVOLUTION; BENEATH; WINTER</t>
  </si>
  <si>
    <t>Sampling beneath Antarctic ice shelves is sparse; therefore, tracking changes in ocean 6180 composition adjacent to ice shelves holds promise as an indicator of ice shelf basal melting. Sea ice archives of ice shelf-ocean interaction in particular could be important tools for future observational climate studies. Ocean delta O-18 values near the McMurdo Ice Shelf were reconstructed using observational data (sea ice delta O-18 snow depth, and ice formation dates) from McMurdo Sound, Antarctica, by combining a recently revised version of an isotope fractionation model with an established thermodynamic sea ice model, resulting in improvements compared to previous approaches. Growth rates from the thermodynamic sea ice model were validated using direct growth rate measurements. That validation and supporting analysis indicated that a change was needed in ocean heat flux assumption from 0 W m(-2) to around -13 W m(-2) part way through the sea ice growth season. A well-constrained range (+ 1.84 parts per thousand to + 2.21 parts per thousand) of effective fractionation coefficients for sea ice was derived, along with a mean of 1.99 parts per thousand. For the first time, reconstructed ocean delta O-18 values were validated using winter-long measurements of Antarctic near-surface water delta O-18. Taking uncertainties into account, the reconstructed ocean delta O-18 values generally agreed to within +/- 0.2 parts per thousand with the measured ocean delta O-18 mean values. Results indicated an overall decrease in measured ocean delta O-18 during the winter, but this was not statistically significant given the uncertainties in the measurements. Although the method works, it currently has limited utility for determining the presence and scale of any step-changes in ocean delta O-18 composition associated with present day ice shelf basal melting. This is because the uncertainty of the reconstructed values (+/- 0.2 parts per thousand) is of the same magnitude as the expected change. Also, the requirement to parameterise the ocean heat flux is a barrier to the method being an entirely retrospective method (i.e., one requiring only data from the end of the sea ice growth season). In a future Antarctic scenario of increased basal melting of the ice shelves, the method may become more valuable in an Antarctic context. The method developed in this paper will be useful currently in the Arctic, because Arctic waters exhibit much larger fresh water fluxes. (C) 2015 Elsevier B.V. All rights reserved.</t>
  </si>
  <si>
    <t>[Smith, I. J.; Gough, A. J.; Langhorne, P. J.; Jendersie, S.] Univ Otago, Dept Phys, Dunedin 9054, New Zealand; [Mahoney, A. R.] Univ Alaska Fairbanks, Inst Geophys, Fairbanks, AK 99775 USA; [Leonard, G. H.] Univ Otago, Natl Sch Surveying, Dunedin 9054, New Zealand; [Van Hale, R.] Univ Otago, Dept Chem, Dunedin 9054, New Zealand; [Jendersie, S.] Natl Inst Water &amp; Atmospher Res Ltd NIWA, Wellington 6021, New Zealand; [Haskell, T. G.] Callaghan Innovat, Lower Hutt 5040, New Zealand</t>
  </si>
  <si>
    <t>University of Otago; University of Alaska System; University of Alaska Fairbanks; University of Otago; University of Otago; National Institute of Water &amp; Atmospheric Research (NIWA) - New Zealand; Callaghan Innovation</t>
  </si>
  <si>
    <t>Smith, IJ (corresponding author), Univ Otago, Dept Phys, POB 56, Dunedin 9054, New Zealand.</t>
  </si>
  <si>
    <t>inga.smith@otago.ac.nz</t>
  </si>
  <si>
    <t>Gough, Alex J/D-4784-2009; Leonard, Greg/F-7157-2010; Langhorne, Pat/C-3539-2018</t>
  </si>
  <si>
    <t>Leonard, Greg/0000-0001-7679-9486; Jendersie, Stefan/0000-0002-8658-3184; Langhorne, Pat/0000-0003-0239-7657</t>
  </si>
  <si>
    <t>Foundation for Research Science and Technology (FRST); University of Otago; Industrial Research Ltd; National Institute of Water and Atmospheric Research Ltd (NIWA)</t>
  </si>
  <si>
    <t>Foundation for Research Science and Technology (FRST)(New Zealand Foundation for Research, Science and Technology); University of Otago; Industrial Research Ltd; National Institute of Water and Atmospheric Research Ltd (NIWA)</t>
  </si>
  <si>
    <t>Collection of the 2009 McMurdo Sound data was part of New Zealand's contribution to the International Polar Year and was funded by the then Foundation for Research Science and Technology (FRST). The University of Otago, Industrial Research Ltd and the National Institute of Water and Atmospheric Research Ltd (NIWA) also provided financial and in-kind support. We are grateful to Antarctica New Zealand, the Scott Base 2009 winter team, Brian Stake, and Brett Grant for logistical and field support. Thanks to Myles Thayer, Richard Sparrow, and Peter Stroud for constructing instruments; Joe Trodahl, Daniel Pringle, Mike Williams, and Craig Stevens for advice; Russell Frew and Dianne Clark for isotope analysis; and Cecilia Bitz and Bill Lipscomb for making their code available via: http://www.atmos.washington.edui-bitz/column/.</t>
  </si>
  <si>
    <t>10.1016/j.coldregions.2015.01.007</t>
  </si>
  <si>
    <t>WOS:000352048800007</t>
  </si>
  <si>
    <t>Russo, ADPG; de Souza, MS; Mendes, CRB; Jesus, B; Tavano, VM; Garcia, CAE</t>
  </si>
  <si>
    <t>Pereira Granja Russo, Arnaldo D'Amaral; de Souza, Marcie Silva; Borges Mendes, Carlos Rafael; Jesus, Bruno; Tavano, Virginia Maria; Eiras Garcia, Carlos Alberto</t>
  </si>
  <si>
    <t>Photophysiological effects of Fe concentration gradients on diatom-dominated phytoplankton assemblages in the Antarctic Peninsula region</t>
  </si>
  <si>
    <t>Antarctic Peninsula; Fe; Photophysiology; Photosynthetic efficiency; Phytoplankton</t>
  </si>
  <si>
    <t>SOUTHERN-OCEAN PHYTOPLANKTON; IRON-LIMITATION; PHAEOCYSTIS-ANTARCTICA; PHYSIOLOGICAL-STATE; SHETLAND ISLANDS; FRAGILARIOPSIS-CYLINDRUS; CHLOROPHYLL FLUORESCENCE; ACTIVE FLUORESCENCE; PELAGIC ECOSYSTEMS; CHAETOCEROS-BREVIS</t>
  </si>
  <si>
    <t>The Southern Ocean is generally a high-nutrient and low-chlorophyll (HNLC) area, primarily due to the limitation of micronutrients, such as iron (Fe). Nevertheless, microphytoplankton may bloom if Fe is available and if light and mixing conditions are suitable. This study aimed to investigate the ecological and photophysiological responses of the phytoplankton, such as size, community composition, nutrient usage and photosynthetic potential, under high irradiance levels and over an iron concentration gradient. A 6-day deck incubation experiment was conducted during the austral summer of 2013, using phytoplankton populations from the upper mixed layer in the Bransfield Strait waters. After sampling the water (Fe clean protocol), experimental units were maintained in on-deck incubation in triplicate for 6 days with 3 treatments (Control: natural sea water; + Fe: Fe addition; + DFA: Fe less available). + Fe treatment samples were inoculated with FeCl2 (1 nM), while in the + DFA treatment, a Fe-binding agent (desferrioxamine) was added which reduces Fe availability tenfold. Values of chlorophyll a, phytoplankton biovolume, PSII maximum quantum efficiency (F-v/F-m) and the relative electron transport rate (rETR) were measured in all treatments. After six days of experimentation, chlorophyll a in the + DFA treatment increased by a lower proportion (6A mg m(-3), compared with the + Fe treatment, which increased to 10.2 mg m(-3)) and presented F-v/F-m values of 0.55 +/- 0.02 (compared with the + Fe treatment, with a value of 0.62 +/- 0.02). Microscopic analysis showed the preponderance of larger diatoms in the + Fe treatment, while smaller diatoms dominated in the + DFA, in particular the Pseudo-nitzschia species. Although desferrioxamine might have inhibited biogenic Fe uptake in the + DFA treatment, phytoplankton continued to grow, however with lower responses within the measured physiological parameters, indicating the first signs of Fe limitation. Considerable phytoplankton growth, represented by a doubling of chlorophyll a concentration and a massive biovolume increase after 6 days in all three treatments, indicates that the waters of the study region in the Bransfield Strait were not limited by the microelement Fe. (C) 2015 Elsevier B.V. All rights reserved.</t>
  </si>
  <si>
    <t>[Pereira Granja Russo, Arnaldo D'Amaral; de Souza, Marcie Silva; Borges Mendes, Carlos Rafael; Tavano, Virginia Maria; Eiras Garcia, Carlos Alberto] Univ Fed Rio Grande FURG, Inst Oceanog, BR-96201900 Rio Grande, RS, Brazil; [Jesus, Bruno] Univ Nantes, Lab Mer Mol Sante, Fac Sci &amp; Tech, F-44322 Nantes, France; [Jesus, Bruno] Univ Lisbon, Fac Ciencias, Ctr Biodiversidade Genom Integrat &amp; Func BioFIG, P-1749016 Lisbon, Portugal</t>
  </si>
  <si>
    <t>Universidade Federal do Rio Grande; Nantes Universite; Universidade de Lisboa</t>
  </si>
  <si>
    <t>Russo, ADPG (corresponding author), Univ Fed Rio Grande FURG, Inst Oceanog, Ave Italia,Km 8, BR-96201900 Rio Grande, RS, Brazil.</t>
  </si>
  <si>
    <t>arnaldorusso@gmail.com</t>
  </si>
  <si>
    <t>de Souza, Márcio Silva/AAR-5757-2021; Mendes, Carlos/AAD-6504-2021; Mendes, Carlos/GVU-7596-2022; Mendes, Carlos/I-1520-2012; Garcia, Carlos A. E./K-7382-2012; Tavano, Virginia/C-5241-2013; Jesus, Bruno/B-5441-2011</t>
  </si>
  <si>
    <t>de Souza, Márcio Silva/0000-0003-1572-9307; Mendes, Carlos/0000-0001-6875-8860; Mendes, Carlos/0000-0001-6875-8860; Tavano, Virginia/0000-0003-0039-8111; Jesus, Bruno/0000-0002-2047-3783</t>
  </si>
  <si>
    <t>CNPq (National Council for Research and Development); PRO-OASIS (CNPq) [565040/2010-3]; INTERBIOTA (CNPq) [407889/2013-2]; CAPES (Brazil); CNPq; CAPES</t>
  </si>
  <si>
    <t>CNPq (National Council for Research and Development)(Conselho Nacional de Desenvolvimento Cientifico e Tecnologico (CNPQ)); PRO-OASIS (CNPq)(Conselho Nacional de Desenvolvimento Cientifico e Tecnologico (CNPQ)); INTERBIOTA (CNPq)(Conselho Nacional de Desenvolvimento Cientifico e Tecnologico (CNPQ)); CAPES (Brazil)(Coordenacao de Aperfeicoamento de Pessoal de Nivel Superior (CAPES)); CNPq(Conselho Nacional de Desenvolvimento Cientifico e Tecnologico (CNPQ)); CAPES(Coordenacao de Aperfeicoamento de Pessoal de Nivel Superior (CAPES))</t>
  </si>
  <si>
    <t>This study was conducted within the activities of the PRO-OASIS (CNPq grant number 565040/2010-3) and INTERBIOTA (CNPq grant number 407889/2013-2) projects. The authors thank the crew of the Brazilian Navy NPo Almirante Maximiano and several investigators participating in the cruises for their valuable help during the collection of samples. We also thank Dr. Ricardo C. Pollery for his nutrient analysis. A.D.A.P.G. Russo and M.S.de Souza were funded by a PhD fellowship from CAPES (Brazil). C.R Mendes, V.M. Tavano and C.A. Garcia were granted science fellowships from CNPq. M.S. de Souza was granted by CNPq and, is now receiving a research fellowship from CAPES. We are thankful for the constructive criticism of two anonymous reviewers, which helped to improve the manuscript. [SS] This is a multidisciplinary program as part of the GOAL (Group of High Latitude Oceanography) activities in the Brazilian Antarctic Program, coordinated by SECIRM. Financial support was provided by CNPq (National Council for Research and Development).</t>
  </si>
  <si>
    <t>10.1016/j.jembe.2015.02.002</t>
  </si>
  <si>
    <t>WOS:000352667500006</t>
  </si>
  <si>
    <t>Yasunaga, G; Fujise, Y; Zenitani, R; Tanabe, S; Kato, H</t>
  </si>
  <si>
    <t>Yasunaga, Genta; Fujise, Yoshihiro; Zenitani, Ryoko; Tanabe, Shinsuke; Kato, Hidehiro</t>
  </si>
  <si>
    <t>Spatial and temporal variation of PCBs and organochlorine pesticides in the Antarctic minke whales, Balaenoptera bonaerensis, in the period 1987-2005</t>
  </si>
  <si>
    <t>Antarctic minke whale; Organochlorine; HCH; Monitoring; Temporal trend</t>
  </si>
  <si>
    <t>PERSISTENT ORGANIC POLLUTANTS; KING GEORGE ISLAND; MARINE MAMMALS; ACUTOROSTRATA; OCEAN; ATMOSPHERE; ATLANTIC; PATTERNS; BEHAVIOR; PACIFIC</t>
  </si>
  <si>
    <t>Concentrations of polychlorinated biphenyls (PCBs), dichlorodiphenyl trichloroethane and its metabolites (DDTs), hexachlorocyclohexane isomers (HCHs), hexachlorobenzene (HCB) and chlordane compounds (CHLs) were determined in the blubber of males (20-25 years old) of Antarctic minke whales, Balaenoptera bonaerensis, from the International Whaling Commission (IWC) management Areas IV (70 degrees-130 degrees E) and V (130 degrees E-170 degrees W), south 60 degrees S. The ranges of concentrations (ng g(-1) lipid wt.) for each compound were, PCBs: 7.7-89; DDTs: 29-340; HCHs: 0.20-4.3; HCB: 75-430; CHLs: 10-120, which were much lower than those in common minke whales, Balaenoptera acutorostrata, from the northern hemisphere. The levels of PCBs, HCHs, HCB and CHLs in Area IV were significantly higher than those in Area V. while the levels of DDTs in both areas were similar. For comparing the fate among four pesticides in the Antarctic Ocean avoiding the effect of variance due to food intake, the ratios of the pesticides to PCBs, which has an extremely high chemical stability and environmental persistence, were examined. The HCHs/PCBs ratio decreased by a factor of about 20 in a span of 16 years in both Areas IV and V, while temporal trends of DDTs/PCBs, HCB/PCBs and CHLs/PCBs ratios were not observed. These results indicate that PCBs, DDTs, HCB and CHLs levels did not vary or slightly decreased in Areas IV and V during the study period. However HCHs levels clearly decreased. Spatial differences seems to be related to differences in food intake among whales, and temporal differences seems to be related to the length stay of OCs in the Antarctic Ocean. (C) 2014 Elsevier Ltd. All rights reserved.</t>
  </si>
  <si>
    <t>[Yasunaga, Genta; Fujise, Yoshihiro; Zenitani, Ryoko] Inst Cetacean Res, Chuo Ku, Tokyo 1040055, Japan; [Zenitani, Ryoko; Kato, Hidehiro] Tokyo Univ Marine Sci &amp; Technol, Minato Ku, Tokyo 1088477, Japan; [Tanabe, Shinsuke] Ehime Univ, Ctr Marine Environm Studies, Matsuyama, Ehime 7908577, Japan</t>
  </si>
  <si>
    <t>Tokyo University of Marine Science &amp; Technology; Ehime University</t>
  </si>
  <si>
    <t>Yasunaga, G (corresponding author), Inst Cetacean Res, Chuo Ku, 4-5 Toyomi Cho, Tokyo 1040055, Japan.</t>
  </si>
  <si>
    <t>yasunaga@cetacean.jp</t>
  </si>
  <si>
    <t>Nomiyama, Kei/G-6950-2013; Tanabe, Shinsuke/G-6950-2013</t>
  </si>
  <si>
    <t>Nomiyama, Kei/0000-0002-8012-3806; Yasunaga, Genta/0000-0001-5599-6851; Tanabe, Shinsuke/0000-0002-0911-6232</t>
  </si>
  <si>
    <t>10.1016/j.chemosphere.2014.12.074</t>
  </si>
  <si>
    <t>WOS:000351979800002</t>
  </si>
  <si>
    <t>Fiddes, SL; Pezza, AB</t>
  </si>
  <si>
    <t>Fiddes, Sonya Louise; Pezza, Alexandre Bernardes</t>
  </si>
  <si>
    <t>Current and future climate variability associated with wintertime precipitation in alpine Australia</t>
  </si>
  <si>
    <t>CLIMATE DYNAMICS</t>
  </si>
  <si>
    <t>Rainfall; Alpine; Australia; Climate; Variability</t>
  </si>
  <si>
    <t>EAST-COAST CYCLONES; RAINFALL; DECLINE; DIPOLE</t>
  </si>
  <si>
    <t>The Australian Alps, located in the southeast corner of the continent, are home to important ecologies and industries, including water supply, hydroelectricity and ski resorts. Sharp topography and prevailing westerly winds generate a unique microclimate with cool temperatures and abundant precipitation and is crucial to much of greater southeastern Australia's water supply. Here we study the western, high and eastern slopes separately, exploring the global climate drivers associated with wintertime precipitation variability. The results show that while total precipitation is significantly declining on the western and high slopes, the total rain is not significantly changing on the eastern side. These differing trends are thought be a result of the changing nature of the westerly storm track and the subtropical ridge. Interestingly, the west/high wintertime rainfall decline is seen primarily as a reduction in the intensity of events, as the number of rainfall days per season has remained relatively constant throughout the analysis. The synoptic patterns associated with extreme precipitation are identified and shown to be well correlated with the total seasonal precipitation, suggesting a great importance of the extreme weather signatures in modulating the longer term climate. This correlation is used to calculate a number of climate indices relying on dynamical indicators such as pressure and temperature gradients, helping simulate the rainfall variability within the area. By exploring contrasting Climate Model Intercomparison Project 3 models from the Commonwealth Scientific and Industry Research Organization's Representative Climate Futures Framework, we estimate using indices of the circulation dynamics that the west/high wintertime rainfall trend will continue to decline whilst rainfall in the eastern region will remain relatively stable. This result adds new light into future precipitation trends for the area, given the intrinsic difficulty of climate models to correctly represent precipitation behavior over the region.</t>
  </si>
  <si>
    <t>[Fiddes, Sonya Louise; Pezza, Alexandre Bernardes] Univ Melbourne, Sch Earth Sci, Parkville, Vic 3010, Australia</t>
  </si>
  <si>
    <t>University of Melbourne</t>
  </si>
  <si>
    <t>Fiddes, SL (corresponding author), Univ Melbourne, Sch Earth Sci, Parkville, Vic 3010, Australia.</t>
  </si>
  <si>
    <t>sonya.fiddes@unimelb.edu.au</t>
  </si>
  <si>
    <t>Fiddes, Sonya/ABA-7818-2020; Fiddes, Sonya L./HKM-5559-2023</t>
  </si>
  <si>
    <t>Fiddes, Sonya/0000-0002-2752-0845; Fiddes, Sonya L./0000-0002-2752-0845</t>
  </si>
  <si>
    <t>S. Fiddes and A. Pezza would like to acknowledge and thank Blair Trewin (BOM), Leanne Webb (CSIRO) for access to the rainfall and climate projection data used in this study. A. Pezza would also like to thank the Australian Antarctic Division for funding parts of this work.</t>
  </si>
  <si>
    <t>0930-7575</t>
  </si>
  <si>
    <t>1432-0894</t>
  </si>
  <si>
    <t>CLIM DYNAM</t>
  </si>
  <si>
    <t>Clim. Dyn.</t>
  </si>
  <si>
    <t>9-10</t>
  </si>
  <si>
    <t>10.1007/s00382-014-2177-6</t>
  </si>
  <si>
    <t>CD9ZE</t>
  </si>
  <si>
    <t>WOS:000351459800014</t>
  </si>
  <si>
    <t>Banderas, R; Alvarez-Solas, J; Robinson, A; Montoya, M</t>
  </si>
  <si>
    <t>Banderas, Ruben; Alvarez-Solas, Jorge; Robinson, Alexander; Montoya, Marisa</t>
  </si>
  <si>
    <t>An interhemispheric mechanism for glacial abrupt climate change</t>
  </si>
  <si>
    <t>Abrupt climate change; Paleoclimate modeling; Dansgaard-Oeschger events; Atlantic meridional overturning circulation</t>
  </si>
  <si>
    <t>SOUTHERN-OCEAN; ATMOSPHERIC CO2; DRAKE PASSAGE; SEA-ICE; GREENLAND; RECORD; MODEL; CIRCULATION; EARTH</t>
  </si>
  <si>
    <t>The last glacial period was punctuated by abrupt climate changes that are widely considered to result from millennial-scale variability of the Atlantic meridional overturning circulation (AMOC). However, the origin of these AMOC reorganizations remains poorly understood. The climatic connection between both hemispheres indicated by proxies suggests that the Southern Ocean (SO) could regulate this variability through changes in winds and atmospheric CO2 concentration. Here, we investigate this hypothesis using a coupled climate model forced by prescribed CO2 and SO wind-stress variations. We find that the AMOC exhibits an oscillatory behavior between weak and strong circulation regimes which is ultimately caused by changes in the meridional density gradient of the Atlantic Ocean. The evolution of the simulated climatic patterns matches the amplitude and timing of the largest events that occurred during the last glacial period and their widespread climatic impacts. Our results suggest the existence of an internal interhemispheric oscillation mediated by the bipolar seesaw that could promote glacial abrupt climate changes through variations in atmospheric CO2 levels, the strength of the SO winds and AMOC reorganizations, and provide an explanation for the pervasive Antarctic-like climate signal found in proxy records worldwide.</t>
  </si>
  <si>
    <t>[Banderas, Ruben; Alvarez-Solas, Jorge; Robinson, Alexander; Montoya, Marisa] Univ Complutense Madrid, Fac Ciencias Fis, Dept Astrofis &amp; Ciencias Atmosfera, E-28040 Madrid, Spain; [Banderas, Ruben; Alvarez-Solas, Jorge; Robinson, Alexander; Montoya, Marisa] Inst Geociencias UCM CSIC, Madrid, Spain</t>
  </si>
  <si>
    <t>Complutense University of Madrid; Complutense University of Madrid; Consejo Superior de Investigaciones Cientificas (CSIC); CSIC-UCM - Instituto de Geociencias (IGEO)</t>
  </si>
  <si>
    <t>Banderas, R (corresponding author), Univ Complutense Madrid, Fac Ciencias Fis, Dept Astrofis &amp; Ciencias Atmosfera, E-28040 Madrid, Spain.</t>
  </si>
  <si>
    <t>banderas.ruben@fis.ucm.es</t>
  </si>
  <si>
    <t>Robinson, Alexander/N-2429-2019; Robinson, Alexander/I-4018-2012</t>
  </si>
  <si>
    <t>Robinson, Alexander/0000-0003-3519-5293; Robinson, Alexander/0000-0003-3519-5293; Banderas, Ruben/0000-0001-9866-8495</t>
  </si>
  <si>
    <t>Spanish Ministry of Science and Innovation [CGL2011-29672-C02-01]; Universidad Complutense (UCM); PICATA postdoctoral fellowship of the Moncloa Campus of International Excellence (UPM-UCM); European Commission</t>
  </si>
  <si>
    <t>Spanish Ministry of Science and Innovation(Spanish Government); Universidad Complutense (UCM); PICATA postdoctoral fellowship of the Moncloa Campus of International Excellence (UPM-UCM); European Commission(European Union (EU)European Commission Joint Research Centre)</t>
  </si>
  <si>
    <t>This work has been partially funded by the Spanish Ministry of Science and Innovation CGL2011-29672-C02-01. R.B. is supported by a predoctoral fellowship of the Universidad Complutense (UCM). Research by J.A.S. has been partially supported by a PICATA postdoctoral fellowship of the Moncloa Campus of International Excellence (UPM-UCM). AR is funded by the European Commission's Marie Curie 7th Framework Programme. Computational resources have been provided by the Spanish Environmental Research Center (CIEMAT) in Madrid. We are grateful to J. Adkins, R. F. Anderson and A. Griesel for fruitful discussion and to the two anonymous reviewers for useful comments that have contributed to improve the manuscript.</t>
  </si>
  <si>
    <t>10.1007/s00382-014-2211-8</t>
  </si>
  <si>
    <t>WOS:000351459800032</t>
  </si>
  <si>
    <t>Cannon, KM; Mustard, JF; Salvatore, MR</t>
  </si>
  <si>
    <t>Cannon, Kevin M.; Mustard, John F.; Salvatore, Mark R.</t>
  </si>
  <si>
    <t>Alteration of immature sedimentary rocks on Earth and Mars: Recording aqueous and surface-atmosphere processes</t>
  </si>
  <si>
    <t>Mars; sedimentary; weathering; alteration; spectroscopy</t>
  </si>
  <si>
    <t>REFLECTANCE SPECTROSCOPY; MERIDIANI-PLANUM; CARAPACE-NUNATAK; ARID CONDITIONS; CLAY-MINERALS; VICTORIA-LAND; ALLAN-HILLS; CHEMISTRY; ANTARCTICA; OXIDATION</t>
  </si>
  <si>
    <t>Rock alteration and rind formation in analog environments like Antarctica may provide clues to rock alteration and therefore paleoclimates on Mars. Clastic sedimentary rocks derived from basaltic sources have been studied in situ by martian rovers and are likely abundant on the surface of Mars. However, how such rock types undergo alteration when exposed to different environmental conditions is poorly understood compared with alteration of intact basaltic flows. Here we characterize alteration in the chemically immature Carapace Sandstone from Antarctica, a terrestrial analog for martian sedimentary rocks. We employ a variety of measurements similar to those used on previous and current Mars missions. Laboratory techniques included bulk chemistry, powder X-ray diffraction (XRD), hyperspectral imaging and X-ray absorption spectroscopy. Through these methods we find that primary basaltic material in the Carapace Sandstone is pervasively altered to hydrated clay minerals and palagonite as a result of water-rock interaction. A thick orange rind is forming in current Antarctic conditions, superimposing this previous aqueous alteration signature. The rind exhibits a higher reflectance at visible-near infrared wavelengths than the rock interior, with an enhanced ferric absorption edge likely due to an increase in Fe3+ of existing phases or the formation of minor iron (oxy)hydroxides. This alteration sequence in the Carapace Sandstone results from decreased water-rock interaction over time, and weathering in a cold, dry environment, mimicking a similar transition early in martian history. This transition may be recorded in sedimentary rocks on Mars through a similar superimposition mechanism, capturing past climate changes at the hand sample scale. Our results also suggest that basalt-derived sediments could have sourced significant volumes of hydrated minerals on early Mars due to their greater permeability compared with intact igneous rocks. (C) 2015 Elsevier B.V. All rights reserved.</t>
  </si>
  <si>
    <t>[Cannon, Kevin M.; Mustard, John F.] Brown Univ, Dept Earth Environm &amp; Planetary Sci, Providence, RI 02912 USA; [Salvatore, Mark R.] Arizona State Univ, Sch Earth &amp; Space Explorat, Tempe, AZ 85287 USA</t>
  </si>
  <si>
    <t>Brown University; Arizona State University; Arizona State University-Tempe</t>
  </si>
  <si>
    <t>Cannon, KM (corresponding author), Brown Univ, Dept Earth Environm &amp; Planetary Sci, 134 Brook St,Box 1846, Providence, RI 02912 USA.</t>
  </si>
  <si>
    <t>kevin_cannon@brown.edu; john_mustard@brown.edu; msalvatore@asu.edu</t>
  </si>
  <si>
    <t>Cannon, Kevin/0000-0001-7244-9390</t>
  </si>
  <si>
    <t>Department of Energy (DOE) - Geosciences [DE-FG02-92ER14244]; DOE [DE-AC02-98CH10886]</t>
  </si>
  <si>
    <t>Department of Energy (DOE) - Geosciences(United States Department of Energy (DOE)); DOE(United States Department of Energy (DOE))</t>
  </si>
  <si>
    <t>We are greatly indebted to Ralph Milliken for suggestions that significantly improved this manuscript, and to Janice Bishop and an anonymous reviewer for thorough reviews. We would also like to thank Janette Wilson, Kwok Wong, Jennifer Bentz, Takahiro Hiroi, Joseph Bosenberg, Sue Wirick, and William Rao for assistance with instrumental techniques. Portions of this work were performed at Beamline X26A, National Synchrotron Light Source (NSLS), Brookhaven National Laboratory. X26A is supported by the Department of Energy (DOE) - Geosciences (DE-FG02-92ER14244 to The University of Chicago - CARS). Use of the NSLS was supported by DOE under Contract No. DE-AC02-98CH10886.</t>
  </si>
  <si>
    <t>10.1016/j.epsl.2015.02.017</t>
  </si>
  <si>
    <t>CE4KL</t>
  </si>
  <si>
    <t>WOS:000351799400009</t>
  </si>
  <si>
    <t>Monforte, L; Núñez-Olivera, E; Martínez-Abaigar, J</t>
  </si>
  <si>
    <t>Monforte, Laura; Nunez-Olivera, Encarnacion; Martinez-Abaigar, Javier</t>
  </si>
  <si>
    <t>UV radiation biomonitoring using cell compartmentation of UV-absorbing compounds in herbarium samples of a liverwort</t>
  </si>
  <si>
    <t>Biological proxies; Biomonitoring; Bryophytes; Liverworts; UV-absorbing compounds; UV radiation</t>
  </si>
  <si>
    <t>HYDROXYCINNAMIC ACID-DERIVATIVES; ULTRAVIOLET-RADIATION; B RADIATION; AQUATIC LIVERWORT; ANTARCTIC MOSS; SEASONAL-VARIATIONS; PHENOLIC-COMPOUNDS; OZONE DEPLETION; QUANTUM YIELD; TERM CHANGES</t>
  </si>
  <si>
    <t>Ultraviolet-absorbing compounds (UVACs) were analyzed in 90 herbarium samples of the liverwort Jungermannia exsertifolia subsp. cordifolia collected throughout Spain in the period 1913-2006, in order to evaluate their usefulness in UV radiation biomonitoring. This was assessed, for the first time in bryophytes, differentiating the soluble (mainly vacuolar) and insoluble (cell wall-bound) UVACs (respectively, SUVACs and IUVACs), which may represent different mechanisms to cope with UV radiation. The bulk levels of SUVACs and IUVACs, and the concentrations of seven individual compounds (five SUVACs and two IUVACs) were analyzed, and several environmental variables of the sampling points were obtained: longitude, latitude, altitude, ozone column, and modelled UV levels. Diverse positive relationships of UVAC variables with UV radiation levels were identified in both the temporal and spatial scales. The soluble compound p-coumaroylmalic acid showed significantly higher concentrations in the years after the onset of stratospheric ozone degradation (around 1975) with respect to the previous years. The bulk level and the concentrations of three individual SUVACs were higher in the Spanish samples analyzed in the present study than in the northern European samples analyzed in a previous study in which IUVACs were not considered. The bulk level of IUVACs was the biological variable best spatially correlated with the UV exposure of the samples and with important factors determining it, such as altitude and latitude. Furthermore, the bulk level of IUVACs was the biological variable selected by a stepwise multiple linear regression analysis to reconstruct the past levels of UV-B radiation. The reconstructed UV-B did not show a clear trend in the period 1913-2006, which was coincident with other climatic and biological UV reconstructions. Both SUVACs and IUVACs were significant loading factors differentiating summer and autumn samples in the Principal Components Analysis conducted using both UVACs and the environmental variables, but again the bulk level of IUVACs was the main loading factor differentiating the samples collected from the highest and most UV-exposed localities (Sierra Nevada). In general, these findings suggest that UVACs were stimulated by increased UV levels in time or space, and that IUVACs would be better UV protectants than SUVACs, probably due to their more efficient screening capacity. Overall, UVACs of J. exsertifolia subsp. cordifolia were good UV biomarkers, and their location in the soluble or cell wall-bound fractions determined their usefulness in the different aspects of UV biomonitoring, including the assessment of the UV-B increase associated to anthropogenic ozone degradation. 2014 Elsevier Ltd. All rights reserved.</t>
  </si>
  <si>
    <t>[Monforte, Laura; Nunez-Olivera, Encarnacion; Martinez-Abaigar, Javier] Univ La Rioja, E-26006 Logrono, Spain</t>
  </si>
  <si>
    <t>Universidad de La Rioja</t>
  </si>
  <si>
    <t>Martínez-Abaigar, J (corresponding author), Univ La Rioja, Edificio Cient Tecn,Avda Madre Dios 51, E-26006 Logrono, Spain.</t>
  </si>
  <si>
    <t>javier.martinez@unirioja.es</t>
  </si>
  <si>
    <t>Martinez-Abaigar, Javier/L-7000-2014; Monforte, Laura/P-3410-2014; Nunez-Olivera, Encarnacion/L-7164-2014</t>
  </si>
  <si>
    <t>Martinez-Abaigar, Javier/0000-0002-9762-9862; Monforte, Laura/0000-0002-7062-5650; Nunez-Olivera, Encarnacion/0000-0002-7221-3852</t>
  </si>
  <si>
    <t>Ministerio de Ciencia e Innovacion of Spain; FEDER funds [CGL2011-26977]; Gobierno de La Rioja [PRED2010/16]</t>
  </si>
  <si>
    <t>Ministerio de Ciencia e Innovacion of Spain(Spanish Government); FEDER funds(European Union (EU)); Gobierno de La Rioja</t>
  </si>
  <si>
    <t>We are grateful to the Ministerio de Ciencia e Innovacion of Spain and FEDER funds (Project CGL2011-26977) for financial support. Laura Monforte benefited from a grant of the Gobierno de La Rioja (PRED2010/16). Curators of the following herbaria are gratefully acknowledged for the loan of material: ARAN-VIT, BC (BCB), BCB, FCO-Briofitos, GDAC, LISU, MA-Hepat, MACB, MUB, PAMP, SALA-Bryo, and VIT. Ozone data were obtained thanks to the Atmospheric Chemistry and Dynamics Branch (NASA Goddard Space Flight Center). This work is integrated into the COST (European Cooperation in Science and Technology) Action FA0906 of the European Union UV-B radiation: a specific regulator of plant growth and food quality in a changing climate.</t>
  </si>
  <si>
    <t>10.1016/j.ecolind.2014.11.027</t>
  </si>
  <si>
    <t>WOS:000350918600007</t>
  </si>
  <si>
    <t>Thomson, ACG; York, PH; Smith, TM; Sherman, CDH; Booth, DJ; Keough, MJ; Ross, DJ; Macreadie, PI</t>
  </si>
  <si>
    <t>Thomson, Alexandra C. G.; York, Paul H.; Smith, Timothy M.; Sherman, Craig D. H.; Booth, David J.; Keough, Michael J.; Ross, D. Jeff; Macreadie, Peter I.</t>
  </si>
  <si>
    <t>Seagrass Viviparous Propagules as a Potential Long-Distance Dispersal Mechanism</t>
  </si>
  <si>
    <t>ESTUARIES AND COASTS</t>
  </si>
  <si>
    <t>Seagrass; Propagules; Dispersal; Zostera; Resilience; Recruitment</t>
  </si>
  <si>
    <t>BIOMASS-DENSITY PATTERNS; SUPPLY-SIDE ECOLOGY; ZOSTERA-MARINA; VEGETATIVE FRAGMENTS; SEED DISPERSAL; ASEXUAL REPRODUCTION; FISH ASSEMBLAGES; VERTICAL GROWTH; EELGRASS; BAY</t>
  </si>
  <si>
    <t>Resilience of seagrass meadows relies on the ability of seagrass to successfully recolonise denuded areas or disperse to new areas. While seed germination and rhizome extension have been explored as modes of recovery and expansion, the contribution of seagrass viviparous propagules to meadow population dynamics has received little attention. Here, we investigated the potential of seagrass viviparous propagules to act as dispersal vectors. We performed a series of density surveys, and in situ and mesocosm-based experiments in Port Phillip Bay, VIC, Australia, using Zostera nigricaulis, a species known to produce viviparous propagules. Production of viviparous propagules was higher at sites with high wind and current exposure, compared to more sheltered environments. A number of propagules remained buoyant and healthy for more than 85 days, suggesting the capacity for relatively long-distance dispersal. Transplanted propagules were found to have improved survivorship within seagrass habitats compared to bare sediment over the short term (4 weeks); however, all propagules suffered longer-term (&lt; 100 days) mortality in field experiments. Conditions outside of meadows, including sediment scouring, reduced the likelihood of successful colonisation in bare sediment. Furthermore, sediment characteristics within meadows, such as a smaller grain size and high organic content, positively influenced propagule establishment. This research provides preliminary evidence that propagules have the potential to act as an important long-distance dispersal vector, a process that has previously gone unrecognised. Even though successful establishment of propagules may be rare, viviparous propagules show great potential for seagrass populations given they are facing global decline.</t>
  </si>
  <si>
    <t>[Thomson, Alexandra C. G.; Booth, David J.; Macreadie, Peter I.] Univ Technol Sydney, Sch Environm, Broadway, NSW 2007, Australia; [Thomson, Alexandra C. G.; Macreadie, Peter I.] Univ Technol Sydney, Plant Funct Biol, Broadway, NSW 2007, Australia; [Thomson, Alexandra C. G.; Macreadie, Peter I.] Univ Technol Sydney, Climate Change Cluster C3, Broadway, NSW 2007, Australia; [York, Paul H.; Smith, Timothy M.; Sherman, Craig D. H.] Deakin Univ, Ctr Integrat Ecol, Waurn Ponds, Vic 3216, Australia; [York, Paul H.; Keough, Michael J.] Univ Melbourne, Dept Zool, Parkville, Vic 3010, Australia; [Booth, David J.] Univ Tasmania, Inst Marine &amp; Antarctic Studies, Hobart, Tas 7001, Australia; [York, Paul H.] James Cook Univ, Ctr Trop Water &amp; Aquat Ecosyst Res TropWATER, Cairns, Qld 4870, Australia; [Macreadie, Peter I.] Deakin Univ, Ctr Integrat Ecol, Burwood, Vic 3125, Australia</t>
  </si>
  <si>
    <t>University of Technology Sydney; University of Technology Sydney; University of Technology Sydney; Deakin University; University of Melbourne; University of Tasmania; James Cook University; Deakin University</t>
  </si>
  <si>
    <t>Thomson, ACG (corresponding author), Univ Technol Sydney, Plant Funct Biol, Broadway, NSW 2007, Australia.</t>
  </si>
  <si>
    <t>alexandra.c.thomson@student.uts.edu.au</t>
  </si>
  <si>
    <t>York, Paul H./C-4120-2009; Thomson, Alex/AAH-3926-2020; Smith, Timothy/C-9283-2013; Ross, Donald/F-7607-2012; Sherman, Craig/A-2484-2010</t>
  </si>
  <si>
    <t>York, Paul H./0000-0003-3530-4146; Smith, Timothy/0000-0001-8612-8600; Keough, Michael/0000-0002-3382-3068; Thomson, Alexandra/0000-0003-0773-7665; Ross, Donald/0000-0002-8659-3833; Booth, David/0000-0002-8256-1412; Sherman, Craig/0000-0003-2099-0462</t>
  </si>
  <si>
    <t>Victorian Department of Sustainability and Environment</t>
  </si>
  <si>
    <t>We thank the Victorian Marine Science Consortium, Queenscliff, for use of their facilities. For assistance, we thank Rod Watson and Liz McGrath at VMSC Queenscliff, Melanie Purdy and Stacey Trevathan-Tackett at UTS and everyone involved at the Deakin University Centre for Integrative Ecology. We are grateful to both the University of Technology Sydney and Deakin University for technical support. This study was financially supported by a research grant from the Victorian Department of Sustainability and Environment: 'Seagrass resilience in Port Phillip Bay: aiming to develop better predictions of how seagrass responds to environmental change'.</t>
  </si>
  <si>
    <t>1559-2723</t>
  </si>
  <si>
    <t>1559-2731</t>
  </si>
  <si>
    <t>ESTUAR COAST</t>
  </si>
  <si>
    <t>Estuaries Coasts</t>
  </si>
  <si>
    <t>10.1007/s12237-014-9850-1</t>
  </si>
  <si>
    <t>Environmental Sciences; Marine &amp; Freshwater Biology</t>
  </si>
  <si>
    <t>CE1ZY</t>
  </si>
  <si>
    <t>WOS:000351613100017</t>
  </si>
  <si>
    <t>Astorga-España, MS; Galdón, BR; Rodríguez, EMR; Romero, CD</t>
  </si>
  <si>
    <t>Astorga-Espana, M. S.; Rodriguez Galdon, B.; Rodriguez Rodriguez, E. M.; Diaz Romero, C.</t>
  </si>
  <si>
    <t>Mineral and trace element concentrations in seaweeds from the sub-Antarctic ecoregion of Magallanes (Chile)</t>
  </si>
  <si>
    <t>JOURNAL OF FOOD COMPOSITION AND ANALYSIS</t>
  </si>
  <si>
    <t>Mineral and trace elements; Seaweed; Red algae; Green algae; Brown algae; Sub-Antarctic ecoregion of Magallanes; Dietary intake; Food analysis; Food composition</t>
  </si>
  <si>
    <t>NUTRITIONAL-VALUE; ALGAE; VARIABILITY; BIOSORPTION; REGION; MACRO; COAST</t>
  </si>
  <si>
    <t>The P, Na, K, Ca, Mg, Fe, Cu, Zn and Mn concentrations were determined in seventy-three samples of seaweeds belonging to different genera (classified as brown, red and green seaweeds), which were collected from three zones in the sub-Antarctic ecoregion of Magallanes (Chile). There were clear differences in the concentrations between the considered genera. Brown seaweed had the highest mean K (31.4 g/kg) and Ca (10.3 g/kg) concentrations compared with red (14.1 g/kg for K and 3.11 g/kg for Ca) and green (13.9 g/kg for K and 7.58 g/kg for Ca) seaweed, and green seaweed had the highest mean Mg (15.0 g/kg), Fe (1260 mg/kg) and Cu (7.46 mg/kg) concentrations. The consumption of a serving (8 g) from of the three groups of brown, red and green seaweed is a good source of Fe, Mg and Mn (&gt;25% of the Dietary Recommended Intake). Significant differences were observed in the mean concentrations of all the minerals and trace elements, except for Fe, Cu and Mn, between the three collection zones. Factor and discriminant analysis were used to differentiate the type of seaweed and sampling zone. Besides which, good classifications were obtained according to the type of seaweed using discriminant analysis. (c) 2014 Elsevier Inc. All rights reserved.</t>
  </si>
  <si>
    <t>[Astorga-Espana, M. S.] Univ Magallanes, Dept Sci &amp; Nat Resources, Punta Arenas, Chile; [Rodriguez Galdon, B.; Rodriguez Rodriguez, E. M.; Diaz Romero, C.] Univ La Laguna, Food Sci &amp; Nutr Area, Dept Chem Engn &amp; Pharmaceut Technol, San Cristobal la Laguna 38296, Santa Cruz De T, Spain</t>
  </si>
  <si>
    <t>Universidad de Magallanes; Universidad de la Laguna</t>
  </si>
  <si>
    <t>Astorga-España, MS (corresponding author), Univ Magallanes, Dept Sci &amp; Nat Resources, POB 113-D, Punta Arenas, Chile.</t>
  </si>
  <si>
    <t>msoledad.astorga@umag.cl</t>
  </si>
  <si>
    <t>Rodríguez-Galdón, Beatriz/AAB-7894-2020; Romero, Carlos Díaz/L-7358-2014; Rodriguez-Rodriguez, Elena M/B-8346-2015</t>
  </si>
  <si>
    <t>Rodríguez-Galdón, Beatriz/0000-0002-6934-1837; Rodriguez-Rodriguez, Elena M/0000-0003-3807-4593; Diaz Romero, Carlos/0000-0001-8314-4584; Astorga Espana, Maria Soledad/0000-0003-0647-7515</t>
  </si>
  <si>
    <t>Universidad de Magallanes [PR-F2-05CRN-09, PR-F4RN-07-08]; Regional Government of Magallanes</t>
  </si>
  <si>
    <t>Universidad de Magallanes; Regional Government of Magallanes</t>
  </si>
  <si>
    <t>This work was financed by Projects PR-F2-05CRN-09 and PR-F4RN-07-08 of the Universidad de Magallanes. We would also like to mention the collaboration of Project Diagnostico del Macrobentos en el AMCP-MU Francisco Coloane (financed by the Regional Government of Magallanes) and to thank Mrs. Ma Luisa Ojeda, Seremi of National Heritage (2007) for providing part of the samples. The authors gratefully acknowledge the help of Patrick Dennis for revising the English in this paper.</t>
  </si>
  <si>
    <t>0889-1575</t>
  </si>
  <si>
    <t>1096-0481</t>
  </si>
  <si>
    <t>J FOOD COMPOS ANAL</t>
  </si>
  <si>
    <t>J. Food Compos. Anal.</t>
  </si>
  <si>
    <t>10.1016/j.jfca.2014.11.010</t>
  </si>
  <si>
    <t>Chemistry, Applied; Food Science &amp; Technology</t>
  </si>
  <si>
    <t>Chemistry; Food Science &amp; Technology</t>
  </si>
  <si>
    <t>CD0SM</t>
  </si>
  <si>
    <t>WOS:000350784200010</t>
  </si>
  <si>
    <t>Bates, ML; Nash, SMB; Hawker, DW; Norbury, J; Stark, JS; Cropp, RA</t>
  </si>
  <si>
    <t>Bates, Michael L.; Nash, Susan M. Bengtson; Hawker, Darryl W.; Norbury, John; Stark, Jonny S.; Cropp, Roger A.</t>
  </si>
  <si>
    <t>Construction of a trophically complex near-shore Antarctic food web model using the Conservative Normal framework with structural coexistence</t>
  </si>
  <si>
    <t>JOURNAL OF MARINE SYSTEMS</t>
  </si>
  <si>
    <t>Ecoslistem modelling; Kolmogorov ecological systems; Conservative normal; Optimisation; Antarctic ecosystem</t>
  </si>
  <si>
    <t>KING-GEORGE-ISLAND; PRYDZ BAY; SOUTHERN-OCEAN; ADELIE LAND; POTTER COVE; ROSS SEA; PLANKTON; BIOMASS; DIET; PHYTOPLANKTON</t>
  </si>
  <si>
    <t>The analysis of trophically complex mathematical ecosystem models is typically carried out using numerical techniques because it is considered that the number and nonlinear nature of the equations involved makes progress using analytic techniques virtually impossible. Exploiting the properties of systems that are written in Kolmogorov form, the conservative normal (CN) framework articulates a number of ecological axioms that govern ecosystems. Previous work has shown that trophically simple models developed within the CN framework are mathematically tractable, simplifying analysis. By exploiting the properties of KoImogorov ecological systems it is possible to design particular properties, such as the property that all populations remain extant, into an ecological model. Here we demonstrate the usefulness of these results to construct a trophically complex ecosystem model. We also show that the properties of Kolmogorov ecological systems can be exploited to provide a computationally efficient method for the refinement of model parameters which can be used to precondition parameter values used in standard optimisation techniques, such as genetic algorithms, to significantly improve convergence towards a target equilibrium state. (C) 2014 Elsevier B.V. All rights reserved.</t>
  </si>
  <si>
    <t>[Bates, Michael L.; Nash, Susan M. Bengtson; Hawker, Darryl W.; Cropp, Roger A.] Griffith Univ, Griffith Sch Environm, Nathan, Qld 4111, Australia; [Norbury, John] Univ Oxford, Math Inst, Oxford OX2 6GG, England; [Stark, Jonny S.] Australian Antarctic Div, Kingston, Tas 7050, Australia</t>
  </si>
  <si>
    <t>Griffith University; University of Oxford; Australian Antarctic Division</t>
  </si>
  <si>
    <t>Bates, ML (corresponding author), Griffith Univ, Griffith Sch Environm, 170 Kessels Rd, Nathan, Qld 4111, Australia.</t>
  </si>
  <si>
    <t>m.bates@griffith.edu.au</t>
  </si>
  <si>
    <t>Stark, Jonathan/ABF-4025-2020; Bengtson Nash, Susan/GMX-4611-2022; Bengtson Nash, Susan/I-3942-2015; Cropp, Roger/C-1019-2008</t>
  </si>
  <si>
    <t>Stark, Jonathan/0000-0002-4268-8072; Bengtson Nash, Susan/0000-0001-5928-0850; Bengtson Nash, Susan/0000-0001-5928-0850; Bates, Michael/0000-0002-3729-1417; Cropp, Roger/0000-0001-9582-857X</t>
  </si>
  <si>
    <t>Australian Antarctic Science [4121]</t>
  </si>
  <si>
    <t>Australian Antarctic Science</t>
  </si>
  <si>
    <t>The authors would like to thank Maurice Levasseur for the helpful discussions on formulating the ecosystem. We would also like to thank two anonymous reviewers whose comments improved the manuscript. This project was made possible through funding from Australian Antarctic Science grant number 4121. The numerical solutions to the ecosystem were solved using the ODE module of SciPy (Oliphant, 2007) and plotting was done using matplotlib (Hunter, 2007). The genetic algorithm was developed using Distributed Evolutionary Algorithms in Python (DEAP; Fortin et al., 2012) and parallelised using Scalable Concurrent Operations in Python (SCOOP; Hold-Geoffroy et al., 2014).</t>
  </si>
  <si>
    <t>0924-7963</t>
  </si>
  <si>
    <t>1879-1573</t>
  </si>
  <si>
    <t>J MARINE SYST</t>
  </si>
  <si>
    <t>J. Mar. Syst.</t>
  </si>
  <si>
    <t>10.1016/j.jmarsys.2014.12.002</t>
  </si>
  <si>
    <t>Geosciences, Multidisciplinary; Marine &amp; Freshwater Biology; Oceanography</t>
  </si>
  <si>
    <t>Geology; Marine &amp; Freshwater Biology; Oceanography</t>
  </si>
  <si>
    <t>CD2OW</t>
  </si>
  <si>
    <t>WOS:000350919900001</t>
  </si>
  <si>
    <t>Bockheim, JG; Lupachev, AV; Blume, HP; Bölter, M; Simas, FNB; McLeod, M</t>
  </si>
  <si>
    <t>Bockheim, J. G.; Lupachev, A. V.; Blume, H. -P.; Boelter, M.; Simas, F. N. B.; McLeod, M.</t>
  </si>
  <si>
    <t>Distribution of soil taxa in Antarctica: A preliminary analysis</t>
  </si>
  <si>
    <t>GEODERMA</t>
  </si>
  <si>
    <t>Soil classification; Soil mapping; Antarctica</t>
  </si>
  <si>
    <t>MCMURDO DRY VALLEYS; EAST ANTARCTICA; VICTORIA LAND; MOUNTAINS; CRYOSOLS; CLASSIFICATION; GENESIS; BAY</t>
  </si>
  <si>
    <t>Only 035% (49,500 km(2)) of Antarctica is ice-free. These areas are scattered around the periphery of the continent and in interior mountain ranges, making soil mapping difficult. Here we compile the results of mapping in five of the nine ice-free areas that account for 79% of the ice-free area on a reconnaissance scale and interpret the distribution of soil subgroups in Soil Taxonomy. Soils of Antarctica are contained in four orders, dominantly Gelisols (84%), 13 suborders, 27 great groups, and 76 subgroups. Forty-five percent of the soils of Antarctica are Orthels, Gelisols that show minimal cryoturbation and occur in dry landscape positions; 38% of the soils are Turbels showing cryoturbation and occurring in more moist landscape positions. Only 16% of the soils of Antarctica lack permafrost in the control section and are classified as Entisols (Gel-great groups), Inceptisols (Gelepts suborder or Gelaquepts), or Histosols (Gel-great groups). These soils occur almost exclusively along the western Antarctic Peninsula and at elevations below 30 m in the South Shetland Islands (SSI) and South Orkney Islands (SOI). Typic Anhyorthels are the dominant soil subgroup comprising nearly 15,340 km(2), or 31% of the soils in Antarctica. These soils occur primarily in central and southern Victoria Land, but also occur in the Thiel and Pen-sacola Mountains and Shackleton Range, the Prince Charles Mountains, and the mountains of Queen Maud Land. Typic Haploturbels and Typic Anhyturbels occupy 14 and 13% of the soils of ice-free regions of Antarctica, respectively. Most abundant in central Victoria Land, they are common in most mountainous regions of Antarctica. The dominant soil processes of maritime Antarctica are cryoturbation, gleization, metallization, podzolization, paludization, and phosphatization. In coastal East Antarctica, the major soil processes are rubffication, salinization, calcification, pervection, and gleization. The predominant soil-forming processes in the Transantarctic Mountains include rubification, salinization, desert pavement formation, and permafrost development. Measures of pedodiversity will be valuable in the selection of protected areas in Antarctica. (C) 2015 Elsevier B.V. All rights reserved.</t>
  </si>
  <si>
    <t>[Bockheim, J. G.] Univ Wisconsin, Dept Soil Sci, Madison, WI 53706 USA; [Lupachev, A. V.] Russian Acad Sci, Inst Physicochem &amp; Biol Problems Soil Sci, Pushchino 142292, Russia; [Blume, H. -P.; Boelter, M.] Univ Kiel, Inst Ecol Res, Kiel, Germany; [Simas, F. N. B.] Univ Fed Vicosa, Dept Soils, Vicosa, MG, Brazil; [McLeod, M.] Landcare Res, Hamilton, New Zealand</t>
  </si>
  <si>
    <t>University of Wisconsin System; University of Wisconsin Madison; Russian Academy of Sciences; Pushchino Scientific Center for Biological Research (PSCBI) of the Russian Academy of Sciences; Institute of Physicohemical &amp; Biological Problems of Soil Science; University of Kiel; Universidade Federal de Vicosa; Landcare Research - New Zealand</t>
  </si>
  <si>
    <t>Bockheim, JG (corresponding author), Univ Wisconsin, Dept Soil Sci, 1525 Observ Dr, Madison, WI 53706 USA.</t>
  </si>
  <si>
    <t>bockheim@wisc.edu</t>
  </si>
  <si>
    <t>Lupachev, Alexey/J-6466-2018; Schaefer, Carlos Ernesto/AAY-4977-2020</t>
  </si>
  <si>
    <t>Lupachev, Alexey/0000-0003-0116-8828</t>
  </si>
  <si>
    <t>National Science Foundation; US Antarctic Program; New Zealand Foundation for Research, Science and Technology; New Zealand Antarctic Programme; National Council for Scientific and Technological Development; Brazilian Antarctic Program; Russian Foundation for Basic Research; Russian Antarctic Expedition; Australian and Polish Antarctic Programs; national grants to study soils in Antarctica</t>
  </si>
  <si>
    <t>National Science Foundation(National Science Foundation (NSF)); US Antarctic Program; New Zealand Foundation for Research, Science and Technology(New Zealand Foundation for Research, Science and Technology); New Zealand Antarctic Programme; National Council for Scientific and Technological Development(Conselho Nacional de Desenvolvimento Cientifico e Tecnologico (CNPQ)); Brazilian Antarctic Program; Russian Foundation for Basic Research(Russian Foundation for Basic Research (RFBR)Spanish Government); Russian Antarctic Expedition; Australian and Polish Antarctic Programs; national grants to study soils in Antarctica</t>
  </si>
  <si>
    <t>This project was supported by national grants to study soils in Antarctica, induding the National Science Foundation and the US Antarctic Program; the New Zealand Foundation for Research, Science and Technology and the New Zealand Antarctic Programme; the National Council for Scientific and Technological Development and the Brazilian Antarctic Program; the Russian Foundation for Basic Research and the Russian Antarctic Expedition, and the Australian and Polish Antarctic Programs (MB).</t>
  </si>
  <si>
    <t>0016-7061</t>
  </si>
  <si>
    <t>1872-6259</t>
  </si>
  <si>
    <t>Geoderma</t>
  </si>
  <si>
    <t>10.1016/j.geoderma.2015.01.017</t>
  </si>
  <si>
    <t>Soil Science</t>
  </si>
  <si>
    <t>Agriculture</t>
  </si>
  <si>
    <t>CC7AL</t>
  </si>
  <si>
    <t>WOS:000350520000013</t>
  </si>
  <si>
    <t>de Figueiredo, JCD; Oliveira, JAD; de Souza, GSM; Froner, YA; Souza, LAC; Zarankin, A</t>
  </si>
  <si>
    <t>D'Ars de Figueiredo Junior, Joao Cura; dos Santos Oliveira, Juliana Alves; Marques de Souza, Glaucia Silva; Froner, Yacy-Ara; Souza, Luiz A. C.; Zarankin, Andres</t>
  </si>
  <si>
    <t>Characterization of corrosion products on metals excavated from seal hunters' occupation in Antarctica in the eighteenth and nineteenth centuries</t>
  </si>
  <si>
    <t>STUDIES IN CONSERVATION</t>
  </si>
  <si>
    <t>Antarctic archaeology; Metallic artifacts; Infrared spectroscopy; X-ray diffraction; X-ray fluorescence; Scanning electron microscopy</t>
  </si>
  <si>
    <t>SOIL; BRONZES</t>
  </si>
  <si>
    <t>The Project 'White Landscapes: Archaeology and Anthropology in Antarctica' studies human occupation in Antarctica. Many archaeological artifacts were found in the Livingston Islands, which are valuable in understanding the seal hunters' occupation in the eighteenth and nineteenth centuries. The purpose of this paper is to discuss the characterization of corrosion products on excavated iron, lead, and copper metallic artifact alloys. The characterizations were carried out by X-ray diffraction, X-ray fluorescence, spectroscopy of absorption in infrared, and scanning electron microscopy. Goethite, hydroxypyromorphite, malachite, and pseudomalachite were the major products found in iron, lead, and copper artifacts, respectively. The origin of phosphate corrosion products was attributed to phosphorus in the soil, due to sealers' activities.</t>
  </si>
  <si>
    <t>[D'Ars de Figueiredo Junior, Joao Cura; Marques de Souza, Glaucia Silva; Froner, Yacy-Ara; Souza, Luiz A. C.] Univ Fed Minas Gerais, Dept Fine Arts, Sch Fine Arts, Belo Horizonte, MG, Brazil; [dos Santos Oliveira, Juliana Alves] Univ Fed Minas Gerais, Inst Exact Sci, Dept Chem, Belo Horizonte, MG, Brazil; [Zarankin, Andres] Univ Fed Minas Gerais, Fac Philosophy &amp; Human Sci, Dept Anthropol &amp; Sociol, Belo Horizonte, MG, Brazil</t>
  </si>
  <si>
    <t>Universidade Federal de Minas Gerais; Universidade Federal de Minas Gerais; Universidade Federal de Minas Gerais</t>
  </si>
  <si>
    <t>de Figueiredo, JCD (corresponding author), Univ Fed Minas Gerais, Dept Fine Arts, Sch Fine Arts, Belo Horizonte, MG, Brazil.</t>
  </si>
  <si>
    <t>joaoc@ufmg.br</t>
  </si>
  <si>
    <t>Souza, Luiz A C/G-2963-2017; Zarankin, Andres/AAI-3419-2020; de Figueiredo, João Cura D'Ars/A-6507-2008; Froner, Yacy Ara/JQI-3374-2023</t>
  </si>
  <si>
    <t>Zarankin, Andres/0000-0002-0020-0606; de Figueiredo, João Cura D'Ars/0000-0002-4901-1005;</t>
  </si>
  <si>
    <t>Brazilian National Council for Scientific and Technological Development (CNPq); Center of Microscopy at Universidade Federal de Minas Gerais; Molecular Materials Chemistry Laboratory (LQMMOL) at Universidade Federal de Minas Gerais</t>
  </si>
  <si>
    <t>Brazilian National Council for Scientific and Technological Development (CNPq)(Conselho Nacional de Desenvolvimento Cientifico e Tecnologico (CNPQ)); Center of Microscopy at Universidade Federal de Minas Gerais; Molecular Materials Chemistry Laboratory (LQMMOL) at Universidade Federal de Minas Gerais</t>
  </si>
  <si>
    <t>We would like to acknowledge the financial support from the Brazilian National Council for Scientific and Technological Development (CNPq), Center of Microscopy at Universidade Federal de Minas Gerais (http://www.microscopia.ufmg.br) for providing equipment and technical support for experiments involving electron microscopy and the Molecular Materials Chemistry Laboratory (LQMMOL) at Universidade Federal de Minas Gerais.</t>
  </si>
  <si>
    <t>0039-3630</t>
  </si>
  <si>
    <t>2047-0584</t>
  </si>
  <si>
    <t>STUD CONSERV</t>
  </si>
  <si>
    <t>Stud. Conserv.</t>
  </si>
  <si>
    <t>10.1179/2047058414Y.0000000138</t>
  </si>
  <si>
    <t>Archaeology; Art; Chemistry, Applied; Chemistry, Analytical; Spectroscopy</t>
  </si>
  <si>
    <t>Science Citation Index Expanded (SCI-EXPANDED); Arts &amp; Humanities Citation Index (A&amp;HCI)</t>
  </si>
  <si>
    <t>Archaeology; Art; Chemistry; Spectroscopy</t>
  </si>
  <si>
    <t>CH0KE</t>
  </si>
  <si>
    <t>WOS:000353707600007</t>
  </si>
  <si>
    <t>Allcock, AL; von Boletzky, S; Bonnaud-Ponticelli, L; Brunetti, NE; Cazzaniga, NJ; Hochberg, E; Ivanovic, M; Lipinski, M; Marian, JEAR; Nigmatullin, C; Nixon, M; Robin, JP; Rodhouse, PGK; Vidal, EAG</t>
  </si>
  <si>
    <t>Allcock, A. Louise; von Boletzky, Sigurd; Bonnaud-Ponticelli, Laure; Brunetti, Norma E.; Cazzaniga, Nestor J.; Hochberg, Eric; Ivanovic, Marcela; Lipinski, Marek; Marian, Jose E. A. R.; Nigmatullin, Chingis; Nixon, Marion; Robin, Jean-Paul; Rodhouse, Paul G. K.; Vidal, Erica A. G.</t>
  </si>
  <si>
    <t>The role of female cephalopod researchers: past and present</t>
  </si>
  <si>
    <t>JOURNAL OF NATURAL HISTORY</t>
  </si>
  <si>
    <t>Cephalopoda; STEM; women; gender</t>
  </si>
  <si>
    <t>GENUS; REVISION; WOMEN; RECOMMENDATION; OCTOPODIDAE; ATLANTIC; MOLLUSCA; BIOLOGY</t>
  </si>
  <si>
    <t>This paper explores the contribution that women past and present have made to cephalopod research. It includes short biographies of eight female cephalopod researchers who are now deceased: Jeanne Villepreux-Power, Anne Massy, Grace Watkinson, Grace Pickford, Anna Bidder, Zulma Castellanos, Katharina Mangold and Martina Roeleveld. In addition, biographies are provided for six female cephalopod researchers who are now retired but who have made an enormous contribution to cephalopod knowledge during their lifetimes: Nancy Voss, Marion Nixon, Joyce Wells, Julia Filippova, Eve Boucaud-Camou, and Renata Boucher-Rodoni. Online supplementary information provides a bibliography of the research outputs of these 14 researchers, who between them, since 1837 have published more than 800 scientific papers making an in-depth contribution to the field of cephalopod research.</t>
  </si>
  <si>
    <t>[Allcock, A. Louise] Natl Univ Ireland Galway, Ryan Inst, Galway, Ireland; [Allcock, A. Louise] Natl Univ Ireland Galway, Sch Nat Sci, Galway, Ireland; [von Boletzky, Sigurd] Observ Oceanol Banyuls, Lab Arago, Banyuls Sur Mer, France; [Bonnaud-Ponticelli, Laure] Univ Paris 04, MNHN, UMR Biol Organismes &amp; Ecosyst Aquat BOREA, DMPA,MNHN CNRS 7208,IRD 207,UPMC,UCBN, Paris, France; [Brunetti, Norma E.; Ivanovic, Marcela] Inst Nacl Invest &amp; Desarrollo Pesquero INIDEP, Mar Del Plata, Buenos Aires, Argentina; [Cazzaniga, Nestor J.] Univ Nacl Sur, Dept Biol Bioquim &amp; Farm, RA-8000 Bahia Blanca, Buenos Aires, Argentina; [Hochberg, Eric] Santa Barbara Museum Nat Hist, Dept Invertebrate Zool, Santa Barbara, CA USA; [Lipinski, Marek] Rhodes Univ, Dept Ichthyol &amp; Fisheries Sci, Grahamstown, South Africa; [Marian, Jose E. A. R.] Univ Sao Paulo, Dept Zool, Inst Biociencias, Sao Paulo, Brazil; [Nigmatullin, Chingis] Atlantic Res Inst Fisheries &amp; Oceanog AtlantNIRO, Kaliningrad, Russia; [Nixon, Marion] Old Lib, Broughton, Cambs, England; [Robin, Jean-Paul] Univ Caen Basse Normandie, UMR BOREA Biol ORganismes &amp; Ecosyst Aquat, Caen, France; [Rodhouse, Paul G. K.] British Antarctic Survey, Cambridge CB3 0ET, England; [Vidal, Erica A. G.] Univ Fed Parana UFPR, Ctr Estudos Mar, Pontal Do Parana, Brazil</t>
  </si>
  <si>
    <t>Ollscoil na Gaillimhe-University of Galway; Ollscoil na Gaillimhe-University of Galway; Sorbonne Universite; Sorbonne Universite; Centre National de la Recherche Scientifique (CNRS); CNRS - Institute of Ecology &amp; Environment (INEE); Museum National d'Histoire Naturelle (MNHN); Institut de Recherche pour le Developpement (IRD); National Fisheries Research &amp; Development Institute (INIDEP); Consejo Nacional de Investigaciones Cientificas y Tecnicas (CONICET); National University of the South; Rhodes University; Universidade de Sao Paulo; Research lnstitute of Fisheries &amp; Oceanography; Sorbonne Universite; Universite de Caen Normandie; UK Research &amp; Innovation (UKRI); Natural Environment Research Council (NERC); NERC British Antarctic Survey; Universidade Federal do Parana</t>
  </si>
  <si>
    <t>Allcock, AL (corresponding author), Natl Univ Ireland Galway, Ryan Inst, Univ Rd, Galway, Ireland.</t>
  </si>
  <si>
    <t>louise.allcock@nuigalway.ie</t>
  </si>
  <si>
    <t>Marian, José Eduardo/C-7047-2013; Marian, José Eduardo Amoroso Rodriguez/V-3244-2019; Allcock, Louise/A-7359-2012; Vidal, Erica Alves Gonzalez/C-9032-2013</t>
  </si>
  <si>
    <t>Marian, José Eduardo/0000-0001-7894-0391; Marian, José Eduardo Amoroso Rodriguez/0000-0001-7894-0391; Allcock, Louise/0000-0002-4806-0040; Vidal, Erica Alves Gonzalez/0000-0003-4781-8670; Robin, Jean-Paul/0000-0002-7480-2378</t>
  </si>
  <si>
    <t>NERC [bas010011] Funding Source: UKRI; Natural Environment Research Council [bas010011] Funding Source: researchfish</t>
  </si>
  <si>
    <t>0022-2933</t>
  </si>
  <si>
    <t>1464-5262</t>
  </si>
  <si>
    <t>J NAT HIST</t>
  </si>
  <si>
    <t>J. Nat. Hist.</t>
  </si>
  <si>
    <t>APR 30</t>
  </si>
  <si>
    <t>21-24</t>
  </si>
  <si>
    <t>10.1080/00222933.2015.1037088</t>
  </si>
  <si>
    <t>Biodiversity Conservation; Ecology; Zoology</t>
  </si>
  <si>
    <t>Biodiversity &amp; Conservation; Environmental Sciences &amp; Ecology; Zoology</t>
  </si>
  <si>
    <t>CI1BH</t>
  </si>
  <si>
    <t>WOS:000354474700001</t>
  </si>
  <si>
    <t>van Ommen, T</t>
  </si>
  <si>
    <t>van Ommen, Tas</t>
  </si>
  <si>
    <t>PALAEOCLIMATE Northern push for the bipolar see-saw</t>
  </si>
  <si>
    <t>NATURE</t>
  </si>
  <si>
    <t>LAST DEGLACIATION</t>
  </si>
  <si>
    <t>Antarctic ice-core data show that abrupt changes of climate in the Northern Hemisphere in the last glacial period preceded associated shifts in Antarctica by about 200 years - indicating an oceanic coupling process. See Letter p.661</t>
  </si>
  <si>
    <t>Univ Tasmania, Australian Antarctic Div, Antarctic Climate &amp; Ecosyst CRC, Hobart, Tas 7050, Australia</t>
  </si>
  <si>
    <t>Australian Antarctic Division; University of Tasmania</t>
  </si>
  <si>
    <t>van Ommen, T (corresponding author), Univ Tasmania, Australian Antarctic Div, Antarctic Climate &amp; Ecosyst CRC, Hobart, Tas 7050, Australia.</t>
  </si>
  <si>
    <t>tas.van.ommen@aad.gov.au</t>
  </si>
  <si>
    <t>van Ommen, Tas/B-5020-2012</t>
  </si>
  <si>
    <t>van Ommen, Tas/0000-0002-2463-1718</t>
  </si>
  <si>
    <t>MACMILLAN BUILDING, 4 CRINAN ST, LONDON N1 9XW, ENGLAND</t>
  </si>
  <si>
    <t>0028-0836</t>
  </si>
  <si>
    <t>1476-4687</t>
  </si>
  <si>
    <t>Nature</t>
  </si>
  <si>
    <t>10.1038/520630a</t>
  </si>
  <si>
    <t>CH0DQ</t>
  </si>
  <si>
    <t>WOS:000353689700039</t>
  </si>
  <si>
    <t>Buizert, C; Adrian, B; Ahn, J; Albert, M; Alley, RB; Baggenstos, D; Bauska, TK; Bay, RC; Bencivengo, BB; Bentley, CR; Brook, EJ; Chellman, NJ; Clow, GD; Cole-Dai, J; Conway, H; Cravens, E; Cuffey, KM; Dunbar, NW; Edwards, JS; Fegyveresi, JM; Ferris, DG; Fitzpatrick, JJ; Fudge, TJ; Gibson, CJ; Gkinis, V; Goetz, JJ; Gregory, S; Hargreaves, GM; Iverson, N; Johnson, JA; Jones, TR; Kalk, ML; Kippenhan, MJ; Koffman, BG; Kreutz, K; Kuhl, TW; Lebar, DA; Lee, JE; Marcott, SA; Markle, BR; Maselli, OJ; McConnell, JR; McGwire, KC; Mitchell, LE; Mortensen, NB; Neff, PD; Nishiizumi, K; Nunn, RM; Orsi, AJ; Pasteris, DR; Pedro, JB; Pettit, EC; Price, PB; Priscu, JC; Rhodes, RH; Rosen, JL; Schauer, AJ; Schoenemann, SW; Sendelbach, PJ; Severinghaus, JP; Shturmakov, AJ; Sigl, M; Slawny, KR; Souney, JM; Sowers, TA; Spencer, MK; Steig, EJ; Taylor, KC; Twickler, MS; Vaughn, BH; Voigt, DE; Waddington, ED; Welten, KC; Wendricks, AW; White, JWC; Winstrup, M; Wong, GJ; Woodruff, TE</t>
  </si>
  <si>
    <t>Buizert, Christo; Adrian, Betty; Ahn, Jinho; Albert, Mary; Alley, Richard B.; Baggenstos, Daniel; Bauska, Thomas K.; Bay, Ryan C.; Bencivengo, Brian B.; Bentley, Charles R.; Brook, Edward J.; Chellman, Nathan J.; Clow, Gary D.; Cole-Dai, Jihong; Conway, Howard; Cravens, Eric; Cuffey, Kurt M.; Dunbar, Nelia W.; Edwards, Jon S.; Fegyveresi, John M.; Ferris, Dave G.; Fitzpatrick, Joan J.; Fudge, T. J.; Gibson, Chris J.; Gkinis, Vasileios; Goetz, Joshua J.; Gregory, Stephanie; Hargreaves, Geoffrey M.; Iverson, Nels; Johnson, Jay A.; Jones, Tyler R.; Kalk, Michael L.; Kippenhan, Matthew J.; Koffman, Bess G.; Kreutz, Karl; Kuhl, Tanner W.; Lebar, Donald A.; Lee, James E.; Marcott, Shaun A.; Markle, Bradley R.; Maselli, Olivia J.; McConnell, Joseph R.; McGwire, Kenneth C.; Mitchell, Logan E.; Mortensen, Nicolai B.; Neff, Peter D.; Nishiizumi, Kunihiko; Nunn, Richard M.; Orsi, Anais J.; Pasteris, Daniel R.; Pedro, Joel B.; Pettit, Erin C.; Price, P. Buford; Priscu, John C.; Rhodes, Rachael H.; Rosen, Julia L.; Schauer, Andrew J.; Schoenemann, Spruce W.; Sendelbach, Paul J.; Severinghaus, Jeffrey P.; Shturmakov, Alexander J.; Sigl, Michael; Slawny, Kristina R.; Souney, Joseph M.; Sowers, Todd A.; Spencer, Matthew K.; Steig, Eric J.; Taylor, Kendrick C.; Twickler, Mark S.; Vaughn, Bruce H.; Voigt, Donald E.; Waddington, Edwin D.; Welten, Kees C.; Wendricks, Anthony W.; White, James W. C.; Winstrup, Mai; Wong, Gifford J.; Woodruff, Thomas E.</t>
  </si>
  <si>
    <t>WAIS Divide Project Members</t>
  </si>
  <si>
    <t>Precise interpolar phasing of abrupt climate change during the last ice age</t>
  </si>
  <si>
    <t>ANTARCTIC ICE; CHRONOLOGY AICC2012; ATMOSPHERIC CO2; BIPOLAR SEESAW; CORE RECORD; WAIS DIVIDE; POLAR ICE; GREENLAND; AIR; SCALE</t>
  </si>
  <si>
    <t>The last glacial period exhibited abrupt Dansgaard-Oeschger climatic oscillations, evidence of which is preserved in a variety of Northern Hemisphere palaeodimate archives'. Ice cores show that Antarctica cooled during the warm phases of the Greenland Dansgaard-Oeschger cycle and vice versa''', suggesting an interhemispheric redistribution of heat through a mechanism called the bipolar seesaw(4-6). Variations in the Atlantic meridional overturning circulation (AMOC) strength are thought to have been important, but much uncertainty remains regarding the dynamics and trigger of these abrupt events'. Key information is contained in the relative phasing of hemispheric climate variations, yet the large, poorly constrained difference between gas age and ice age and the relatively low resolution of methane records from Antarctic ice cores have so far precluded methane-based synchronization at the required sub-centennial precision''''. Here we use a recently drilled high-accumulation Antarctic ice core to show that, on average, abrupt Greenland warming leads the corresponding Antarctic cooling onset by 218 +/- 92 years (2 sigma a) for DansgaardOeschger events, including the Bolling event; Greenland cooling leads the corresponding onset of Antarctic warming by 208 +/- 96 years. Our results demonstrate a north-to-south directionality of the abrupt climatic signal, which is propagated to the Southern Hemisphere high latitudes by oceanic rather than atmospheric processes. The similar interpolar phasing of warming and cooling transitions suggests that the transfer time of the climatic signal is independent of the AMOC background state. Our findings confirm a central role for ocean circulation in the bipolar seesaw and provide clear criteria for assessing hypotheses and model simulations of Dansgaard-Oeschger dynamics.</t>
  </si>
  <si>
    <t>[Buizert, Christo; Bauska, Thomas K.; Brook, Edward J.; Edwards, Jon S.; Kalk, Michael L.; Lee, James E.; Marcott, Shaun A.; Mitchell, Logan E.; Rhodes, Rachael H.; Rosen, Julia L.] Oregon State Univ, Coll Earth Ocean &amp; Atmospher Sci, Corvallis, OR 97331 USA; [Adrian, Betty; Bencivengo, Brian B.; Hargreaves, Geoffrey M.; Nunn, Richard M.] US Geol Survey, Natl Ice Core Lab, Denver, CO 80225 USA; [Ahn, Jinho] Seoul Natl Univ, Sch Earth &amp; Environm Sci, Seoul 151742, South Korea; [Albert, Mary; Gregory, Stephanie] Dartmouth Coll, Thayer Sch Engn, Hanover, NH 03755 USA; [Alley, Richard B.; Fegyveresi, John M.; Sowers, Todd A.; Voigt, Donald E.] Penn State Univ, Dept Geosci, University Pk, PA 16802 USA; [Baggenstos, Daniel; Orsi, Anais J.; Severinghaus, Jeffrey P.] Univ Calif San Diego, Scripps Inst Oceanog, La Jolla, CA 92093 USA; [Bay, Ryan C.; Price, P. Buford] Univ Calif Berkeley, Dept Phys, Berkeley, CA 94720 USA; [Bentley, Charles R.; Gibson, Chris J.; Goetz, Joshua J.; Johnson, Jay A.; Kuhl, Tanner W.; Lebar, Donald A.; Mortensen, Nicolai B.; Sendelbach, Paul J.; Shturmakov, Alexander J.; Slawny, Kristina R.; Wendricks, Anthony W.] Univ Wisconsin, Ice Drilling Design &amp; Operat, Madison, WI 53706 USA; [Chellman, Nathan J.; Maselli, Olivia J.; McConnell, Joseph R.; McGwire, Kenneth C.; Pasteris, Daniel R.; Sigl, Michael; Taylor, Kendrick C.] Nevada Syst Higher Educ, Desert Res Inst, Reno, NV 89512 USA; [Clow, Gary D.] US Geol Survey, Boulder, CO 80309 USA; [Cole-Dai, Jihong; Ferris, Dave G.] S Dakota State Univ, Dept Chem &amp; Biochem, Brookings, SD 57007 USA; [Conway, Howard; Fudge, T. J.; Markle, Bradley R.; Schauer, Andrew J.; Schoenemann, Spruce W.; Steig, Eric J.; Waddington, Edwin D.; Winstrup, Mai] Univ Washington, Dept Earth &amp; Space Sci, Seattle, WA 98195 USA; [Cravens, Eric] ADC Management Serv, Lakewood, CO 80226 USA; [Cuffey, Kurt M.] Univ Calif Berkeley, Dept Geog, Berkeley, CA 94709 USA; [Dunbar, Nelia W.; Iverson, Nels] New Mexico Inst Min &amp; Technol, Earth &amp; Environm Sci Dept, Socorro, NM 87801 USA; [Fitzpatrick, Joan J.] US Geol Survey, Denver, CO 80225 USA; [Gkinis, Vasileios; Jones, Tyler R.; Vaughn, Bruce H.; White, James W. C.] Univ Colorado, Inst Arctic &amp; Alpine Res, Boulder, CO 80309 USA; [Gkinis, Vasileios; Pedro, Joel B.; Winstrup, Mai] Univ Copenhagen, Ctr Ice &amp; Climate, DK-2100 Copenhagen O, Denmark; [Kippenhan, Matthew J.] Antarctic Support Contract, Lockheed Martin US Antarctic Program, Centennial, CO 80112 USA; [Koffman, Bess G.] Columbia Univ, Lamont Doherty Earth Observ, Palisades, NY 10964 USA; [Kreutz, Karl] Univ Maine, Climate Change Inst, Orono, ME 04469 USA; [Kreutz, Karl] Univ Maine, Sch Earth &amp; Climate Sci, Orono, ME 04469 USA; [Marcott, Shaun A.] Univ Wisconsin, Madison, WI 53706 USA; [Neff, Peter D.] Victoria Univ Wellington, Antarctic Res Ctr, Wellington 6012, New Zealand; [Nishiizumi, Kunihiko; Welten, Kees C.] Univ Calif Berkeley, Space Sci Lab, Berkeley, CA 94720 USA; [Orsi, Anais J.] Inst Pierre Simon Laplace, Lab Sci Climat &amp; Environm, F-91191 Gif Sur Yvette, France; [Pedro, Joel B.] Univ Washington, Joint Inst Study Atmosphere &amp; Oceans, Seattle, WA 98195 USA; [Pettit, Erin C.] Univ Alaska Fairbanks, Dept Geosci, Fairbanks, AK 99775 USA; [Priscu, John C.] Montana State Univ, Dept Land Resources &amp; Environm Sci, Bozeman, MT 59717 USA; [Souney, Joseph M.; Twickler, Mark S.] Univ New Hampshire, Inst Study Earth Oceans &amp; Space, Durham, NH 03824 USA; [Spencer, Matthew K.] Lake Super State Univ, Sch Phys Sci, Sault Sainte Marie, MI 49783 USA; [Wong, Gifford J.] Dartmouth Coll, Dept Earth Sci, Hanover, NH 03755 USA; [Woodruff, Thomas E.] Purdue Univ, PRIME Lab, W Lafayette, IN 47907 USA</t>
  </si>
  <si>
    <t>Oregon State University; United States Department of the Interior; United States Geological Survey; Seoul National University (SNU); Dartmouth College; Pennsylvania Commonwealth System of Higher Education (PCSHE); Pennsylvania State University; Pennsylvania State University - University Park; University of California System; University of California San Diego; Scripps Institution of Oceanography; University of California System; University of California Berkeley; University of Wisconsin System; University of Wisconsin Madison; Nevada System of Higher Education (NSHE); Desert Research Institute NSHE; United States Department of the Interior; United States Geological Survey; South Dakota State University; University of Washington; University of Washington Seattle; University of California System; University of California Berkeley; New Mexico Institute of Mining Technology; United States Department of the Interior; United States Geological Survey; University of Colorado System; University of Colorado Boulder; University of Copenhagen; Columbia University; University of Maine System; University of Maine Orono; University of Maine System; University of Maine Orono; University of Wisconsin System; University of Wisconsin Madison; Victoria University Wellington; University of California System; University of California Berkeley; CEA; Centre National de la Recherche Scientifique (CNRS); Universite Paris Saclay; Universite Paris Cite; University of Washington; University of Washington Seattle; University of Alaska System; University of Alaska Fairbanks; Montana State University System; Montana State University Bozeman; University System Of New Hampshire; University of New Hampshire; Dartmouth College; Purdue University System; Purdue University</t>
  </si>
  <si>
    <t>Buizert, C (corresponding author), Oregon State Univ, Coll Earth Ocean &amp; Atmospher Sci, Corvallis, OR 97331 USA.</t>
  </si>
  <si>
    <t>buizertc@science.oregonstate.edu</t>
  </si>
  <si>
    <t>Pedro, Joel Benjamin/L-8918-2019; Baggenstos, Daniel/AAK-5751-2021; Pedro, Joel/M-5632-2014; Mitchell, Logan E/A-5481-2011; Markle, Bradley R/I-6132-2019; Gkinis, Vasileios/E-8185-2011; Dunbar, Nelia W./HZL-8693-2023; Steig, Eric J/G-9088-2015; Marcott, Shaun A/L-7098-2015; Neff, Peter David/ABB-7688-2021; Cole-Dai, Jihong/B-2510-2009; Brook, Edward/AAB-7807-2021; White, James W.C./A-7845-2009; Vaughn, Bruce/AAO-8867-2020; Taylor, Kendrick/A-3469-2016; Winstrup, Mai/M-5844-2014</t>
  </si>
  <si>
    <t>Pedro, Joel Benjamin/0000-0002-0728-2712; Baggenstos, Daniel/0000-0001-9756-6884; Pedro, Joel/0000-0002-0728-2712; Mitchell, Logan E/0000-0002-8749-954X; Gkinis, Vasileios/0000-0002-5910-1549; Dunbar, Nelia W./0000-0002-5181-937X; Marcott, Shaun A/0000-0003-3264-0523; Cole-Dai, Jihong/0000-0003-0921-5916; Ferris, David/0000-0003-2336-6163; Welten, Kees/0000-0001-8577-6753; Neff, Peter/0000-0003-1697-0936; Souney, Joseph/0000-0002-1492-6432; Buizert, Christo/0000-0002-2227-1747; Fudge, Tyler/0000-0002-6818-7479; Albert, Mary/0000-0001-7842-2359; Bauska, Thomas/0000-0003-1901-0367; Koffman, Bess/0000-0002-9451-4138; Iverson, Nels/0000-0002-7110-5040; Schauer, Andrew/0000-0002-5941-5396; Taylor, Kendrick/0000-0001-8535-1261; Lee, James/0000-0002-9137-1530; Winstrup, Mai/0000-0002-4794-4004; Conway, Howard/0000-0003-4634-3474; Rhodes, Rachael/0000-0001-7511-1969; Pettit, Erin Christine/0000-0002-6765-9841; VAUGHN, BRUCE/0000-0001-6503-957X; Markle, Bradley/0000-0002-2282-6546</t>
  </si>
  <si>
    <t>US National Science foundation [0944078, 0841308, 1043528, 1142173, 1204172, 1142041, 1043518, 0839066, 0087345, 0944191, 0539232, 0537661, 1142069, 1142115, 0841135, 0839093, 1142166]; USGS Climate and Land Use Change Program; NOM Climate and Global Change Fellowship Program; illum Foundation; Joint Institute for the Study of the Atmosphere and Ocean; Korea Polar Research Institute [PE15010]; WAIS Divide Science Coordination Office at the Desert Research Institute of Nevada; Ice Drilling Program Office and Ice Drilling Design and Operations group for coring activities; NICL; Raytheon Polar Services for logistics support in Antarctica; 109th New York Air National Guard for airlift in Antarctica; The US National Science foundation [1142164, 1142178, 0538657, 1043500, 0944584, 1043313, 0537930, 1043092, 0230149, 0230396, 0440817, 0440819, 0944348, 0944266, 0839137, 0537593, 1043167]; Directorate For Geosciences [1142173] Funding Source: National Science Foundation; Division Of Polar Programs; Directorate For Geosciences [0230149, 0944191, 0440817, 0230396, 0440819] Funding Source: National Science Foundation; Office Of Internatl Science &amp;Engineering; Office Of The Director [0968391] Funding Source: National Science Foundation; Office of Polar Programs (OPP) [1142173] Funding Source: National Science Foundation; Office of Polar Programs (OPP); Directorate For Geosciences [0944197, 1142041, 1142115, 1443328, 0944348, 1043092, 1142178] Funding Source: National Science Foundation; Office of Polar Programs (OPP); Directorate For Geosciences [1043528, 1043518, 1043508, 1043421, 1142166, 1142069, 1043167] Funding Source: National Science Foundation; Office Of The Director; EPSCoR [1101245] Funding Source: National Science Foundation</t>
  </si>
  <si>
    <t>US National Science foundation(National Science Foundation (NSF)); USGS Climate and Land Use Change Program(United States Geological Survey); NOM Climate and Global Change Fellowship Program; illum Foundation; Joint Institute for the Study of the Atmosphere and Ocean; Korea Polar Research Institute(Korea Polar Research Institute of Marine Research Placement (KOPRI)); WAIS Divide Science Coordination Office at the Desert Research Institute of Nevada; Ice Drilling Program Office and Ice Drilling Design and Operations group for coring activities; NICL; Raytheon Polar Services for logistics support in Antarctica; 109th New York Air National Guard for airlift in Antarctica; The US National Science foundation(National Science Foundation (NSF)); Directorate For Geosciences(National Science Foundation (NSF)NSF - Directorate for Geosciences (GEO)); Division Of Polar Programs; Directorate For Geosciences(National Science Foundation (NSF)NSF - Directorate for Geosciences (GEO)); Office Of Internatl Science &amp;Engineering; Office Of The Director(National Science Foundation (NSF)NSF - Office of the Director (OD)); Office of Polar Programs (OPP)(National Science Foundation (NSF)NSF - Directorate for Geosciences (GEO)); Office of Polar Programs (OPP); Directorate For Geosciences(National Science Foundation (NSF)NSF - Directorate for Geosciences (GEO)); Office of Polar Programs (OPP); Directorate For Geosciences(National Science Foundation (NSF)NSF - Directorate for Geosciences (GEO)); Office Of The Director; EPSCoR(National Science Foundation (NSF)NSF - Office of the Director (OD)NSF - Office of Integrative Activities (OIA))</t>
  </si>
  <si>
    <t>We thank the WAIS Divide Drilling Team (2006-2013) (E Morton, P. Cassidy, M. Jayred, J. Robinson, S. Polishinski, J. Koehler, L Albershardt, J. Goetz, B. Gross, R. Kuhn, S. Haman, W. Neumeister, C. Zander, J. Kyne, L. Augustin, B. Folmer, S. B. Hansen, E. Alexander and J. Fowler) and the dozens of core handlers who processed the ice core in the field and at the National Ice Core Laboratory (NICL). This work is funded through the US National Science foundation grants 0944078,0841308 (to M.A.), 1043528 (to R.B.A., D.E.V. and J.M.F.), 1142173 (to R.B.),1204172,1142041, 1043518 (to E.J.B.), 0839066 (to J.C.-D.), 0087345, 0944191 (to H.C. and E.D.W.), 0539232, 0537661 (to K.M.C.), 1142069, 1142115 (to N.W.D.), 0841135 (to IDDO), 0839093, 1142166 (to J.R.M.), 0440819, 1142164 (to K.C.M.), 1142178 (to P.B.P.), 0538657 (to J.P.S.), 1043500, 0944584 (to T.A.S.), 1043313 (to M.K.S), 0537930, 1043092 (to E.J.S.), 0230149,0230396, 0440817, 0440819,0944191, 0944348 (to K.C.T.), 0944266 (to M.S.T.), 0839137 (to K.C.W. and K.N.), 0537593 and 1043167 (to J.W.C.W.); the USGS Climate and Land Use Change Program (to G.D.C. and J.J.F); the NOM Climate and Global Change Fellowship Program,administered by the University Corporation for Atmospheric Research (to C.B.); the Villum Foundation (to M.W.); the Joint Institute for the Study of the Atmosphere and Ocean (to J.B.P., JISAO contribution no. 2343); and the Korea Polar Research Institute, grant PE15010 (to J.A.). The National Science Foundation Office of Polar Programs also funded the WAIS Divide Science Coordination Office at the Desert Research Institute of Nevada and University of New Hampshire for the collection and distribution of the WAIS Divide ice core and related tasks; the Ice Drilling Program Office and Ice Drilling Design and Operations group for coring activities; the NICL for curation of the core; Raytheon Polar Services for logistics support in Antarctica; and the 109th New York Air National Guard for airlift in Antarctica.</t>
  </si>
  <si>
    <t>U169</t>
  </si>
  <si>
    <t>10.1038/nature14401</t>
  </si>
  <si>
    <t>Y</t>
  </si>
  <si>
    <t>N</t>
  </si>
  <si>
    <t>WOS:000353689700046</t>
  </si>
  <si>
    <t>Kirillin, GB; Forrest, AL; Graves, KE; Fischer, A; Engelhardt, C; Laval, BE</t>
  </si>
  <si>
    <t>Kirillin, G. B.; Forrest, A. L.; Graves, K. E.; Fischer, A.; Engelhardt, C.; Laval, B. E.</t>
  </si>
  <si>
    <t>Axisymmetric circulation driven by marginal heating in ice-covered lakes</t>
  </si>
  <si>
    <t>ice-covered lakes; buoyancy flux; sloping topography; rotating gravity currents; density underflows</t>
  </si>
  <si>
    <t>TURBULENT ENTRAINMENT; CONVECTION; MODEL; VOSTOK</t>
  </si>
  <si>
    <t>Below the temperature of maximum density (TMD) in freshwater lakes, heating at the lateral margins produces gravity currents along the bottom slope, akin to katabatic winds in the atmosphere and currents on continental shelves. We describe axisymmetric basin-scale circulation driven by heat flux at the shorelines in polar Lake Kilpisjarvi. A dense underflow originating near the shore converges toward the lake center, where it produces warm upwelling and return flow across the bulk of lake water column. The return flow, being subject to Coriolis force, creates a lake-wide anticyclonic gyre with velocities of 2-4cms(-1). While warm underflows are common on ice-covered lakes, the key finding is the basin-scale anticyclonic gyre with warm upwelling in the core. This circulation mechanism provides a key to understanding transport processes in (semi) enclosed basins subject to negative buoyancy flux due to heating (or cooling at temperatures above TMD) at their lateral boundaries.</t>
  </si>
  <si>
    <t>[Kirillin, G. B.; Engelhardt, C.] Leibniz Inst Freshwater Ecol &amp; Inland Fisheries, Berlin, Germany; [Forrest, A. L.] Univ Tasmania, Australian Maritime Coll, Launceston, Tas 7250, Australia; [Forrest, A. L.] Univ Calif Davis, Tahoe Environm Res Ctr, Incline Village, NV USA; [Graves, K. E.; Laval, B. E.] Univ British Columbia, Dept Civil Engn, Vancouver, BC, Canada; [Fischer, A.] Univ Tasmania, Inst Marine &amp; Antarctic Studies, Launceston, Tas 7250, Australia</t>
  </si>
  <si>
    <t>Leibniz Institut fur Gewasserokologie und Binnenfischerei (IGB); University of Tasmania; Australian Maritime College; University of British Columbia; University of Tasmania</t>
  </si>
  <si>
    <t>Kirillin, GB (corresponding author), Leibniz Inst Freshwater Ecol &amp; Inland Fisheries, Berlin, Germany.</t>
  </si>
  <si>
    <t>kirillin@igb-berlin.de</t>
  </si>
  <si>
    <t>Forrest, Alexander L/C-3765-2014; Kirillin, Georgiy/B-5410-2010; Laval, Bernard E/J-9861-2012</t>
  </si>
  <si>
    <t>Kirillin, Georgiy/0000-0001-7337-3586; Graves, Kelly/0000-0003-2515-8659; Laval, Bernard Edmond/0000-0002-4810-9246; Fischer, Andrew/0000-0001-5284-6428</t>
  </si>
  <si>
    <t>German Science Foundation [KI-853/6]; Canadian Northern Science Training Program; Canadian Natural Sciences and Engineering Research Council Discovery program</t>
  </si>
  <si>
    <t>German Science Foundation(German Research Foundation (DFG)); Canadian Northern Science Training Program; Canadian Natural Sciences and Engineering Research Council Discovery program</t>
  </si>
  <si>
    <t>This study was performed in frames of the EU FP7 Program International Network for Terrestrial Research and Monitoring in the Arctic (INTERACT) via transnational access projects Convection and currents under lake ice (CONCUR) 2013 and Lake circulation during polar night in Arctic (LACUNA 2014). We thank the personnel of the Kilpisjarvi Biological Station and the rest of our field team for their invaluable help with our field campaigns. In particular, we are indebted to Antero Jarvinen, the Station Director, for his continued support. G.K. was partially supported by the German Science Foundation (grant KI-853/6). K.G. was partially supported by the Canadian Northern Science Training Program. K.G. and B.L. were partially supported by the Canadian Natural Sciences and Engineering Research Council Discovery program. We thank two anonymous reviewers for constructive comments improving original version of this work. Arrays of CTD and current meter data behind Figures 1 and 2 are stored in the internal repository of the IGB Berlin and are available from the corresponding author by first request.</t>
  </si>
  <si>
    <t>APR 28</t>
  </si>
  <si>
    <t>10.1002/2014GL062180</t>
  </si>
  <si>
    <t>CI2FN</t>
  </si>
  <si>
    <t>Green Accepted, Bronze, Green Published</t>
  </si>
  <si>
    <t>WOS:000354560800042</t>
  </si>
  <si>
    <t>Legge, OJ; Bakker, DCE; Johnson, MT; Meredith, MP; Venables, HJ; Brown, PJ; Lee, GA</t>
  </si>
  <si>
    <t>Legge, Oliver J.; Bakker, Dorothee C. E.; Johnson, Martin T.; Meredith, Michael P.; Venables, Hugh J.; Brown, Peter J.; Lee, Gareth A.</t>
  </si>
  <si>
    <t>The seasonal cycle of ocean-atmosphere CO2 flux in Ryder Bay, west Antarctic Peninsula</t>
  </si>
  <si>
    <t>ocean-atmosphere CO2 flux; Ryder Bay; seasonal sea ice; polar time series; RaTS; carbon cycling</t>
  </si>
  <si>
    <t>SEA-ICE; SOUTHERN-OCEAN; GAS-EXCHANGE; WIND-SPEED; PRYDZ BAY; SINK; STRATIFICATION; MARINE; WATER</t>
  </si>
  <si>
    <t>Approximately 15 million km(2) of the Southern Ocean is seasonally ice covered, yet the processes affecting carbon cycling and gas exchange in this climatically important region remain inadequately understood. Here, 3 years of dissolved inorganic carbon (DIC) measurements and carbon dioxide (CO2) fluxes from Ryder Bay on the west Antarctic Peninsula (WAP) are presented. During spring and summer, primary production in the surface ocean promotes atmospheric CO2 uptake. In winter, higher DIC, caused by net heterotrophy and vertical mixing with Circumpolar Deep Water, results in outgassing of CO2 from the ocean. Ryder Bay is found to be a net sink of atmospheric CO2 of 0.59-0.94 mol Cm-2 yr(-1) (average of 3 years). Seasonal sea ice cover increases the net annual CO2 uptake, but its effect on gas exchange remains poorly constrained. A reduction in sea ice on the WAP shelf may reduce the strength of the oceanic CO2 sink in this region.</t>
  </si>
  <si>
    <t>[Legge, Oliver J.; Bakker, Dorothee C. E.; Johnson, Martin T.; Lee, Gareth A.] Univ E Anglia, Sch Environm Sci, Ctr Ocean &amp; Atmospher Sci, Norwich NR4 7TJ, Norfolk, England; [Legge, Oliver J.; Meredith, Michael P.; Venables, Hugh J.] British Antarctic Survey, Cambridge CB3 0ET, England; [Johnson, Martin T.] Ctr Environm Fisheries &amp; Aquaculture Sci, Lowestoft, Suffolk, England; [Brown, Peter J.] Univ Southampton, Natl Oceanog Ctr, Southampton, Hants, England</t>
  </si>
  <si>
    <t>University of East Anglia; UK Research &amp; Innovation (UKRI); Natural Environment Research Council (NERC); NERC British Antarctic Survey; Centre for Environment Fisheries &amp; Aquaculture Science; NERC National Oceanography Centre; University of Southampton</t>
  </si>
  <si>
    <t>Legge, OJ (corresponding author), Univ E Anglia, Sch Environm Sci, Ctr Ocean &amp; Atmospher Sci, Norwich NR4 7TJ, Norfolk, England.</t>
  </si>
  <si>
    <t>o.legge@uea.ac.uk</t>
  </si>
  <si>
    <t>Brown, Peter/AAN-4372-2020; Johnson, Martin/C-1066-2008; Bakker, Dorothee/E-4951-2015</t>
  </si>
  <si>
    <t>Brown, Peter/0000-0002-1152-1114; Johnson, Martin/0000-0002-4706-8294; Bakker, Dorothee/0000-0001-9234-5337; Meredith, Michael/0000-0002-7342-7756; Lee, Gareth/0000-0003-4640-5487</t>
  </si>
  <si>
    <t>Natural Environment Research Council(NERC) [NE/L50158X/1]; BAS Polar Oceans - NERC; UK Ocean Acidification Research Programme [NE/H017046/1]; Natural Environment Research Council [bas0100033, noc010012, 1315981, NE/K00168X/1, NE/H017046/2, NE/K001957/1, NE/H017046/1] Funding Source: researchfish; NERC [NE/K00168X/1, bas0100033, NE/L50158X/1, NE/H017046/2, NE/K001957/1, NE/H017046/1] Funding Source: UKRI</t>
  </si>
  <si>
    <t>Natural Environment Research Council(NERC)(UK Research &amp; Innovation (UKRI)Natural Environment Research Council (NERC)); BAS Polar Oceans - NERC; UK Ocean Acidification Research Programme; Natural Environment Research Council(UK Research &amp; Innovation (UKRI)Natural Environment Research Council (NERC)); NERC(UK Research &amp; Innovation (UKRI)Natural Environment Research Council (NERC))</t>
  </si>
  <si>
    <t>This work is part of PhD research funded by the Natural Environment Research Council(NERC) (NE/L50158X/1). This work was also supported by BAS Polar Oceans funding from NERC and the UK Ocean Acidification Research Programme (NE/H017046/1). We would like to thank the BAS marine assistants Sabrina Heiser, Mairi Fenton, and Simon Reeves for sample collection and UEA technicians Stephen Humphrey and Matt Von Tersch for assistance with DIC and TA analyses. We would also like to thank Brice Loose whose constructive comments have improved the manuscript. Data availability: Marine data from RaTS are lodged with the British Oceanographic Data Centre and are available from them upon request (contact: enquiries@bodc.ac.uk). Atmospheric data from Rothera are available online at www.antarctica.ac.uk/met/metlog/. Atmospheric CO2 data are available online from NOAA at ftp://aftp.cmdl.noaa.gov/data/trace_gases/co2/flask/surface/co2_psa_surface-flask_1_ccgg\_event.txt.</t>
  </si>
  <si>
    <t>10.1002/2015GL063796</t>
  </si>
  <si>
    <t>WOS:000354560800047</t>
  </si>
  <si>
    <t>Southwell, C; Emmerson, L; Newbery, K; McKinlay, J; Kerry, K; Woehler, E; Ensor, P</t>
  </si>
  <si>
    <t>Southwell, Colin; Emmerson, Louise; Newbery, Kym; McKinlay, John; Kerry, Knowles; Woehler, Eric; Ensor, Paul</t>
  </si>
  <si>
    <t>Re-Constructing Historical Adelie Penguin Abundance Estimates by Retrospectively Accounting for Detection Bias</t>
  </si>
  <si>
    <t>CLIMATE-CHANGE; ANTARCTIC PENINSULA; POPULATION-SIZE; PACIFIC SECTOR; AERIAL SURVEYS; SEA-ICE; AVAILABILITY; ENVIRONMENTS; SEABIRDS; BEHAVIOR</t>
  </si>
  <si>
    <t>Seabirds and other land-breeding marine predators are considered to be useful and practical indicators of the state of marine ecosystems because of their dependence on marine prey and the accessibility of their populations at breeding colonies. Historical counts of breeding populations of these higher-order marine predators are one of few data sources available for inferring past change in marine ecosystems. However, historical abundance estimates derived from these population counts may be subject to unrecognised bias and uncertainty because of variable attendance of birds at breeding colonies and variable timing of past population surveys. We retrospectively accounted for detection bias in historical abundance estimates of the colonial, land-breeding Adelie penguin through an analysis of 222 historical abundance estimates from 81 breeding sites in east Antarctica. The published abundance estimates were de-constructed to retrieve the raw count data and then re-constructed by applying contemporary adjustment factors obtained from remotely operating time-lapse cameras. The re-construction process incorporated spatial and temporal variation in phenology and attendance by using data from cameras deployed at multiple sites over multiple years and propagating this uncertainty through to the final revised abundance estimates. Our re-constructed abundance estimates were consistently higher and more uncertain than published estimates. The re-constructed estimates alter the conclusions reached for some sites in east Antarctica in recent assessments of long-term Adelie penguin population change. Our approach is applicable to abundance data for a wide range of colonial, land-breeding marine species including other penguin species, flying seabirds and marine mammals.</t>
  </si>
  <si>
    <t>[Southwell, Colin; Emmerson, Louise; Newbery, Kym; McKinlay, John; Kerry, Knowles; Woehler, Eric; Ensor, Paul] Australian Antarctic Div, Dept Environm, Kingston, Tas 7050, Australia</t>
  </si>
  <si>
    <t>Southwell, C (corresponding author), Australian Antarctic Div, Dept Environm, 203 Channel Highway, Kingston, Tas 7050, Australia.</t>
  </si>
  <si>
    <t>colin.southwell@aad.gov.au</t>
  </si>
  <si>
    <t>Chiaradia, Andre/0000-0002-6178-4211; Woehler, Eric/0000-0002-1125-0748; McKinlay, John/0000-0003-4858-2604</t>
  </si>
  <si>
    <t>Australian Antarctic Division [4088]</t>
  </si>
  <si>
    <t>The work was funded by the Australian Antarctic Division (www.aad.gov.au) for approved AAS project 4088.</t>
  </si>
  <si>
    <t>APR 24</t>
  </si>
  <si>
    <t>e0123540</t>
  </si>
  <si>
    <t>10.1371/journal.pone.0123540</t>
  </si>
  <si>
    <t>CG6AH</t>
  </si>
  <si>
    <t>WOS:000353376800038</t>
  </si>
  <si>
    <t>Bedford, M; Melbourne-Thomas, J; Corney, S; Jarvis, T; Kelly, N; Constable, A</t>
  </si>
  <si>
    <t>Bedford, Merel; Melbourne-Thomas, Jessica; Corney, Stuart; Jarvis, Toby; Kelly, Natalie; Constable, Andrew</t>
  </si>
  <si>
    <t>Prey-field use by a Southern Ocean top predator: enhanced understanding using integrated datasets</t>
  </si>
  <si>
    <t>Prey-specific foraging; Prey switching; Prey-field characteristics; Prey depletion; Ecosystem function; Active-acoustics; Macaroni penguins</t>
  </si>
  <si>
    <t>PENGUINS EUDYPTES-CHRYSOLOPHUS; ACOUSTIC CHARACTERIZATION; PROVISIONING BEHAVIOR; PROXIMATE COMPOSITION; ENERGY-REQUIREMENTS; EUPHAUSIA-SUPERBA; MARINE PREDATORS; SEASONAL-CHANGES; STABLE-ISOTOPES; FORAGING AREAS</t>
  </si>
  <si>
    <t>An important challenge for understanding and managing marine ecosystems is determining the relationship between the distributions of prey species and the foraging of top predators. We examined the diet and foraging dynamics of breeding macaroni penguins Eudyptes chrysolophus from sub-Antarctic Heard Island and related these to prey distributions derived from active-acoustics and net-derived data in the foraging zone of the penguins. Consistent with previous findings, we found that penguin diets changed between the guard and creche stages of the breeding cycle and that this change in diet corresponded with a switch from short foraging trips in the guard stage to significantly longer, offshore foraging trips in the creche stage. We related these differences in diet and foraging to characteristics of the prey field-specifically, a relatively uniform distribution of krill over the shelf and in deeper, offshore waters, compared with an increasing abundance of fish further from shore. We developed a simple dynamic energy budget for macaroni penguins to explore whether targeting fish during the creche stage was an energetically favourable strategy. Finally, we extrapolated our energy budget to estimate prey consumption at the colony scale as previous work has suggested that depletion near breeding colonies could contribute to prey switching. We found that prey switching during the creche stage was energetically favourable and was most likely related to a reduction in foraging constraints, rather than prey depletion. This study shows the value of integrating data sets to address questions surrounding variation in diet and the use of alternative prey by marine predators.</t>
  </si>
  <si>
    <t>[Bedford, Merel] Univ Tasmania, Inst Marine &amp; Antarctic Studies, Hobart, Tas 7000, Australia; [Bedford, Merel; Melbourne-Thomas, Jessica; Corney, Stuart; Constable, Andrew] Univ Tasmania, Antarctic Climate &amp; Ecosyst Cooperat Res Ctr, Hobart, Tas 7000, Australia; [Melbourne-Thomas, Jessica; Jarvis, Toby; Kelly, Natalie; Constable, Andrew] Australian Antarctic Div, Kingston, Tas 7050, Australia; [Jarvis, Toby] Echoview Software Pty Ltd, Hobart, Tas 7001, Australia; [Kelly, Natalie] CSIRO Computat Informat &amp; Wealth Oceans Flagship, Hobart, Tas 7001, Australia</t>
  </si>
  <si>
    <t>University of Tasmania; University of Tasmania; Antarctic Climate &amp; Ecosystems Cooperative Research Centre (ACE CRC); Australian Antarctic Division; Commonwealth Scientific &amp; Industrial Research Organisation (CSIRO)</t>
  </si>
  <si>
    <t>Bedford, M (corresponding author), Univ Tasmania, Inst Marine &amp; Antarctic Studies, Private Bag 129, Hobart, Tas 7000, Australia.</t>
  </si>
  <si>
    <t>merel.bedford@utas.edu.au</t>
  </si>
  <si>
    <t>Melbourne-Thomas, Jess/N-2437-2019; Kelly, Natalie/B-3481-2010; Jarvis, Toby/JCP-5041-2023</t>
  </si>
  <si>
    <t>Melbourne-Thomas, Jess/0000-0001-6585-876X; Jarvis, Toby/0000-0002-3363-614X; Kelly, Nat/0000-0002-9664-354X</t>
  </si>
  <si>
    <t>Australian government's Cooperative Research Centre's Program through Antarctic Climate and Ecosystems Cooperative Research Centre</t>
  </si>
  <si>
    <t>Australian government's Cooperative Research Centre's Program through Antarctic Climate and Ecosystems Cooperative Research Centre(Australian GovernmentDepartment of Industry, Innovation and ScienceCooperative Research Centres (CRC) Programme)</t>
  </si>
  <si>
    <t>We thank Simon Wotherspoon, Bruce Deagle, Rowan Trebilco, Martin Cox, Mike Sumner and Barbara Wienecke for useful discussions and advice in the development of this work. Thanks also to 2 anonymous reviewers for feedback and guidance on an earlier version of the manuscript. This work was made possible through access to data from the Australian Antarctic Data Centre. This work was supported by the Australian government's Cooperative Research Centre's Program through the Antarctic Climate and Ecosystems Cooperative Research Centre.</t>
  </si>
  <si>
    <t>APR 22</t>
  </si>
  <si>
    <t>10.3354/meps11203</t>
  </si>
  <si>
    <t>CH9ZJ</t>
  </si>
  <si>
    <t>WOS:000354394900013</t>
  </si>
  <si>
    <t>Southwell, D; Emmerson, L; Forcada, J; Southwell, C</t>
  </si>
  <si>
    <t>Southwell, Darren; Emmerson, Louise; Forcada, Jaume; Southwell, Colin</t>
  </si>
  <si>
    <t>A bioenergetics model for estimating prey consumption by an Adelie penguin population in East Antarctica</t>
  </si>
  <si>
    <t>Southern Ocean; Predator-prey; Uncertainty; Krill; Harvesting; Fisheries</t>
  </si>
  <si>
    <t>PYGOSCELIS-ADELIAE; BECHERVAISE-ISLAND; ENERGY-REQUIREMENTS; FORAGING EFFORT; SOUTHERN-OCEAN; REPRODUCTIVE SUCCESS; CHINSTRAP PENGUINS; FISHERY MANAGEMENT; TEMPORAL VARIATION; MACARONI PENGUINS</t>
  </si>
  <si>
    <t>Quantifying prey consumption by top predators is a crucial component of ecosystem-based management in the Southern Ocean. In this study, we developed a bioenergetics model to estimate prey consumption by a top predator, the Adelie penguin Pygoscelis adeliae. Our model predicts prey consumption throughout the breeding season and incorporates uncertainty in model parameters using Monte Carlo simulation. The model was parameterized with data obtained at Bechervaise Island, the site of a long-term monitoring program in East Antarctica. We parameterized the model (1) using 13 yr of penguin population data, (2) for a year in which penguins successfully reared their chicks (2001-2002) and (3) for a year with low breeding success (1998-1999). Daily per capita energy consumption during the breeding season averaged 4269 kJ d(-1) (95% CI: 4187-4352 kJ d(-1)) and 4684 kJ d(-1) (95% CI: 4596-4771 kJ d(-1)) for males and females, respectively. Over the entire breeding season a male breeder consumes 470 MJ (95% CI: 461-479 MJ) compared to 515 MJ (95% CI: 506-525 MJ) for a female. On average, the Bechervaise Island population of 1836 breeding pairs consumes 16 447 MJ d(-1) which amounts to 1 809 224 MJ during the breeding season. On the basis of variable breeding success and the proportion of krill and fish in their diet, we estimate that this population consumes 78 to 406 t of krill and 4 to 46 t of fish each breeding season. Our results demonstrate clear periods of peak consumption associated with the penguins' breeding cycle.</t>
  </si>
  <si>
    <t>[Southwell, Darren; Emmerson, Louise; Southwell, Colin] Australian Antarctic Div, Dept Environm, Kingston, Tas 7050, Australia; [Forcada, Jaume] British Antarctic Survey, NERC, Cambridge CB3 0ET, England</t>
  </si>
  <si>
    <t>Australian Antarctic Division; UK Research &amp; Innovation (UKRI); Natural Environment Research Council (NERC); NERC British Antarctic Survey</t>
  </si>
  <si>
    <t>Southwell, D (corresponding author), Univ Melbourne, Sch Bot, Melbourne, Vic 3010, Australia.</t>
  </si>
  <si>
    <t>darren_southwell@hotmail.com</t>
  </si>
  <si>
    <t>Forcada, Jaume/GYU-0677-2022</t>
  </si>
  <si>
    <t>AAS Project [4086, 4087, 4088]; Natural Environment Research Council [bas0100035] Funding Source: researchfish; NERC [bas0100035] Funding Source: UKRI</t>
  </si>
  <si>
    <t>AAS Project; Natural Environment Research Council(UK Research &amp; Innovation (UKRI)Natural Environment Research Council (NERC)); NERC(UK Research &amp; Innovation (UKRI)Natural Environment Research Council (NERC))</t>
  </si>
  <si>
    <t>We thank Knowles Kerry for establishing the Bechervaise Island penguin monitoring program and the Bechervaise Island field teams: Megan Tierney and Judy Clarke, who collected nest attendance and dietary data, and Luke Einoder, who provided useful ideas for the manuscript. All procedures were carried out with the approval of the Australian Antarctic Division's Animal Ethics Committee. This work was conducted under AAS Projects 4086, 4087 and 4088.</t>
  </si>
  <si>
    <t>10.3354/meps11182</t>
  </si>
  <si>
    <t>WOS:000354394900014</t>
  </si>
  <si>
    <t>Kusiak, MA; Dunkley, DJ; Wirth, R; Whitehouse, MJ; Wilde, SA; Marquardt, K</t>
  </si>
  <si>
    <t>Kusiak, Monika A.; Dunkley, Daniel J.; Wirth, Richard; Whitehouse, Martin J.; Wilde, Simon A.; Marquardt, Katharina</t>
  </si>
  <si>
    <t>Metallic lead nanospheres discovered in ancient zircons</t>
  </si>
  <si>
    <t>PROCEEDINGS OF THE NATIONAL ACADEMY OF SCIENCES OF THE UNITED STATES OF AMERICA</t>
  </si>
  <si>
    <t>metallic Pb; nanospheres; zircon; Antarctica; early Earth</t>
  </si>
  <si>
    <t>ION-BEAM FIB; NAPIER COMPLEX; CRYSTAL-STRUCTURE; RADIATION-DAMAGE; ENDERBY LAND; UHT METAMORPHISM; ANTARCTICA; PB; GEOCHRONOLOGY; DIFFRACTION</t>
  </si>
  <si>
    <t>Zircon (ZrSiO4) is the most commonly used geochronometer, preserving age and geochemical information through a wide range of geological processes. However, zircon U-Pb geochronology can be affected by redistribution of radiogenic Pb, which is incompatible in the crystal structure. This phenomenon is particularly common in zircon that has experienced ultra-high temperature metamorphism, where ion imaging has revealed submicrometer domains that are sufficiently heterogeneously distributed to severely perturb ages, in some cases yielding apparent Hadean (&gt;4 Ga) ages from younger zircons. Documenting the composition and mineralogy of these Pb-enriched domains is essential for understanding the processes of Pb redistribution in zircon and its effects on geochronology. Using high-resolution scanning transmission electron microscopy, we show that Pb-rich domains previously identified in zircons from East Antarctic granulites are 5-30 nm nanospheres of metallic Pb. They are randomly distributed with respect to zircon crystallinity, and their association with a Ti- and Al-rich silica melt suggests that they represent melt inclusions generated during ultra-high temperature metamorphism. Metallic Pb is exceedingly rare in nature and previously has not been reported in association with high-grade metamorphism. Formation of these metallic nanospheres within annealed zircon effectively halts the loss of radiogenic Pb from zircon. Both the redistribution and phase separation of radiogenic Pb in this manner can compromise the precision and accuracy of U-Pb ages obtained by high spatial resolution methods.</t>
  </si>
  <si>
    <t>[Kusiak, Monika A.] Polish Acad Sci ING PAN, Inst Geol Sci, PL-00818 Warsaw, Poland; [Kusiak, Monika A.; Whitehouse, Martin J.] Swedish Museum Nat Hist, Dept Geosci, SE-10405 Stockholm, Sweden; [Dunkley, Daniel J.; Wilde, Simon A.] Curtin Univ, Dept Appl Geol, Perth, WA 6845, Australia; [Marquardt, Katharina] Geoforschungszentrum Potsdam, Expt Geochem, D-14473 Potsdam, Germany; [Marquardt, Katharina] Univ Bayreuth, Bayer Geoinst, D-95440 Bayreuth, Germany</t>
  </si>
  <si>
    <t>Polish Academy of Sciences; Institute of Geological Sciences of the Polish Academy of Sciences; Swedish Museum of Natural History; Curtin University; Helmholtz Association; Helmholtz-Center Potsdam GFZ German Research Center for Geosciences; University of Bayreuth</t>
  </si>
  <si>
    <t>Kusiak, MA (corresponding author), Polish Acad Sci ING PAN, Inst Geol Sci, PL-00818 Warsaw, Poland.</t>
  </si>
  <si>
    <t>monika.kusiak@twarda.pan.pl</t>
  </si>
  <si>
    <t>Kusiak, Monika A./P-4395-2019; Marquardt, Katharina/A-5439-2013; Wilde, Simon Alexander/C-5174-2009; Kusiak, Monika A./B-7026-2015; Whitehouse, Martin/E-1425-2013</t>
  </si>
  <si>
    <t>Marquardt, Katharina/0000-0002-5924-3061; Wilde, Simon Alexander/0000-0002-4546-8278; Dunkley, Daniel/0000-0003-0655-4496; Kusiak, Monika A./0000-0003-2042-8621; Whitehouse, Martin/0000-0003-2227-577X</t>
  </si>
  <si>
    <t>European Commission Seventh Framework Programme under the People (Marie Curie Fellowship) program [PIOF-GA-2010-273412]; European Commission Seventh Framework Programme under the RegPot (Research Potential) program [ATLAB 285989]; DFG (Deutsche Forschungsgemeinschaft) [HE2015/11-1]; Helmholtz foundation</t>
  </si>
  <si>
    <t>European Commission Seventh Framework Programme under the People (Marie Curie Fellowship) program; European Commission Seventh Framework Programme under the RegPot (Research Potential) program; DFG (Deutsche Forschungsgemeinschaft)(German Research Foundation (DFG)); Helmholtz foundation(Helmholtz Association)</t>
  </si>
  <si>
    <t>We thank Charles Magee, Ian Williams, and Michal Zelechower for discussion and two anonymous reviewers for constructive comments. Samples for this study were provided by Chris Carson from Geoscience Australia and Chris Clark from Curtin University. M.A.K. acknowledges funding support from the European Commission Seventh Framework Programme under the People (Marie Curie Fellowship, PIOF-GA-2010-273412) and RegPot (Research Potential, ATLAB 285989) programs. K.M. acknowledges financial support from the DFG (Deutsche Forschungsgemeinschaft, HE2015/11-1) and the Helmholtz foundation.</t>
  </si>
  <si>
    <t>NATL ACAD SCIENCES</t>
  </si>
  <si>
    <t>2101 CONSTITUTION AVE NW, WASHINGTON, DC 20418 USA</t>
  </si>
  <si>
    <t>0027-8424</t>
  </si>
  <si>
    <t>P NATL ACAD SCI USA</t>
  </si>
  <si>
    <t>Proc. Natl. Acad. Sci. U. S. A.</t>
  </si>
  <si>
    <t>APR 21</t>
  </si>
  <si>
    <t>10.1073/pnas.1415264112</t>
  </si>
  <si>
    <t>CG4FJ</t>
  </si>
  <si>
    <t>hybrid, Green Published, Green Submitted</t>
  </si>
  <si>
    <t>WOS:000353239100046</t>
  </si>
  <si>
    <t>Rocke, E; Pachiadaki, MG; Cobban, A; Kujawinski, EB; Edgcomb, VP</t>
  </si>
  <si>
    <t>Rocke, Emma; Pachiadaki, Maria G.; Cobban, Alec; Kujawinski, Elizabeth B.; Edgcomb, Virginia P.</t>
  </si>
  <si>
    <t>Protist Community Grazing on Prokaryotic Prey in Deep Ocean Water Masses</t>
  </si>
  <si>
    <t>FLUORESCENTLY LABELED BACTERIA; NW MEDITERRANEAN SEA; PHAGOTROPHIC PROTISTS; MICROBIAL PROCESSES; AMINO-ACIDS; MARINE; PARTICLES; SELECTION; RATES; BACTERIOPLANKTON</t>
  </si>
  <si>
    <t>Oceanic protist grazing at mesopelagic and bathypelagic depths, and their subsequent effects on trophic links between eukaryotes and prokaryotes, are not well constrained. Recent studies show evidence of higher than expected grazing activity by protists down to mesopelagic depths. This study provides the first exploration of protist grazing in the bathypelagic North Atlantic Deep Water (NADW). Grazing was measured throughout the water column at three stations in the South Atlantic using fluorescently-labeled prey analogues. Grazing in the deep Antarctic Intermediate water (AAIW) and NADW at all three stations removed 3.79% +/- 1.72% to 31.14% +/- 8.24% of the standing prokaryote stock. These results imply that protist grazing may be a significant source of labile organic carbon at certain meso- and bathypelagic depths.</t>
  </si>
  <si>
    <t>[Rocke, Emma] Hong Kong Univ Sci &amp; Technol, Dept Life Sci, Hong Kong, Hong Kong, Peoples R China; [Pachiadaki, Maria G.; Cobban, Alec; Edgcomb, Virginia P.] Woods Hole Oceanog Inst, Dept Geol &amp; Geophys, Woods Hole, MA 02543 USA; [Cobban, Alec] Falmouth Acad, Falmouth Acad Internship Program, Falmouth, MA USA; [Kujawinski, Elizabeth B.] Woods Hole Oceanog Inst, Marine Chem &amp; Geochem Dept, Woods Hole, MA 02543 USA</t>
  </si>
  <si>
    <t>Hong Kong University of Science &amp; Technology; Woods Hole Oceanographic Institution; Woods Hole Oceanographic Institution</t>
  </si>
  <si>
    <t>Edgcomb, VP (corresponding author), Woods Hole Oceanog Inst, Dept Geol &amp; Geophys, Woods Hole, MA 02543 USA.</t>
  </si>
  <si>
    <t>vedgcomb@whoi.edu</t>
  </si>
  <si>
    <t>Pachiadaki, Maria/AAW-2640-2021; Edgcomb, Virginia/Q-2434-2019; Kujawinski, Elizabeth B/AFX-3044-2022; Cobban, Alec/IAR-6923-2023</t>
  </si>
  <si>
    <t>Pachiadaki, Maria/0000-0003-2684-7501; Kujawinski, Elizabeth B/0000-0001-8261-971X; Rocke, Emma/0000-0001-9514-9788; Edgcomb, Virginia/0000-0001-6805-381X; Cobban, Alec/0000-0001-9296-8147</t>
  </si>
  <si>
    <t>National Science Foundation [OCE-1154320]; Woods Hole Oceanographic Institution; Ocean Life Institute; Deep Ocean Exploration Institute</t>
  </si>
  <si>
    <t>National Science Foundation(National Science Foundation (NSF)); Woods Hole Oceanographic Institution; Ocean Life Institute; Deep Ocean Exploration Institute</t>
  </si>
  <si>
    <t>Funding for the cruise was provided by the National Science Foundation (OCE-1154320) to EBK. Funding for the laboratory work was provided by contributions from the Woods Hole Oceanographic Institution Director of Research, Ocean Life Institute, and Deep Ocean Exploration Institute to VE. No individuals employed or contracted by the funders played any role in this study.</t>
  </si>
  <si>
    <t>APR 20</t>
  </si>
  <si>
    <t>e0124505</t>
  </si>
  <si>
    <t>10.1371/journal.pone.0124505</t>
  </si>
  <si>
    <t>CG3XA</t>
  </si>
  <si>
    <t>WOS:000353211700100</t>
  </si>
  <si>
    <t>Afanasyev, V; Buldyrev, SV; Dunn, MJ; Robst, J; Preston, M; Bremner, SF; Briggs, DR; Brown, R; Adlard, S; Peat, HJ</t>
  </si>
  <si>
    <t>Afanasyev, Vsevolod; Buldyrev, Sergey V.; Dunn, Michael J.; Robst, Jeremy; Preston, Mark; Bremner, Steve F.; Briggs, Dirk R.; Brown, Ruth; Adlard, Stacey; Peat, Helen J.</t>
  </si>
  <si>
    <t>Increasing Accuracy: A New Design and Algorithm for Automatically Measuring Weights, Travel Direction and Radio Frequency Identification (RFID) of Penguins</t>
  </si>
  <si>
    <t>FORAGING-TRIP DURATION; ADELIE PENGUINS; FLIPPER BANDS; CHINSTRAP PENGUINS; BECHERVAISE-ISLAND; SIGNY ISLAND; SUCCESS; ANTARCTICA; SURVIVAL; CHICKS</t>
  </si>
  <si>
    <t>A fully automated weighbridge using a new algorithm and mechanics integrated with a Radio Frequency Identification System is described. It is currently in use collecting data on Macaroni penguins (Eudyptes chrysolophus) at Bird Island, South Georgia. The technology allows researchers to collect very large, highly accurate datasets of both penguin weight and direction of their travel into or out of a breeding colony, providing important contributory information to help understand penguin breeding success, reproductive output and availability of prey. Reliable discrimination between single and multiple penguin crossings is demonstrated. Passive radio frequency tags implanted into penguins allow researchers to match weight and trip direction to individual birds. Low unit and operation costs, low maintenance needs, simple operator requirements and accurate time stamping of every record are all important features of this type of weighbridge, as is its proven ability to operate 24 hours a day throughout a breeding season, regardless of temperature or weather conditions. Users are able to define required levels of accuracy by adjusting filters and raw data are automatically recorded and stored allowing for a range of processing options. This paper presents the underlying principles, design specification and system description, provides evidence of the weighbridge's accurate performance and demonstrates how its design is a significant improvement on existing systems.</t>
  </si>
  <si>
    <t>[Afanasyev, Vsevolod; Dunn, Michael J.; Robst, Jeremy; Preston, Mark; Bremner, Steve F.; Briggs, Dirk R.; Brown, Ruth; Adlard, Stacey; Peat, Helen J.] British Antarctic Survey, NERC, Cambridge CB3 0ET, England; [Buldyrev, Sergey V.] Yeshiva Univ, Dept Phys, New York, NY 10033 USA</t>
  </si>
  <si>
    <t>UK Research &amp; Innovation (UKRI); Natural Environment Research Council (NERC); NERC British Antarctic Survey; Yeshiva University</t>
  </si>
  <si>
    <t>Afanasyev, V (corresponding author), British Antarctic Survey, NERC, High Cross,Madingley Rd, Cambridge CB3 0ET, England.</t>
  </si>
  <si>
    <t>hjpe@bas.ac.uk</t>
  </si>
  <si>
    <t>Peat, Helen J/E-9666-2015; Buldyrev, Sergey V/I-3933-2015</t>
  </si>
  <si>
    <t>Dunn, Michael/0000-0003-4633-5466; Buldyrev, Sergey/0000-0002-3008-1070; Peat, Helen/0000-0003-2017-8597</t>
  </si>
  <si>
    <t>Bernard W. Gamson Computational Science Center at Yeshiva College; Natural Environment Research Council (NERC) British Antarctic Survey core budget; Natural Environment Research Council [bas0100025, bas010011, bas0100035] Funding Source: researchfish; NERC [bas010011, bas0100025, bas0100035] Funding Source: UKRI</t>
  </si>
  <si>
    <t>Bernard W. Gamson Computational Science Center at Yeshiva College; Natural Environment Research Council (NERC) British Antarctic Survey core budget; Natural Environment Research Council(UK Research &amp; Innovation (UKRI)Natural Environment Research Council (NERC)); NERC(UK Research &amp; Innovation (UKRI)Natural Environment Research Council (NERC))</t>
  </si>
  <si>
    <t>SVB acknowledges partial support of this research through Bernard W. Gamson Computational Science Center at Yeshiva College. This project is also funded by Natural Environment Research Council (NERC) British Antarctic Survey core budget. The funders had no role in study design, data collection and analysis, decision to publish, or preparation of the manuscript.</t>
  </si>
  <si>
    <t>e0126292</t>
  </si>
  <si>
    <t>10.1371/journal.pone.0126292</t>
  </si>
  <si>
    <t>WOS:000353211700142</t>
  </si>
  <si>
    <t>Ducklow, HW; Wilson, SE; Post, AF; Stammerjohn, SE; Erickson, M; Lee, S; Lowry, KE; Sherrell, RM; Yager, PL</t>
  </si>
  <si>
    <t>Ducklow, Hugh W.; Wilson, Stephanie E.; Post, Anton F.; Stammerjohn, Sharon E.; Erickson, Matthew; Lee, SangHoon; Lowry, Kate E.; Sherrell, Robert M.; Yager, Patricia L.</t>
  </si>
  <si>
    <t>Particle flux on the continental shelf in the Amundsen Sea Polynya and Western Antarctic Peninsula</t>
  </si>
  <si>
    <t>ELEMENTA-SCIENCE OF THE ANTHROPOCENE</t>
  </si>
  <si>
    <t>PARTICULATE ORGANIC-CARBON; ROSS SEA; SEDIMENT TRAPS; EXPORT FLUX; UPPER-OCEAN; VERTICAL FLUX; TIME-SERIES; LONG-TERM; ICE; PHYTOPLANKTON</t>
  </si>
  <si>
    <t>We report results from a yearlong, moored sediment trap in the Amundsen Sea Polynya (ASP), the first such time series in this remote and productive ecosystem. Results are compared to a long-term (1992-2013) time series from the western Antarctic Peninsula (WAP). The ASP trap was deployed from December 2010 to December 2011 at 350 m depth. We observed two brief, but high flux events, peaking at 8 and 5 mmol C m(-2) d(-1) in January and December 2011, respectively, with a total annual capture of 315 mmol C m(-2). Both peak fluxes and annual capture exceeded the comparable WAP observations. Like the overlying phytoplankton bloom observed during the cruise in the ASP (December 2010 to January 2011), particle flux was dominated by Phaeocystis antarctica, which produced phytodetrital aggregates. Particles at the start of the bloom were highly depleted in C-13, indicating their origin in the cold, CO2-rich winter waters exposed by retreating sea ice. As the bloom progressed, microscope visualization and stable isotopic composition provided evidence for an increasing contribution by zooplankton fecal material. Incubation experiments and zooplankton observations suggested that fecal pellet production likely contributed 10-40% of the total flux during the first flux event, and could be very high during episodic krill swarms. Independent estimates of export from the surface (100 m) were about 5-10 times that captured in the trap at 350 m. Estimated bacterial respiration was sufficient to account for much of the decline in the flux between 50 and 350 m, whereas zooplankton respiration was much lower. The ASP system appears to export only a small fraction of its production deeper than 350 m within the polynya region. The export efficiency was comparable to other polar regions where phytoplankton blooms were not dominated by diatoms.</t>
  </si>
  <si>
    <t>[Ducklow, Hugh W.] Columbia Univ, Lamont Doherty Earth Observ, Palisades, NY 10964 USA; [Wilson, Stephanie E.] Bangor Univ, Bangor, Gwynedd, Wales; [Post, Anton F.] Univ Rhode Isl, Narragansett, RI USA; [Stammerjohn, Sharon E.] Univ Colorado, Boulder, CO 80309 USA; [Erickson, Matthew] Antarctic Support Contractor, Arlington, VA USA; [Lee, SangHoon] Korean Polar Res Inst, Seoul, South Korea; [Lowry, Kate E.] Stanford Univ, Palo Alto, CA 94304 USA; [Sherrell, Robert M.] Rutgers State Univ, New Brunswick, NJ 08903 USA; [Yager, Patricia L.] Univ Georgia, Athens, GA 30602 USA</t>
  </si>
  <si>
    <t>Columbia University; Bangor University; University of Rhode Island; University of Colorado System; University of Colorado Boulder; Korea Polar Research Institute (KOPRI); Stanford University; Rutgers University System; Rutgers University New Brunswick; University System of Georgia; University of Georgia</t>
  </si>
  <si>
    <t>Ducklow, HW (corresponding author), Columbia Univ, Lamont Doherty Earth Observ, Palisades, NY 10964 USA.</t>
  </si>
  <si>
    <t>hducklow@ldeo.columbia.edu</t>
  </si>
  <si>
    <t>; Yager, Patricia/K-8020-2014</t>
  </si>
  <si>
    <t>STAMMERJOHN, SHARON/0000-0002-1697-8244; Yager, Patricia/0000-0002-8462-6427</t>
  </si>
  <si>
    <t>Office of Polar Programs (OPP); Directorate For Geosciences [0839069] Funding Source: National Science Foundation</t>
  </si>
  <si>
    <t>Office of Polar Programs (OPP); Directorate For Geosciences(National Science Foundation (NSF)NSF - Directorate for Geosciences (GEO))</t>
  </si>
  <si>
    <t>UNIV CALIFORNIA PRESS</t>
  </si>
  <si>
    <t>OAKLAND</t>
  </si>
  <si>
    <t>155 GRAND AVE, SUITE 400, OAKLAND, CA 94612-3758 USA</t>
  </si>
  <si>
    <t>2325-1026</t>
  </si>
  <si>
    <t>ELEMENTA-SCI ANTHROP</t>
  </si>
  <si>
    <t>Elementa-Sci. Anthrop.</t>
  </si>
  <si>
    <t>APR 17</t>
  </si>
  <si>
    <t>10.12952/journal.elementa.000046</t>
  </si>
  <si>
    <t>CS5HY</t>
  </si>
  <si>
    <t>WOS:000362110100001</t>
  </si>
  <si>
    <t>Paolo, FS; Fricker, HA; Padman, L</t>
  </si>
  <si>
    <t>Paolo, Fernando S.; Fricker, Helen A.; Padman, Laurie</t>
  </si>
  <si>
    <t>Volume loss from Antarctic ice shelves is accelerating</t>
  </si>
  <si>
    <t>PINE ISLAND; WEST ANTARCTICA; SHEET; PENINSULA; THWAITES; RETREAT</t>
  </si>
  <si>
    <t>The floating ice shelves surrounding the Antarctic Ice Sheet restrain the grounded ice-sheet flow. Thinning of an ice shelf reduces this effect, leading to an increase in ice discharge to the ocean. Using 18 years of continuous satellite radar altimeter observations, we have computed decadal-scale changes in ice-shelf thickness around the Antarctic continent. Overall, average ice-shelf volume change accelerated from negligible loss at 25 +/- 64 cubic kilometers per year for 1994-2003 to rapid loss of 310 +/- 74 cubic kilometers per year for 2003-2012. West Antarctic losses increased by similar to 70% in the past decade, and earlier volume gain by East Antarctic ice shelves ceased. In the Amundsen and Bellingshausen regions, some ice shelves have lost up to 18% of their thickness in less than two decades.</t>
  </si>
  <si>
    <t>[Paolo, Fernando S.; Fricker, Helen A.] Univ Calif San Diego, Scripps Inst Oceanog, San Diego, CA 92103 USA; [Padman, Laurie] Earth &amp; Space Res, Corvallis, OR USA</t>
  </si>
  <si>
    <t>Paolo, FS (corresponding author), Univ Calif San Diego, Scripps Inst Oceanog, San Diego, CA 92103 USA.</t>
  </si>
  <si>
    <t>fpaolo@ucsd.edu</t>
  </si>
  <si>
    <t>Padman, Laurence/AAH-3808-2021; Paolo, Fernando/AGQ-9348-2022</t>
  </si>
  <si>
    <t>Paolo, Fernando/0000-0002-6439-2918; Fricker, Helen Amanda/0000-0002-0921-1432; Padman, Laurence/0000-0003-2010-642X</t>
  </si>
  <si>
    <t>NASA [NNX12AN50H 002 (93735A), NNX10AG19G, NNX13AP60G]; NASA [NNX13AP60G, 134135, NNX10AG19G, 466837] Funding Source: Federal RePORTER</t>
  </si>
  <si>
    <t>This work was funded by NASA [awards NNX12AN50H 002 (93735A), NNX10AG19G, and NNX13AP60G]. This is ESR contribution 154. We thank J. Zwally's Ice Altimetry group at the NASA Goddard Space Flight Center for distributing their RA data sets for all satellite radar altimeter missions (http://icesat4.gsfc.nasa.gov). We thank C. Davis and D. Wingham for RA-processing advice. We thank A. Shepherd and anonymous reviewers for their comments on the manuscript.</t>
  </si>
  <si>
    <t>10.1126/science.aaa0940</t>
  </si>
  <si>
    <t>CG0YC</t>
  </si>
  <si>
    <t>WOS:000352999000042</t>
  </si>
  <si>
    <t>Karanovic, I; Soh, HY</t>
  </si>
  <si>
    <t>Karanovic, Ivana; Soh, Ho-Young</t>
  </si>
  <si>
    <t>Five Sarsiellidae ostracods (Crustacea: Myodocopida) from the South Coast of Korea (East China Sea)</t>
  </si>
  <si>
    <t>biodiversity; COI; Ostracoda; phylogeny; taxonomy; zoogeography</t>
  </si>
  <si>
    <t>EUSARSIELLA; EVOLUTIONARY; PHYLOGENIES; ALIGNMENT; MODELS; SHELF; KEYS</t>
  </si>
  <si>
    <t>The East China Sea is part of the Warm Temperate Northwest Pacific zoogeographic province and, as such, has a high biodiversity and many tropical and subtropical biotic elements. Nevertheless, many invertebrate groups from this area remain poorly studied. Ostracods are one of them, especially those belonging to the subclass Myodocopa. In this paper we provide the first data on a diverse myodocopid family, Sarsiellidae, not only for the East China Sea, but also for Korea. Five species are reported in this paper from three Korean islands (Jeju, Chuja, and Maemul), and they are only a part of the ostracods collected during this study, indicating a high diversity of the group in this region. Three new species, Eurypylus koreanus sp. nov., Eusarsiella hanguk sp. nov., and Sarsiella nereis sp. nov., clearly stand apart from their respective congeners, mostly by prominent shell characters but also by details of the soft part morphology. Their affinity though clearly indicates a close connection of the region with the more southern zoogeographical realms, especially Central Indo Pacific and partly Temperate Australasia. Two species previously known from Japan (north part of the Sea of Japan and southeastern part of the Pacific Coast of Japan), Sarsiella japonica Hiruta, 1977 and S. misakiensis Kajiyama, 1912, are redescribed. Based on 11 newly obtained COI sequences we construct a preliminary phylogenetic tree, which supports previous hypotheses based on the morphological data, that Eusarsiella Cohen &amp; Kornicker, 1975 is a polyphyletic taxon. With the maps of species distribution provided for each of the three genera, we give an overview of their current zoogeography, and clearly indicate areas that have no data, mostly due to the lack of investigation.</t>
  </si>
  <si>
    <t>[Karanovic, Ivana] Hanyang Univ, Dept Life Sci, Seoul 133791, South Korea; [Karanovic, Ivana] Univ Tasmania, Inst Marine &amp; Antarctic Studies, Hobart, Tas 7001, Australia; [Soh, Ho-Young] Chonnam Natl Univ, Fac Marine Technol, Yeosu 550749, Jeonnam, South Korea</t>
  </si>
  <si>
    <t>Hanyang University; University of Tasmania; Chonnam National University</t>
  </si>
  <si>
    <t>Karanovic, I (corresponding author), Hanyang Univ, Dept Life Sci, Seoul 133791, South Korea.</t>
  </si>
  <si>
    <t>ivana@hanyang.ac.kr</t>
  </si>
  <si>
    <t>10.11646/zootaxa.3947.4.1</t>
  </si>
  <si>
    <t>CG0OO</t>
  </si>
  <si>
    <t>WOS:000352966100001</t>
  </si>
  <si>
    <t>Lu, X; Chu, XZ; Fong, WC; Chen, C; Yu, ZB; Roberts, BR; McDonald, AJ</t>
  </si>
  <si>
    <t>Lu, Xian; Chu, Xinzhao; Fong, Weichun; Chen, Cao; Yu, Zhibin; Roberts, Brendan R.; McDonald, Adrian J.</t>
  </si>
  <si>
    <t>Vertical evolution of potential energy density and vertical wave number spectrum of Antarctic gravity waves from 35 to 105km at McMurdo (77.8°S, 166.7°E)</t>
  </si>
  <si>
    <t>Antarctic gravity waves; wave potential energy density; wave number spectrum; wave dissipation and saturation; lidar remote sensing; observational filtering</t>
  </si>
  <si>
    <t>STARFIRE OPTICAL-RANGE; DOPPLER-SPREAD PARAMETERIZATION; LIDAR OBSERVATIONS; MIDDLE ATMOSPHERE; MESOPAUSE REGION; RAYLEIGH LIDAR; SOUTH-POLE; TEMPERATURE STRUCTURE; MOMENTUM DEPOSITION; UNIVERSAL SPECTRUM</t>
  </si>
  <si>
    <t>We report the first characterization of potential energy densities and vertical wave number spectra of Antarctic gravity waves (GWs) from 35 to 105km, derived from Fe lidar temperature measurements at McMurdo (77.8 degrees S, 166.7 degrees E) in 2011-2013 winters. For GWs with periods of 2-10h, the potential energy density per unit volume (E-pv) decreases by 2 orders of magnitude from 35 to 105km, while that per unit mass (E-pm) increases from several to hundreds of J/kg. E-pm increases with a mean scale height of similar to 10.4km in the Rayleigh region (35-65km) and of similar to 13.2km in the Fe region (81-105km), and of particular interest is the inferred severe dissipation in between (65-81km). Overall, the vertical evolutions of E-pv and E-pm indicate considerable wave energy loss from the stratosphere to the lower thermosphere. The vertical wave number spectra exhibit power law forms for vertical wavelengths (z)10km in 35-60km. PSDs increase by 1 order of magnitude from the stratosphere to the lower thermosphere. Using higher temporal resolution data to include 0.5-2h waves increase E-pm by similar to 25-45% and increase PSDs of 2-5km waves by a factor of 2 and of &gt;10km waves by less than 50%. Key Points</t>
  </si>
  <si>
    <t>[Lu, Xian; Chu, Xinzhao; Fong, Weichun; Chen, Cao; Yu, Zhibin; Roberts, Brendan R.] Univ Colorado, Cooperat Inst Res Environm Sci, Boulder, CO 80309 USA; [Chu, Xinzhao; Fong, Weichun; Chen, Cao; Yu, Zhibin] Univ Colorado, Dept Aerosp Engn Sci, Boulder, CO 80309 USA; [Roberts, Brendan R.] Natl Ecol Observ Network, Boulder, CO USA; [McDonald, Adrian J.] Univ Canterbury, Dept Phys &amp; Astron, Christchurch 1, New Zealand</t>
  </si>
  <si>
    <t>University of Colorado System; University of Colorado Boulder; University of Colorado System; University of Colorado Boulder; University of Canterbury</t>
  </si>
  <si>
    <t>Lu, X (corresponding author), Univ Colorado, Cooperat Inst Res Environm Sci, Boulder, CO 80309 USA.</t>
  </si>
  <si>
    <t>Xian.Lu@colorado.edu; Xinzhao.Chu@colorado.edu</t>
  </si>
  <si>
    <t>Yu, Zhibin/GZA-3374-2022; Lu, Xian/AAZ-3385-2021; Chen, Cao/D-9851-2016; Lu, Xian/A-2980-2015; CHU, XINZHAO/I-5670-2015</t>
  </si>
  <si>
    <t>Yu, Zhibin/0000-0001-5128-809X; Chen, Cao/0000-0002-7780-2787; Lu, Xian/0000-0002-2535-8151; CHU, XINZHAO/0000-0001-6147-1963; McDonald, Adrian/0000-0002-1456-6254</t>
  </si>
  <si>
    <t>National Science Foundation (NSF) [ANT-0839091, PLR-1246405, AGS-1343106]; Directorate For Geosciences; Office of Polar Programs (OPP) [1246405] Funding Source: National Science Foundation; Div Atmospheric &amp; Geospace Sciences; Directorate For Geosciences [1343106] Funding Source: National Science Foundation</t>
  </si>
  <si>
    <t>National Science Foundation (NSF)(National Science Foundation (NSF)); Directorate For Geosciences; Office of Polar Programs (OPP)(National Science Foundation (NSF)NSF - Directorate for Geosciences (GEO)); Div Atmospheric &amp; Geospace Sciences; Directorate For Geosciences(National Science Foundation (NSF)NSF - Directorate for Geosciences (GEO))</t>
  </si>
  <si>
    <t>We are grateful to Chester S. Gardner and David Fritts for valuable discussion on the gravity wave saturation theories, and Anne Smith and Rolando Garcia for helpful discussion on gravity wave potential energy densities. We acknowledge the staff of United States Antarctic Program, McMurdo Station, Antarctica, New Zealand, and Scott Base for their superb support. We offer special thanks to Vladimir Papitashvili of the National Science Foundation and Ed Butler of the Antarctica New Zealand for their encouragement and help in this collaborative research. We thank Wentao Huang, John Smith, Zhangjun Wang, Jian Zhao, and Julie Palais for their contributions and support to the McMurdo lidar campaign. This project was supported by the National Science Foundation (NSF) grants ANT-0839091, PLR-1246405, and AGS-1343106 (CEDAR). The data producing the results of this paper can be requested by communicating with the corresponding authors.</t>
  </si>
  <si>
    <t>APR 16</t>
  </si>
  <si>
    <t>10.1002/2014JD022751</t>
  </si>
  <si>
    <t>CG6LY</t>
  </si>
  <si>
    <t>WOS:000353413800009</t>
  </si>
  <si>
    <t>Harris, RMB; Carter, O; Gilfedder, L; Porfirio, LL; Lee, G; Bindoff, NL</t>
  </si>
  <si>
    <t>Harris, Rebecca Mary Bernadette; Carter, Oberon; Gilfedder, Louise; Porfirio, Luciana Laura; Lee, Greg; Bindoff, Nathaniel Lee</t>
  </si>
  <si>
    <t>Noah's Ark Conservation Will Not Preserve Threatened Ecological Communities under Climate Change</t>
  </si>
  <si>
    <t>SPECIES DISTRIBUTION MODELS; DISTRIBUTIONS; BIODIVERSITY; WOODLANDS; FUTURE; SHIFTS; PREDICTIONS; PROJECTIONS; MANAGEMENT; RESPONSES</t>
  </si>
  <si>
    <t>Background Effective conservation of threatened ecological communities requires knowledge of where climatically suitable habitat is likely to persist into the future. We use the critically endangered Lowland Grassland community of Tasmania, Australia as a case study to identify options for management in cases where future climatic conditions become unsuitable for the current threatened community. Methods We model current and future climatic suitability for the Lowland Themeda and the Lowland Poa Grassland communities, which make up the listed ecological community. We also model climatic suitability for the structurally dominant grass species of these communities, and for closely related grassland and woodland communities. We use a dynamically down-scaled regional climate model derived from six CMIP3 global climate models, under the A2 SRES emissions scenario. Results All model projections showed a large reduction in climatically suitable area by mid-century. Outcomes are slightly better if closely related grassy communities are considered, but the extent of suitable area is still substantially reduced. Only small areas within the current distribution are projected to remain climatically suitable by the end of the century, and very little of that area is currently in good condition. Conclusions As the climate becomes less suitable, a gradual change in the species composition, structure and habitat quality of the grassland communities is likely. Conservation management will need to focus on maintaining diversity, structure and function, rather than attempting to preserve current species composition. Options for achieving this include managing related grassland types to maintain grassland species at the landscape-scale, and maximising the resilience of grasslands by reducing further fragmentation, weed invasion and stress from other land uses, while accepting that change is inevitable. Attempting to maintain the status quo by conserving the current structure and composition of Lowland Grassland communities is unlikely to be a viable management option in the long term.</t>
  </si>
  <si>
    <t>[Harris, Rebecca Mary Bernadette; Lee, Greg; Bindoff, Nathaniel Lee] Univ Tasmania, Antarctic Climate &amp; Ecosyst Cooperat Res Ctr ACE, Hobart, Tas, Australia; [Carter, Oberon; Gilfedder, Louise] Dept Primary Ind Pk Water &amp; Environm, Resource Management &amp; Conservat Div, Hobart, Tas, Australia; [Porfirio, Luciana Laura] Australian Natl Univ, Fenner Sch Environm &amp; Soc, Canberra, ACT, Australia; [Bindoff, Nathaniel Lee] Univ Tasmania, Inst Marine &amp; Antarctic Studies, Hobart, Tas, Australia; [Bindoff, Nathaniel Lee] Univ New S Wales, ARC Ctr Excellence Climate Syst Sci, Sydney, NSW, Australia</t>
  </si>
  <si>
    <t>Antarctic Climate &amp; Ecosystems Cooperative Research Centre (ACE CRC); University of Tasmania; Australian National University; University of Tasmania; University of New South Wales Sydney; ARC Centre of Excellence for Climate System Science</t>
  </si>
  <si>
    <t>Harris, RMB (corresponding author), Univ Tasmania, Antarctic Climate &amp; Ecosyst Cooperat Res Ctr ACE, Hobart, Tas, Australia.</t>
  </si>
  <si>
    <t>rmharris@utas.edu.au</t>
  </si>
  <si>
    <t>Bindoff, Nathaniel Lee/IVV-0333-2023; Bindoff, Nathaniel Lee/C-8050-2011; Harris, Rebecca/N-2790-2013</t>
  </si>
  <si>
    <t>Bindoff, Nathaniel Lee/0000-0001-5662-9519; Bindoff, Nathaniel Lee/0000-0001-5662-9519; Harris, Rebecca/0000-0002-6426-2179</t>
  </si>
  <si>
    <t>Australian Government's National Environmental Research Program [L0018856]</t>
  </si>
  <si>
    <t>Australian Government's National Environmental Research Program(Australian Government)</t>
  </si>
  <si>
    <t>This research is an output from the Landscapes and Policy Research Hub, which is supported through funding from the Australian Government's National Environmental Research Program (Grant number L0018856) (http://www.environment.gov.au/science/nerp). The funders had no role in study design, data collection and analysis, decision to publish, or preparation of the manuscript.</t>
  </si>
  <si>
    <t>e0124014</t>
  </si>
  <si>
    <t>10.1371/journal.pone.0124014</t>
  </si>
  <si>
    <t>CG1ES</t>
  </si>
  <si>
    <t>WOS:000353016500078</t>
  </si>
  <si>
    <t>Nishiyama, T; Sato, K; Nakamura, T; Tsutsumi, M; Sato, T; Kohma, M; Nishimura, K; Tomikawa, Y; Ejiri, MK; Tsuda, TT</t>
  </si>
  <si>
    <t>Nishiyama, Takanori; Sato, Kaoru; Nakamura, Takuji; Tsutsumi, Masaki; Sato, Toru; Kohma, Masashi; Nishimura, Koji; Tomikawa, Yoshihiro; Ejiri, Mitsumu K.; Tsuda, Takuo T.</t>
  </si>
  <si>
    <t>Height and time characteristics of seasonal and diurnal variations in PMWE based on 1 year observations by the PANSY radar (69.0°S, 39.6°E)</t>
  </si>
  <si>
    <t>MST radar; polar mesosphere winter echo; the Antarctic; solar proton event; the PANSY radar</t>
  </si>
  <si>
    <t>MESOSPHERE WINTER ECHOES; POLAR MESOSPHERE; SUMMER; IONOSPHERE</t>
  </si>
  <si>
    <t>We report height and time variations in polar mesosphere winter echoes (PMWE) based on the Program of the Antarctic Syowa mesosphere-stratosphere-troposphere/incoherent scatter (PANSY) radar observations. PMWE were identified for 110 days from March to September 2013. PMWE occurrence frequency increased abruptly in May when two solar proton events occurred. PMWE were also observed even during periods without any solar proton events, suggesting that a possible cause of the PMWE is ionization by energetic electron precipitations. The monthly mean PMWE characteristics showed that occurrence of PMWE were mainly restricted to sunlit time. This fact indicates that electrons detached from negatively charged particles play an important role. While PMWE below 72km in altitude completely disappeared before sunset, it was detected above that altitude for a few hours even after sunset. This height dependence in the altitude range of 60-80km can be explained qualitatively by empirical effective recombination rates.</t>
  </si>
  <si>
    <t>[Nishiyama, Takanori; Nakamura, Takuji; Tsutsumi, Masaki; Nishimura, Koji; Tomikawa, Yoshihiro; Ejiri, Mitsumu K.] Natl Inst Polar Res, Tachikawa, Tokyo, Japan; [Sato, Kaoru; Kohma, Masashi] Univ Tokyo, Dept Earth &amp; Planetary Sci, Tokyo, Japan; [Nakamura, Takuji; Tsutsumi, Masaki; Tomikawa, Yoshihiro; Ejiri, Mitsumu K.] Grad Univ Adv Studies, SOKENDAI, Dept Polar Sci, Tachikawa, Tokyo, Japan; [Sato, Toru] Kyoto Univ, Dept Commun &amp; Comp Engn, Kyoto, Japan; [Tsuda, Takuo T.] Univ Electrocommun, Dept Commun Engn &amp; Informat, Tokyo, Japan</t>
  </si>
  <si>
    <t>Research Organization of Information &amp; Systems (ROIS); National Institute of Polar Research (NIPR) - Japan; University of Tokyo; Graduate University for Advanced Studies - Japan; Kyoto University; University of Electro-Communications - Japan</t>
  </si>
  <si>
    <t>Nishiyama, T (corresponding author), Natl Inst Polar Res, Tachikawa, Tokyo, Japan.</t>
  </si>
  <si>
    <t>nishiyama.takanori@nipr.ac.jp</t>
  </si>
  <si>
    <t>Nishiyama, Takanori/ABA-2671-2020; Sato, Toru/F-3818-2012; Satoh, Kaoru/P-2047-2015; Tomikawa, Yoshihiro/D-5304-2012; Nishiyama, Takanori/D-5546-2016; Sato, Kaoru/E-1693-2012; Kohma, Masashi/C-8055-2015</t>
  </si>
  <si>
    <t>Nishiyama, Takanori/0000-0002-3648-6589; Tomikawa, Yoshihiro/0000-0002-5652-3017; Nishiyama, Takanori/0000-0002-3648-6589; Nakamura, Takuji/0000-0002-3876-2946; Sato, Kaoru/0000-0002-6225-6066; Kohma, Masashi/0000-0001-9875-3032</t>
  </si>
  <si>
    <t>Ministry of Education, Culture, Sports, Science, and Technology (MEXT), Japan [25247075, 24340121]; National Institute of Polar Research; Grants-in-Aid for Scientific Research [25247075, 25610145, 25287129] Funding Source: KAKEN</t>
  </si>
  <si>
    <t>Ministry of Education, Culture, Sports, Science, and Technology (MEXT), Japan(Ministry of Education, Culture, Sports, Science and Technology, Japan (MEXT)); National Institute of Polar Research(National Institute of Polar Research (NIPR) - Japan); Grants-in-Aid for Scientific Research(Ministry of Education, Culture, Sports, Science and Technology, Japan (MEXT)Japan Society for the Promotion of ScienceGrants-in-Aid for Scientific Research (KAKENHI))</t>
  </si>
  <si>
    <t>This study is supported by Grant-in-Aid for Scientific Research (A) 25247075 and (B) 24340121 of the Ministry of Education, Culture, Sports, Science, and Technology (MEXT), Japan, and KP-2 project of National Institute of Polar Research. The PANSY radar was operated by Japanese Antarctic Research Expedition (JARE), and the authors greatly appreciate the continuous support from all JARE members. PANSY is a multi-institutional project with a core of the University of Tokyo and National Institute of Polar Research. The PANSY radar observation data are available at the project website, http://pansy.eps.s.u-tokyo.ac.jp. The information of SPE is available in the following address: ftp://ftp.swpc.noaa.gov/pub/indices/SPE.txt. The production of this paper was supported by an NIPR publication subsidy.</t>
  </si>
  <si>
    <t>10.1002/2015GL063349</t>
  </si>
  <si>
    <t>CH4FL</t>
  </si>
  <si>
    <t>WOS:000353988700004</t>
  </si>
  <si>
    <t>Pettit, EC; Lee, KM; Brann, JP; Nystuen, JA; Wilson, PS; O'Neel, S</t>
  </si>
  <si>
    <t>Pettit, Erin Christine; Lee, Kevin Michael; Brann, Joel Palmer; Nystuen, Jeffrey Aaron; Wilson, Preston Scot; O'Neel, Shad</t>
  </si>
  <si>
    <t>Unusually loud ambient noise in tidewater glacier fjords: A signal of ice melt</t>
  </si>
  <si>
    <t>ice-ocean interactions; fjord circulation; tidewater glaciers; passive acoustics; marine mammal behavior; glacier change</t>
  </si>
  <si>
    <t>BEHAVIOR; AIR; RAINFALL; WHALES; SOUND; BAY</t>
  </si>
  <si>
    <t>In glacierized fjords, the ice-ocean boundary is a physically and biologically dynamic environment that is sensitive to both glacier flow and ocean circulation. Ocean ambient noise offers insight into processes and change at the ice-ocean boundary. Here we characterize fjord ambient noise and show that the average noise levels are louder than nearly all measured natural oceanic environments (significantly louder than sea ice and nonglacierized fjords). Icy Bay, Alaska, has an annual average sound pressure level of 120dB (referenced to 1Pa) with a broad peak between 1000 and 3000Hz. Bubble formation in the water column as glacier ice melts is the noise source, with variability driven by fjord circulation patterns. Measurements from two additional fjords, in Alaska and Antarctica, support that this unusually loud ambient noise in Icy Bay is representative of glacierized fjords. These high noise levels likely alter the behavior of marine mammals.</t>
  </si>
  <si>
    <t>[Pettit, Erin Christine; Brann, Joel Palmer] Univ Alaska Fairbanks, Dept Geosci, Fairbanks, AK 99775 USA; [Lee, Kevin Michael; Wilson, Preston Scot] Univ Texas Austin, Appl Res Labs, Austin, TX 78713 USA; [Nystuen, Jeffrey Aaron] Univ Washington, Appl Phys Lab, Seattle, WA 98105 USA; [Wilson, Preston Scot] Univ Texas Austin, Dept Mech Engn, Austin, TX 78712 USA; [O'Neel, Shad] US Geol Survey, Alaska Sci Ctr, Anchorage, AK USA</t>
  </si>
  <si>
    <t>University of Alaska System; University of Alaska Fairbanks; University of Texas System; University of Texas Austin; University of Washington; University of Washington Seattle; University of Texas System; University of Texas Austin; United States Department of the Interior; United States Geological Survey</t>
  </si>
  <si>
    <t>Pettit, EC (corresponding author), Univ Alaska Fairbanks, Dept Geosci, Fairbanks, AK 99775 USA.</t>
  </si>
  <si>
    <t>pettit@gi.alaska.edu</t>
  </si>
  <si>
    <t>Pettit, Erin Christine/0000-0002-6765-9841</t>
  </si>
  <si>
    <t>National Science Foundation [OPP-0806317, OPP-0806143, OPP-0806253, OPP-0855265]; Office of Naval Research [N00014-10-1-0512]; USGS; Icy Bay Lodge; USFS; NSF; Office of Polar Programs (OPP); Directorate For Geosciences [0855265] Funding Source: National Science Foundation</t>
  </si>
  <si>
    <t>National Science Foundation(National Science Foundation (NSF)); Office of Naval Research(Office of Naval Research); USGS(United States Geological Survey); Icy Bay Lodge; USFS; NSF(National Science Foundation (NSF)); Office of Polar Programs (OPP); Directorate For Geosciences(National Science Foundation (NSF)NSF - Directorate for Geosciences (GEO))</t>
  </si>
  <si>
    <t>Field data from Icy Bay are archived in the NCAR/UCAR Earth Observing Laboratory (http://data.eol.ucar.edu/codiac/dss/id=106.372). Field data from Andvord Bay are available upon request from E. Pettit. Laboratory data are available upon request from K. Lee. This work was supported by grants OPP-0806317, OPP-0806143, OPP-0806253, and OPP-0855265 from the National Science Foundation, grant N00014-10-1-0512 from the Office of Naval Research, and support from the USGS Climate and Land Use Change Research and Development Program. Icy Bay field assistants: Joe Kennedy, Tim Bartholomaus, Eric Boget, Paul Aguilar, Hillary Hudson, Megan O'Sadnick, and Michelle Kissling. Icy Bay Lodge and the USFS provided additional support. Yakutat Bay PAL field deployment and retrieval: Manuel Castellote, Bill Lucey, Greg O'Corry-Crowe and Kate Stafford. Andvord Bay data collected as part of the NSF-funded LARISSA Project in collaboration with the Korean Polar Research Institute. Bruce Huber designed the mooring and provided additional equipment for the Antarctic deployment.</t>
  </si>
  <si>
    <t>10.1002/2014GL062950</t>
  </si>
  <si>
    <t>WOS:000353988700031</t>
  </si>
  <si>
    <t>Sinnhuber, BM; Meul, S</t>
  </si>
  <si>
    <t>Sinnhuber, Bjoern-Martin; Meul, Stefanie</t>
  </si>
  <si>
    <t>Simulating the impact of emissions of brominated very short lived substances on past stratospheric ozone trends</t>
  </si>
  <si>
    <t>ozone hole; VSLS; bromoform</t>
  </si>
  <si>
    <t>TROPICAL TROPOPAUSE LAYER; CONSISTENT SIMULATION; UPPER TROPOSPHERE; TECHNICAL NOTE; CHEMISTRY; BROMOFORM; MODEL; BROMOCARBONS; CLIMATE; CHBR3</t>
  </si>
  <si>
    <t>Bromine from very short lived substances (VSLS), primarily from natural oceanic sources, contributes substantially to the stratospheric bromine loading. This source of stratospheric bromine has so far been ignored in most chemistry climate model calculations of stratospheric ozone trends. Here we present a transient simulation with the chemistry climate model EMAC for the period 1960-2005 including emissions of the five brominated VSLS CHBr3, CH2Br2, CH2BrCl, CHBrCl2, and CHBr2Cl. The emissions lead to a realistic stratospheric bromine loading of about 20pptv for present-day conditions. Comparison with a standard model simulation without VSLS shows large differences in modeled ozone in the extratropical lowermost stratosphere and in the troposphere. Differences in ozone maximize in the Antarctic Ozone Hole, resulting in more than 20% less ozone when VSLS are included. Even though the emissions of VSLS are assumed to be constant in time, the model simulation with VSLS included shows a much larger ozone decrease in the lowermost stratosphere during the 1979-1995 period and a faster ozone increase during 1996-2005, in better agreement with observed ozone trends than the standard simulation without VSLS emissions.</t>
  </si>
  <si>
    <t>[Sinnhuber, Bjoern-Martin] KIT, Inst Meteorol &amp; Climate Res IMK ASF, Karlsruhe, Germany; [Meul, Stefanie] Free Univ Berlin, Inst Meteorol, Dept Earth Sci, Berlin, Germany</t>
  </si>
  <si>
    <t>Helmholtz Association; Karlsruhe Institute of Technology; Free University of Berlin</t>
  </si>
  <si>
    <t>Sinnhuber, BM (corresponding author), KIT, Inst Meteorol &amp; Climate Res IMK ASF, Karlsruhe, Germany.</t>
  </si>
  <si>
    <t>bjoern-martin.sinnhuber@kit.edu</t>
  </si>
  <si>
    <t>Sinnhuber, Bjorn-Martin/A-7007-2013</t>
  </si>
  <si>
    <t>Sinnhuber, Bjorn-Martin/0000-0001-9608-7320</t>
  </si>
  <si>
    <t>Deutsche Forschungsgemeinschaft (DFG) through the Research Unit SHARP [LA 1025/14-1, SI 1400/1-2]; Helmholtz Association through its Research Programme ATMO</t>
  </si>
  <si>
    <t>Deutsche Forschungsgemeinschaft (DFG) through the Research Unit SHARP; Helmholtz Association through its Research Programme ATMO</t>
  </si>
  <si>
    <t>Data for this paper are available at the Freie Universitat Berlin on the SHARP data archive under GRL_VSLS_EMAC_Sinnhuber_Meul_2015.tar. Parts of this work were supported by the Deutsche Forschungsgemeinschaft (DFG) through the Research Unit SHARP (LA 1025/14-1 and SI 1400/1-2) and by the Helmholtz Association through its Research Programme ATMO. The model integrations have been performed at the supercomputer system of the North German Super-computing Alliance (HLRN). We thank Ulrike Langematz for her helpful advice for this study. Anne Kubin is gratefully acknowledged for providing the data and the setup of the REF-B1 simulation. We thank Gisele Krysztofiak for help with creating the tropical average aircraft profiles. We thank Elliot Atlas from the University of Miami, Andreas Engel and Harald Bonisch from the University of Frankfurt, David Oram from the University of East Anglia, and Donald R. Blake from the University of California for advice on and access to the atmospheric halocarbon measurements. We thank Astrid Kerkweg, Christoph Bruhl, and Ryan Hossaini for provision of the VSLS emission scheme in EMAC and Sophie Godin-Beckmann, Vitali Fioletov, and Irina Petropavlovskikh for provision of the ozone observations. S.M. thanks Sophie Oberlander-Hayn for many constructive discussions.</t>
  </si>
  <si>
    <t>10.1002/2014GL062975</t>
  </si>
  <si>
    <t>WOS:000353988700048</t>
  </si>
  <si>
    <t>Clem, KR; Fogt, RL</t>
  </si>
  <si>
    <t>Clem, Kyle R.; Fogt, Ryan L.</t>
  </si>
  <si>
    <t>South Pacific circulation changes and their connection to the tropics and regional Antarctic warming in austral spring, 1979-2012</t>
  </si>
  <si>
    <t>Antarctica; climate; ENSO; PDO; ASL</t>
  </si>
  <si>
    <t>CLIMATE VARIABILITY; AMERICAN MODES; ANNULAR MODE; AMUNDSEN; SEA; PENINSULA; SURFACE; TRENDS; ENSO; OSCILLATION</t>
  </si>
  <si>
    <t>After 1979, statistically significant warming in Antarctica is only observed in austral spring (September-November, SON) across West Antarctica and the Antarctic Peninsula. While previous work has linked this warming to reductions in sea ice cover, we note that a substantial (30-60%) portion of the warming is related to changes in the SON atmospheric circulation. In particular, western Antarctic Peninsula warming is consistent with increasing pressure in the South Atlantic, while western West Antarctica warming is tied to a deepening of the Amundsen Sea low near the eastern Ross Sea. While both of these circulation changes are associated with increased warm, northerly flow toward the Antarctic continent, they are connected with different aspects of tropical variability. The increase in pressure in the South Atlantic is associated with a trend toward more La Nina-like conditions in the tropical Pacific, and an associated Rossby wave train. In contrast, the deepening of the Amundsen Sea low is more strongly tied to a shift in the Pacific Decadal Oscillation (PDO) toward its negative phase since the 1990s. Compared to typical La Nina events, the recent negative PDO events display a different tropical forcing, which drives a Rossby wave train that propagates more meridionally across the South Pacific, culminating in the eastern Ross Sea, rather than in the South Atlantic. The results suggest multiple independent forcing mechanisms governing the SON pressure trends and associated Antarctic Peninsula and West Antarctica warming after 1979, which partially cancel each other out in the Amundsen Sea and portions of eastern West Antarctica. Key Points</t>
  </si>
  <si>
    <t>[Clem, Kyle R.] Victoria Univ Wellington, Sch Geog Environm &amp; Earth Sci, Wellington, New Zealand; [Fogt, Ryan L.] Ohio Univ, Dept Geog, Athens, OH 45701 USA</t>
  </si>
  <si>
    <t>Victoria University Wellington; University System of Ohio; Ohio University</t>
  </si>
  <si>
    <t>Clem, KR (corresponding author), Victoria Univ Wellington, Sch Geog Environm &amp; Earth Sci, Wellington, New Zealand.</t>
  </si>
  <si>
    <t>kyle.clem@vuw.ac.nz</t>
  </si>
  <si>
    <t>Fogt, Ryan L/B-6989-2008; Clem, Kyle/AAG-6626-2021</t>
  </si>
  <si>
    <t>Fogt, Ryan L/0000-0002-5398-3990; Clem, Kyle/0000-0002-1419-2758</t>
  </si>
  <si>
    <t>U.S. National Science Foundation, Office of Polar Programs [ANT-0944168]; NSF [ANT-1341621]</t>
  </si>
  <si>
    <t>U.S. National Science Foundation, Office of Polar Programs(National Science Foundation (NSF)); NSF(National Science Foundation (NSF))</t>
  </si>
  <si>
    <t>Both authors acknowledge support from U.S. National Science Foundation, Office of Polar Programs through grant ANT-0944168. R.L.F. also acknowledges support from NSF grant ANT-1341621. ECMWF is thanked for providing the ERA-Interim data (accessed freely online at http://data-portal.ecmwf.int/data/d/interim_full_moda). NCEP is thanked for the CFSR data and the Japan Meteorological Agency is thanked for JRA-55 data (both accessed freely online at http://rda.ucar.edu/). The NASA Goddard Space Flight Center is thanked for the MERRA data (accessed freely online at http://disc.sci.gsfc.nasa.gov/). NOAA ESRL is thanked for the NOAA OI SST data (accessed freely online at http://www.esrl.noaa.gov/psd/data/gridded/data.noaa.oisst.v2.html). The Hadley Centre is thanked for providing the HadISST data for sea ice analysis (accessed freely online at http://www.metoffice.gov.uk/hadobs/hadisst/). Antarctic Peninsula temperature data were accessed freely online at http://www.antarctica.ac.uk/met/READER/data.html, the reconstructed Byrd station temperature record was accessed freely online at http://polarmet.osu.edu/Byrd_recon/, the Southern Oscillation Index (SOI) was accessed freely online through the Climate Prediction Center (http://www.cpc.ncep.noaa.gov/data/indices/), and the Pacific Decadal Oscillation (PDO) index was accessed freely online through the University of Washington at http://jisao.washington.edu/pdo/PDO.latest.</t>
  </si>
  <si>
    <t>10.1002/2014JD022940</t>
  </si>
  <si>
    <t>WOS:000353413800012</t>
  </si>
  <si>
    <t>Barker, S; Chen, J; Gong, X; Jonkers, L; Knorr, G; Thornalley, D</t>
  </si>
  <si>
    <t>Barker, Stephen; Chen, James; Gong, Xun; Jonkers, Lukas; Knorr, Gregor; Thornalley, David</t>
  </si>
  <si>
    <t>Icebergs not the trigger for North Atlantic cold events</t>
  </si>
  <si>
    <t>LAST GLACIAL PERIOD; DEEP-WATER; CLIMATE VARIABILITY; ICE-SHEET; CHRONOLOGY AICC2012; HEINRICH EVENTS; ANTARCTIC ICE; OCEAN; CIRCULATION; SEA</t>
  </si>
  <si>
    <t>Abrupt climate change is a ubiquitous feature of the Late Pleistocene epoch'. In particular, the sequence of Dansgaard Oeschger events (repeated transitions between warm interstadial and cold stadial conditions), as recorded by ice cores in Greenland', are thought to be linked to changes in the mode of overturning circulation in the Atlantic Ocean'. Moreover, the observed correspondence between North Atlantic cold events and increased iceberg calving and dispersal from ice sheets surrounding the North Atlantic' has inspired many ocean and climate modelling studies that make use of freshwater forcing scenarios to simulate abrupt change across the North Atlantic region and beyond'. On the other hand, previous studies(4,8) identified an apparent lag between North Atlantic cooling events and the appearance of ice-rafted debris over the last glacial cycle, leading to the hypothesis that iceberg discharge may be a consequence of stadial conditions rather than the cause(4,9-11). Here we further establish this relationship and demonstrate a systematic delay between pronounced surface cooling and the arrival of ice-rafted debris at a site southwest of Iceland over the past four glacial cycles, implying that in general icebergs arrived too late to have triggered cooling. Instead we suggest that on the basis of our comparisons of ice-rafted debris and polar planktonic foraminifera abrupt transitions to stadial conditions should be considered as a nonlinear response to more gradual cooling across the North Atlantic. Although the freshwater derived from melting icebergs may provide a positive feedback for enhancing and or prolonging stadial conditions(10,11), it does not trigger northern stadial events.</t>
  </si>
  <si>
    <t>[Barker, Stephen; Chen, James; Gong, Xun; Jonkers, Lukas] Cardiff Univ, Sch Earth &amp; Ocean Sci, Cardiff CF10 3AT, S Glam, Wales; [Knorr, Gregor] Alfred Wegener Inst, Helmholtz Ctr Polar &amp; Marine Res, D-27570 Bremerhaven, Germany; [Thornalley, David] UCL, Dept Geog, London WC1E 6BT, England; [Thornalley, David] Woods Hole Oceanog Inst, Woods Hole, MA 02543 USA</t>
  </si>
  <si>
    <t>Cardiff University; Helmholtz Association; Alfred Wegener Institute, Helmholtz Centre for Polar &amp; Marine Research; University of London; University College London; Woods Hole Oceanographic Institution</t>
  </si>
  <si>
    <t>Barker, S (corresponding author), Cardiff Univ, Sch Earth &amp; Ocean Sci, Cardiff CF10 3AT, S Glam, Wales.</t>
  </si>
  <si>
    <t>barkers3@cf.ac.uk</t>
  </si>
  <si>
    <t>Stephen, Barker/C-2770-2009; Jonkers, Lukas/H-6314-2011</t>
  </si>
  <si>
    <t>Barker, Stephen/0000-0001-7870-6431; Knorr, Gregor/0000-0002-8317-5046; Jonkers, Lukas/0000-0002-0253-2639; Gong, Xun/0000-0001-9308-4431</t>
  </si>
  <si>
    <t>Philip Leverhulme Prize; Corner Science and Education Foundation (GCCF3); UK Natural Environment Research Council (NERC) [NE/L006405/1, NE/J008133/1]; 'Helmholtz Climate Initiative REKLIM' (Regional Climate Change); Helmholtz Association of German research centres (HGF); climate change consortium of Wales; NERC [NE/L006405/1, NE/J008133/1] Funding Source: UKRI; Natural Environment Research Council [NE/J008133/1, NE/L006405/1] Funding Source: researchfish</t>
  </si>
  <si>
    <t>Philip Leverhulme Prize(Leverhulme Trust); Corner Science and Education Foundation (GCCF3); UK Natural Environment Research Council (NERC)(UK Research &amp; Innovation (UKRI)Natural Environment Research Council (NERC)); 'Helmholtz Climate Initiative REKLIM' (Regional Climate Change); Helmholtz Association of German research centres (HGF)(Helmholtz Association); climate change consortium of Wales; NERC(UK Research &amp; Innovation (UKRI)Natural Environment Research Council (NERC)); Natural Environment Research Council(UK Research &amp; Innovation (UKRI)Natural Environment Research Council (NERC))</t>
  </si>
  <si>
    <t>We thank S. Edwards, L Owen, F. Piggott, L. Skyrme and M. Theobald for assistance in the laboratory and J. McManus for discussions. This study was supported by a Philip Leverhulme Prize to S.B., the Corner Science and Education Foundation (GCCF3) and the UK Natural Environment Research Council (NERC) grants NE/L006405/1 and NE/J008133/1. Additional funding by 'Helmholtz Climate Initiative REKLIM' (Regional Climate Change), a joint research project of the Helmholtz Association of German research centres (HGF), is gratefully acknowledged (G.K.). L.J. was funded by the climate change consortium of Wales (http://www.C3Wales.org). This research used samples provided by the Integrated Ocean Drilling Program (IODP). We thank W. Hale for assistance in sampling and curation. All data and age models presented here are available in the Extended Data.</t>
  </si>
  <si>
    <t>+</t>
  </si>
  <si>
    <t>10.1038/nature14330</t>
  </si>
  <si>
    <t>CG0RI</t>
  </si>
  <si>
    <t>Green Submitted, Green Accepted</t>
  </si>
  <si>
    <t>WOS:000352974200035</t>
  </si>
  <si>
    <t>Takano, Y; Kojima, H; Takeda, E; Yokoyama, Y; Fukui, M</t>
  </si>
  <si>
    <t>Takano, Yoshinori; Kojima, Hisaya; Takeda, Eriko; Yokoyama, Yusuke; Fukui, Manabu</t>
  </si>
  <si>
    <t>Biogeochemistry and limnology in Antarctic subglacial weathering: molecular evidence of the linkage between subglacial silica input and primary producers in a perennially ice-covered lake</t>
  </si>
  <si>
    <t>PROGRESS IN EARTH AND PLANETARY SCIENCE</t>
  </si>
  <si>
    <t>Antarctic ice sheet; Subglacial biogeochemistry; Subglacial limnology; Sedimentary record; Siliceous primary producer</t>
  </si>
  <si>
    <t>RADIOCARBON AGE CALIBRATION; HOLOCENE PALEOLIMNOLOGICAL CHANGES; LAST GLACIAL MAXIMUM; LUTZOW-HOLM BAY; EAST ANTARCTICA; SOYA COAST; MELTWATER; SEDIMENTS; HISTORY; SKALLEN</t>
  </si>
  <si>
    <t>We report a 6,000 years record of subglacial weathering and biogeochemical processes in two perennially ice-covered glacial lakes at Rundvagshetta, on the Soya Coast of Lutzow-Holm Bay, East Antarctica. The two lakes, Lake Maruwan Oike and Lake Maruwan-minami, are located in a channel that drains subglacial water from the base of the East Antarctic ice sheet. Greenish-grayish organic-rich laminations in sediment cores from the lakes indicate continuous primary production affected by the inflow of subglacial meltwater containing relict carbon, nitrogen, sulfur, and other essential nutrients. Biogenic silica, amorphous hydrated silica, and DNA-based molecular signatures of sedimentary facies indicate that diatom assemblages are the dominant primary producers, supported by the input of inorganic silicon (Si) from the subglacial inflow. This study highlights the significance of subglacial water-rock interactions during physical and chemical weathering processes and the importance of such interactions for the supply of bioavailable nutrients.</t>
  </si>
  <si>
    <t>[Takano, Yoshinori; Yokoyama, Yusuke] Japan Agcy Marine Earth Sci &amp; Technol JAMSTEC, Dept Biogeochem, 2-15 Natsushima, Yokosuka, Kanagawa 2370061, Japan; [Kojima, Hisaya; Takeda, Eriko; Fukui, Manabu] Hokkaido Univ, Inst Low Temp Sci, Kita Ku, Sapporo, Hokkaido 0600819, Japan; [Yokoyama, Yusuke] Univ Tokyo, Atmosphere &amp; Ocean Res Inst, Kashiwa, Chiba 2778564, Japan</t>
  </si>
  <si>
    <t>Japan Agency for Marine-Earth Science &amp; Technology (JAMSTEC); Hokkaido University; University of Tokyo</t>
  </si>
  <si>
    <t>Takano, Y (corresponding author), Japan Agcy Marine Earth Sci &amp; Technol JAMSTEC, Dept Biogeochem, 2-15 Natsushima, Yokosuka, Kanagawa 2370061, Japan.</t>
  </si>
  <si>
    <t>takano@jamstec.go.jp</t>
  </si>
  <si>
    <t>Kojima, Hisaya/D-9100-2012; Fukui, Manabu/E-1323-2012</t>
  </si>
  <si>
    <t>Japan Society for the Promotion of Science; NEXT program [GR031]; Grants-in-Aid for Scientific Research [25287149] Funding Source: KAKEN</t>
  </si>
  <si>
    <t>Japan Society for the Promotion of Science(Ministry of Education, Culture, Sports, Science and Technology, Japan (MEXT)Japan Society for the Promotion of Science); NEXT program(Ministry of Education, Culture, Sports, Science and Technology, Japan (MEXT)Japan Society for the Promotion of Science); Grants-in-Aid for Scientific Research(Ministry of Education, Culture, Sports, Science and Technology, Japan (MEXT)Japan Society for the Promotion of ScienceGrants-in-Aid for Scientific Research (KAKENHI))</t>
  </si>
  <si>
    <t>We thank J. Sickman (Univ. California, Riverside), J. Tyler (Univ. Adelaide), and an anonymous reviewer for critical and constructive comments which helped to improve an earlier version of the manuscript. We also thank T. Sato (Hiroshima Univ.) and S. Imura (Natl. Inst. Polar Res., NIPR) for logistical supports, T. Sawagaki (Hokkaido Univ.) for the onsite field guide regarding past glacial erosion processes, N. Suzuki (Hokkaido Univ.) and N. Ohkouchi (JAMSTEC) for discussions, and members of the 47th Japan Antarctica Research Expedition (Expedition Leader: K. Shiraishi, NIPR) for logistical assistance. The AMS experiments were partially supported by Dr. H. Matsuzaki (Univ. Tokyo). Part of this work has been presented at the AGU Chapman Conference 2010 on the Exploration and Study of Antarctic Subglacial Aquatic Environment at Baltimore, USA. This research was supported in part by the Japan Society for the Promotion of Science (Y.T.) and NEXT program No. GR031 (Y.Y).</t>
  </si>
  <si>
    <t>2197-4284</t>
  </si>
  <si>
    <t>PROG EARTH PLANET SC</t>
  </si>
  <si>
    <t>Prog. Earth Planet. Sci.</t>
  </si>
  <si>
    <t>APR 15</t>
  </si>
  <si>
    <t>10.1186/s40645-015-0036-7</t>
  </si>
  <si>
    <t>CV0LT</t>
  </si>
  <si>
    <t>gold</t>
  </si>
  <si>
    <t>WOS:000363942900001</t>
  </si>
  <si>
    <t>Colabuono, FI; Taniguchi, S; Cipro, CVZ; da Silva, J; Bícego, MC; Montone, RC</t>
  </si>
  <si>
    <t>Colabuono, Fernanda Imperatrice; Taniguchi, Satie; Zecchin Cipro, Caio Vinicius; da Silva, Josilene; Bicego, Marcia Caruso; Montone, Rosalinda Carmela</t>
  </si>
  <si>
    <t>Persistent organic pollutants and polycyclic aromatic hydrocarbons in mosses after fire at the Brazilian Antarctic Station</t>
  </si>
  <si>
    <t>MARINE POLLUTION BULLETIN</t>
  </si>
  <si>
    <t>Antarctic vegetation; PCBs; HCB; PBDEs; PAHs; Fire emissions</t>
  </si>
  <si>
    <t>KING GEORGE ISLAND; CHLORINATED HYDROCARBONS; VEGETATION; PAH; ACCUMULATION; LICHENS; SOILS</t>
  </si>
  <si>
    <t>A fire at the Brazilian Antarctic Station on February 25th, 2012 led to the burning of material that produced organic pollutants. To evaluate the impact in the surrounding area, polycyclic aromatic hydrocarbons (PAHs) and persistent organic pollutants (POPs) were analyzed in moss samples collected in the vicinities of the station before and after the incident and compared to findings from previous studies in the same region. PCBs were on the same magnitude as that reported in previous studies, which could be associated to the global dispersion of these compounds and may not be related to the local fire. In contrast, concentrations of HCB and PAHs were higher than those reported in previous studies. No PBDEs were found above the method detection limit. Organic contaminant concentrations in mosses decreased a few months after the fire, which is an important characteristic when considering the use of mosses for monitoring recent exposure. (C) 2015 Elsevier Ltd. All rights reserved.</t>
  </si>
  <si>
    <t>[Colabuono, Fernanda Imperatrice; Taniguchi, Satie; Zecchin Cipro, Caio Vinicius; da Silva, Josilene; Bicego, Marcia Caruso; Montone, Rosalinda Carmela] Univ Sao Paulo, Inst Oceanog, Lab Quim Organ Marinha, Sao Paulo, Brazil; [Zecchin Cipro, Caio Vinicius] Univ La Rochelle, CNRS, UMR 7266, Littoral Environm &amp; Societes LIENSs, F-17042 La Rochelle 01, France</t>
  </si>
  <si>
    <t>Universidade de Sao Paulo; Centre National de la Recherche Scientifique (CNRS); La Rochelle Universite</t>
  </si>
  <si>
    <t>Colabuono, FI (corresponding author), Univ Sao Paulo, Inst Oceanog, Lab Quim Organ Marinha, Sao Paulo, Brazil.</t>
  </si>
  <si>
    <t>ficolabuono@gmail.com</t>
  </si>
  <si>
    <t>Bicego, Marcia C/D-1996-2013; Taniguchi, Satie/D-2552-2013; Colabuono, Fernanda Imperatrice/B-7197-2012; Zecchin Cipro, Caio Vinicius/C-6338-2014; Montone, Rosalinda/J-9110-2012</t>
  </si>
  <si>
    <t>Zecchin Cipro, Caio Vinicius/0000-0002-7028-6353; da Silva, Josilene/0000-0002-4527-9311; Bicego, Marcia/0000-0002-9939-9853; Montone, Rosalinda/0000-0002-9586-1000</t>
  </si>
  <si>
    <t>Brazilian Ministry of the Environment (MMA), Environmental monitoring in the direct influence area of the Brazilian Antarctic Station; Fundacao de Amparo a Pesquisa do Estado de Sao Paulo (Fapesp)</t>
  </si>
  <si>
    <t>Brazilian Ministry of the Environment (MMA), Environmental monitoring in the direct influence area of the Brazilian Antarctic Station; Fundacao de Amparo a Pesquisa do Estado de Sao Paulo (Fapesp)(Fundacao de Amparo a Pesquisa do Estado de Sao Paulo (FAPESP))</t>
  </si>
  <si>
    <t>Financial support was by the Brazilian Ministry of the Environment (MMA) as part of the Environmental monitoring in the direct influence area of the Brazilian Antarctic Station. The National Science and Technology Institute on Antarctic Environmental Research (INCT-APA) and the Brazilian Antarctic Program (PROANTAR) provided logistic support in Antarctica. The authors are also grateful to Dr. Jair Putzke (Universidade de Santa Cruz do Sul) and Dr. Antonio Pereira Batista (Universidade Federal do Pampa) for assistance in the identification of moss species. F.I. Colabuono received a research grant from the Fundacao de Amparo a Pesquisa do Estado de Sao Paulo (Fapesp).</t>
  </si>
  <si>
    <t>0025-326X</t>
  </si>
  <si>
    <t>1879-3363</t>
  </si>
  <si>
    <t>MAR POLLUT BULL</t>
  </si>
  <si>
    <t>Mar. Pollut. Bull.</t>
  </si>
  <si>
    <t>10.1016/j.marpolbul.2015.01.018</t>
  </si>
  <si>
    <t>CH0ST</t>
  </si>
  <si>
    <t>WOS:000353733400041</t>
  </si>
  <si>
    <t>Raju, MP; Safai, PD; Sonbawne, SM; Naidu, CV</t>
  </si>
  <si>
    <t>Raju, M. P.; Safai, P. D.; Sonbawne, S. M.; Naidu, C. V.</t>
  </si>
  <si>
    <t>Black carbon radiative forcing over the Indian Arctic station, Himadri during the Arctic Summer of 2012</t>
  </si>
  <si>
    <t>Black carbon; Arctic Summer; Himadri; Temporal variations; Long range transport; Radiative forcing</t>
  </si>
  <si>
    <t>LONG-TERM; AEROSOL-PARTICLES; AIR-POLLUTION; NY-ALESUND; ORIGINS; SULFATE; TRENDS; SITES; DEPTH; LIGHT</t>
  </si>
  <si>
    <t>The warming of Arctic region has recently gained worldwide attention due to its projected impacts on global climate system. The effect of anthropogenic black carbon (BC) aerosol on snow is of enduring interest due to its role in aerosol radiative forcing and further consequences for Arctic and global climate change. Using an A ethalometer, measurements of BC aerosols were continuously carried out over the Indian Arctic Station, Himadri during the Arctic Summer (23 July to 19 August) of 2012. Monthly mean BC mass concentration during July and August was found to be 0.093 +/- 0.046 and 0.069 +/- 0.050 mu g/m(3), respectively. BC mass concentration showed maximum loading during 0800-1600 LT. Transport from distant sources (as observed from air mass back trajectories) apart from some local anthropogenic activities (emissions from shipping and power plant) could be the possible sources for observed BC concentration at Himadri. Using the OPAC and SBDART models, optical properties and aerosol radiative forcing (ARF) in the spectral range 0.2 to 4 mu m for composite aerosol and without-BC aerosol at the top of the atmosphere, surface and atmosphere were computed. The presence of BC resulted in positive radiative forcing in the atmosphere leading to warming effect (+2.1 W/m(2)) whereas cooling was observed at the top of the atmosphere (-0.4 W/m(2)) and at surface (-2.5 W/m(2)). BC formed about 57% of atmospheric ARF. (C) 2015 Elsevier B.V. All rights reserved.</t>
  </si>
  <si>
    <t>[Raju, M. P.; Safai, P. D.; Sonbawne, S. M.] India Inst Trop Meteorol, Pune, Maharashtra, India; [Naidu, C. V.] Andhra Univ, Visakhapatnam, Andhra Pradesh, India</t>
  </si>
  <si>
    <t>Ministry of Earth Sciences (MoES) - India; Indian Institute of Tropical Meteorology (IITM); Andhra University</t>
  </si>
  <si>
    <t>Safai, PD (corresponding author), India Inst Trop Meteorol, Pune, Maharashtra, India.</t>
  </si>
  <si>
    <t>pdsafai@tropmet.res.in</t>
  </si>
  <si>
    <t>Safai, P.D./AAL-9301-2021; Naidu, Dr.C.V./ABG-2434-2021</t>
  </si>
  <si>
    <t>Naidu, Dr.C.V./0000-0001-7444-7313</t>
  </si>
  <si>
    <t>Indian Space Research Organisation-Geosphere Biosphere Program, Department of Space, Government of India; National Centre for Antarctic and Ocean Research, Ministry of Earth Sciences</t>
  </si>
  <si>
    <t>Authors are thankful to the Director, Indian Institute of Tropical Meteorology, Pune under the Ministry of Earth Science, Government of India for encouragement to undertake this work. MPR is also thankful to the Indian Space Research Organisation-Geosphere Biosphere Program, Department of Space, Government of India for providing financial support. Thanks to National Centre for Antarctic and Ocean Research, Ministry of Earth Sciences for providing financial support and infrastructure facility during the observational period at Arctic, Ny-Alesund. Thanks are also due to the Kings Bay group at Ny-Alesund for all the logistic support. Finally, the authors wish to thank the unknown reviewers for their valuable comments that have improved the scientific quality of this work.</t>
  </si>
  <si>
    <t>10.1016/j.atmosres.2015.01.013</t>
  </si>
  <si>
    <t>CE6RF</t>
  </si>
  <si>
    <t>WOS:000351964900003</t>
  </si>
  <si>
    <t>Vullo, D; De Luca, V; Del Prete, S; Carginale, V; Scozzafava, A; Capasso, C; Supuran, CT</t>
  </si>
  <si>
    <t>Vullo, Daniela; De Luca, Viviana; Del Prete, Sonia; Carginale, Vincenzo; Scozzafava, Andrea; Capasso, Clemente; Supuran, Claudiu T.</t>
  </si>
  <si>
    <t>Sulfonamide inhibition studies of the γ-carbonic anhydrase from the Antarctic cyanobacterium Nostoc commune</t>
  </si>
  <si>
    <t>BIOORGANIC &amp; MEDICINAL CHEMISTRY</t>
  </si>
  <si>
    <t>Carbonic anhydrase; Metalloenzymes; Hydratase activity; Antarctic carbonic anhydrase; Cyanobacteria</t>
  </si>
  <si>
    <t>DIATOM THALASSIOSIRA-WEISSFLOGII; SULFURIHYDROGENIBIUM-YELLOWSTONENSE YO3AOP1; PATHOGEN PORPHYROMONAS-GINGIVALIS; FISH NOTOTHENIA-CORIICEPS; BACTERIUM VIBRIO-CHOLERAE; BETA-CLASS ENZYME; HUMAN ISOFORM-II; ANION INHIBITION; THERAPEUTIC APPLICATIONS; IX INHIBITORS</t>
  </si>
  <si>
    <t>A carbonic anhydrase (CA, EC 4.2.1.1) belonging to the gamma-class has been cloned, purified and characterized from the Antarctic cyanobacterium Nostoc commune. The enzyme showed a good catalytic activity for the physiologic reaction (hydration of carbon dioxide to bicarbonate and a proton) with the following kinetic parameters, k(cat) of 9.5 x 10(5) s(-1) and k(cat)/K-M of 8.3 x 10(7) M-1 s(-1), being the gamma-CA with the highest catalytic activity described so far. A range of aromatic/heterocyclic sulfonamides and one sulfamate were investigated as inhibitors of the new enzyme, denominated here NcoCA. The best NcoCA inhibitors were some sulfonylated sulfanilamide derivatives possessing elongated molecules, aminobenzolamide, acetazolamide, benzolamide, dorzolamide, brinzolamide and topiramate, which showed inhibition constants in the range of 40.3-92.3 nM. As 1,5-bisphosphate carboxylase/oxygenase (RubisCO) and gamma-CAs are closely associated in carboxysomes of cyanobacteria for enhancing the affinity of RubisCO for CO2 and the efficiency of photosynthesis, investigation of this new enzyme and its affinity for modulators of its activity may bring new insights in these crucial processes. (C) 2015 Elsevier Ltd. All rights reserved.</t>
  </si>
  <si>
    <t>[Vullo, Daniela; Del Prete, Sonia; Scozzafava, Andrea; Supuran, Claudiu T.] Univ Florence, Dipartimento Chim, Lab Chim Bioinorgan, Polo Sci, I-50019 Florence, Italy; [De Luca, Viviana; Del Prete, Sonia; Carginale, Vincenzo; Capasso, Clemente] CNR, Ist Biosci &amp; Biorisorse, I-80125 Naples, Italy; [Supuran, Claudiu T.] Univ Florence, DipartimentoNeurofarba, Sez Sci Farmaceut, Polo Sci, I-50019 Florence, Italy</t>
  </si>
  <si>
    <t>University of Florence; Consiglio Nazionale delle Ricerche (CNR); Istituto di Bioscienze e Biorisorse (IBBR-CNR); University of Florence</t>
  </si>
  <si>
    <t>Capasso, C (corresponding author), CNR, Ist Biosci &amp; Biorisorse, Via Pietro Castellino 81, I-80125 Naples, Italy.</t>
  </si>
  <si>
    <t>clemente.capasso@ibbr.cnr.it; claudiu.supuran@unifi.it</t>
  </si>
  <si>
    <t>De Luca, Viviana/Q-2911-2016; CAPASSO, CLEMENTE/P-3522-2016; Carginale, Vincenzo/N-2531-2014</t>
  </si>
  <si>
    <t>DE LUCA, Viviana/0000-0003-3406-833X; CAPASSO, CLEMENTE/0000-0003-3314-2411; Scozzafava, Andrea/0000-0001-5020-3322; VULLO, Daniela/0000-0002-1352-1900; Supuran, Claudiu/0000-0003-4262-0323; Carginale, Vincenzo/0000-0002-1842-494X</t>
  </si>
  <si>
    <t>Italian National Antarctic Research Project [PNRA 2013/AZ1.02]</t>
  </si>
  <si>
    <t>Italian National Antarctic Research Project</t>
  </si>
  <si>
    <t>This work was financed by the Italian National Antarctic Research Project PNRA 2013/AZ1.02.</t>
  </si>
  <si>
    <t>0968-0896</t>
  </si>
  <si>
    <t>1464-3391</t>
  </si>
  <si>
    <t>BIOORGAN MED CHEM</t>
  </si>
  <si>
    <t>Bioorg. Med. Chem.</t>
  </si>
  <si>
    <t>10.1016/j.bmc.2015.02.045</t>
  </si>
  <si>
    <t>Biochemistry &amp; Molecular Biology; Chemistry, Medicinal; Chemistry, Organic</t>
  </si>
  <si>
    <t>Biochemistry &amp; Molecular Biology; Pharmacology &amp; Pharmacy; Chemistry</t>
  </si>
  <si>
    <t>CE5ED</t>
  </si>
  <si>
    <t>WOS:000351852400006</t>
  </si>
  <si>
    <t>Alvarez, C; Veblen, TT; Christie, DA; González-Reyes, A</t>
  </si>
  <si>
    <t>Alvarez, Claudio; Veblen, Thomas T.; Christie, Duncan A.; Gonzalez-Reyes, Alvaro</t>
  </si>
  <si>
    <t>Relationships between climate variability and radial growth of Nothofagus pumilio near altitudinal treeline in the Andes of northern Patagonia, Chile</t>
  </si>
  <si>
    <t>FOREST ECOLOGY AND MANAGEMENT</t>
  </si>
  <si>
    <t>Nothofagus pumilio; Treeline; Tree growth; El Nino-Southern Oscillation; Antarctic Oscillation</t>
  </si>
  <si>
    <t>TIERRA-DEL-FUEGO; EL-NINO; SOUTHERN ANDES; FIRE HISTORY; RAIN-FOREST; ENSO; TEMPERATURE; CIRCULATION; TIMBERLINE; STREAMFLOW</t>
  </si>
  <si>
    <t>Global warming is expected to enhance radial tree growth at alpine treeline sites worldwide. We developed a well-replicated tree-ring chronology from Nothofagus pumilio near treeline in a high precipitation climate on Choshuenco Volcano (40 degrees S) in Chile to examine: (a) variation in tree radial growth in relation to interannual climatic variability; and (b) relationships of radial growth to variability in El Nino Southern Oscillation (ENSO) and the Antarctic Oscillation (AAO) at interannual and decadal time scales. A tree-ring chronology based on 99 tree-ring series from 80 N. pumilio trees near treeline showed a high series intercorrelation (0.48) indicating a strong common environmental signal. Radial growth is negatively correlated with precipitation in late spring (November-December). Temperature and tree growth are positively correlated during late spring and early summer (November-January). Interannual variability in both seasonal climate and in tree growth is strongly teleconnected to ENSO and AAO variability. Radial growth of N. pumilio in this humid high-elevation forest does not show a positive trend over the past half century as predicted from global treeline theory and broadscale warming in the Patagonian-Andean region. Instead, tree growth increased sharply from the 1960s to a peak in the early 1980s but subsequently declined for c. 30 years to its lowest level in &gt;100 years. The shift to higher radial growth after c. 1976 coincides with a shift towards warmer sea surface temperatures in the tropical Pacific which in turn are associated with warmer growing season temperatures. The decline in tree growth since the mid-1990s is coincident with the increasingly positive phase of the AA0 and high spring precipitation periods associated with El Nino conditions. The recent shift towards reduced growth of N. pumilio at this humid high-elevation site coincident with rising MO mirrors the reduced tree growth beginning in the 1960s for trees growing in relatively xeric, lower elevation sites throughout the Patagonian-Andean region. The current study indicates that N. pumilio growth response in humid high-elevation environments to recent broad-scale warming has been non-linear, and that MO and ENSO are key climatic forcings of tree growth variability. (C) 2015 Elsevier B.V. All rights reserved.</t>
  </si>
  <si>
    <t>[Alvarez, Claudio; Veblen, Thomas T.] Univ Colorado, Dept Geog, Biogeog Lab, Boulder, CO 80309 USA; [Alvarez, Claudio; Christie, Duncan A.] Univ Austral Chile, Lab Dendrocronol &amp; Cambio Global, Inst Conservac Biodiversidad &amp; Terr, Fac Ciencias Forestales &amp; Recursos Nat, Valdivia, Chile; [Alvarez, Claudio; Christie, Duncan A.] Ctr Climate &amp; Resilience Res CR2, Santiago, Chile; [Gonzalez-Reyes, Alvaro] Univ Chile, Fac Ciencias Fis &amp; Matemat, Dept Geol, Santiago, Chile</t>
  </si>
  <si>
    <t>University of Colorado System; University of Colorado Boulder; Universidad Austral de Chile; Universidad de Chile</t>
  </si>
  <si>
    <t>Alvarez, C (corresponding author), Univ Austral Chile, Lab Dendrocronol &amp; Cambio Global, Inst Conservac Biodiversidad &amp; Terr, Fac Ciencias Forestales &amp; Recursos Nat, Valdivia, Chile.</t>
  </si>
  <si>
    <t>dendro.alvarez@gmail.com</t>
  </si>
  <si>
    <t>Christie, Duncan A./Q-7114-2016; Veblen, Thomas T./U-6461-2018</t>
  </si>
  <si>
    <t>Christie, Duncan A./0000-0003-2540-0986;</t>
  </si>
  <si>
    <t>Chilean Research Council (FONDECYT) [1120965]; Chilean Research Council (FONDAP) [1511009]; U.S. National Science Foundation [0956552, 0966472]; Adam Kolff Memorial Research Fellowship from the Geography Department of the University of Colorado; CONICYT (Comision Nacional Ciencia y Tecnologia, Chile); Direct For Social, Behav &amp; Economic Scie; Division Of Behavioral and Cognitive Sci [0956552] Funding Source: National Science Foundation; Office Of Internatl Science &amp;Engineering; Office Of The Director [0966472] Funding Source: National Science Foundation</t>
  </si>
  <si>
    <t>Chilean Research Council (FONDECYT)(Comision Nacional de Investigacion Cientifica y Tecnologica (CONICYT)CONICYT FONDECYT); Chilean Research Council (FONDAP)(Comision Nacional de Investigacion Cientifica y Tecnologica (CONICYT)CONICYT FONDAP); U.S. National Science Foundation(National Science Foundation (NSF)); Adam Kolff Memorial Research Fellowship from the Geography Department of the University of Colorado; CONICYT (Comision Nacional Ciencia y Tecnologia, Chile); Direct For Social, Behav &amp; Economic Scie; Division Of Behavioral and Cognitive Sci(National Science Foundation (NSF)NSF - Directorate for Social, Behavioral &amp; Economic Sciences (SBE)); Office Of Internatl Science &amp;Engineering; Office Of The Director(National Science Foundation (NSF)NSF - Office of the Director (OD))</t>
  </si>
  <si>
    <t>We thank Waldo Iglesias, Moises Rojas and Felipe Gonzalez for supporting during field activities. This research was carried out with the aid of grants from the Chilean Research Council (FONDECYT 1120965 and FONDAP 1511009), the U.S. National Science Foundation (awards 0956552 and 0966472), and The Adam Kolff Memorial Research Fellowship from the Geography Department of the University of Colorado. The first author thanks CONICYT (Comision Nacional Ciencia y Tecnologia, Chile) for financial support to develop postgraduate studies at University of Colorado at Boulder. We thank two anonymous referees for their helpful comments on the manuscript.</t>
  </si>
  <si>
    <t>0378-1127</t>
  </si>
  <si>
    <t>1872-7042</t>
  </si>
  <si>
    <t>FOREST ECOL MANAG</t>
  </si>
  <si>
    <t>For. Ecol. Manage.</t>
  </si>
  <si>
    <t>10.1016/j.foreco.2015.01.018</t>
  </si>
  <si>
    <t>Forestry</t>
  </si>
  <si>
    <t>CD2UP</t>
  </si>
  <si>
    <t>WOS:000350934800013</t>
  </si>
  <si>
    <t>Landais, A; Masson-Delmotte, V; Stenni, B; Selmo, E; Roche, DM; Jouzel, J; Lambert, F; Guillevic, M; Bazin, L; Arzel, O; Vinther, B; Gkinis, V; Popp, T</t>
  </si>
  <si>
    <t>Landais, A.; Masson-Delmotte, V.; Stenni, B.; Selmo, E.; Roche, D. M.; Jouzel, J.; Lambert, F.; Guillevic, M.; Bazin, L.; Arzel, O.; Vinther, B.; Gkinis, V.; Popp, T.</t>
  </si>
  <si>
    <t>A review of the bipolar see-saw from synchronized and high resolution ice core water stable isotope records from Greenland and East Antarctica</t>
  </si>
  <si>
    <t>Ice cores; Bipolar seesaw; Dansgaard Oeschger events; Water isotopes</t>
  </si>
  <si>
    <t>EPICA DOME-C; ABRUPT CLIMATE-CHANGE; MERIDIONAL OVERTURNING CIRCULATION; DRONNING MAUD LAND; MELTWATER PULSE 1A; NORTH-ATLANTIC; MIS 3; THERMOHALINE CIRCULATION; VOLCANIC SYNCHRONIZATION; CHRONOLOGY AICC2012</t>
  </si>
  <si>
    <t>Numerous ice core records are now available that cover the Last Glacial cycle both in Greenland and in Antarctica. Recent developments in coherent ice core chronologies now enable us to depict with a precision of a few centuries the relationship between climate records in Greenland and Antarctica over the millennial scale variability of the Last Glacial period. Stacks of Greenland and Antarctic water isotopic records nicely illustrate a seesaw pattern with the abrupt warming in Greenland being concomitant with the beginning of the cooling in Antarctica at the Antarctic Isotopic Maximum (AIM). In addition, from the precise estimate of chronological error bars and additional high resolution measurements performed on the EDC and TALDICE ice cores, we show that the seesaw pattern does not explain the regional variability in Antarctic records with clear two step structures occurring during the warming phase of AIM 8 and 12. Our Antarctic high resolution data also suggest possible teleconnections between changes in low latitude atmospheric circulation and Antarctic without any Greenland temperature fingerprint. (C) 2015 Elsevier Ltd. All rights reserved.</t>
  </si>
  <si>
    <t>[Landais, A.; Masson-Delmotte, V.; Roche, D. M.; Jouzel, J.; Guillevic, M.; Bazin, L.] CEA, CNRS, UVSQ, Inst Pierre Simon Laplace,LSCE,UMR 8212, F-91198 Gif Sur Yvette, France; [Stenni, B.] Univ Trieste, Dept Math &amp; Geosci, I-34127 Trieste, Italy; [Stenni, B.] Ca Foscari Univ Venice, Dept Environm Sci Informat &amp; Stat, Venice, Italy; [Selmo, E.] Univ Parma, Dept Phys &amp; Earth Sci, I-43100 Parma, Italy; [Roche, D. M.] Vrije Univ Amsterdam, Fac Earth &amp; Life Sci, Earth &amp; Climate Cluster, Amsterdam, Netherlands; [Lambert, F.] Univ Chile, Ctr Climate &amp; Resilience Res, Santiago, Chile; [Arzel, O.] Univ Bretagne Occidentale, Lab Phys Oceans, UMR 6523, Brest, France; [Guillevic, M.; Vinther, B.; Gkinis, V.; Popp, T.] Univ Copenhagen, Niels Bohr Inst, Ctr Ice &amp; Climate, DK-2100 Copenhagen, Denmark</t>
  </si>
  <si>
    <t>Universite Paris Saclay; Universite Paris Cite; CEA; Centre National de la Recherche Scientifique (CNRS); CNRS - National Institute for Earth Sciences &amp; Astronomy (INSU); University of Trieste; Universita Ca Foscari Venezia; University of Parma; Vrije Universiteit Amsterdam; Universidad de Chile; Centre National de la Recherche Scientifique (CNRS); CNRS - National Institute for Earth Sciences &amp; Astronomy (INSU); Ifremer; Institut de Recherche pour le Developpement (IRD); Universite de Bretagne Occidentale; University of Copenhagen; Niels Bohr Institute</t>
  </si>
  <si>
    <t>Landais, A (corresponding author), CEA, CNRS, UVSQ, Inst Pierre Simon Laplace,LSCE,UMR 8212, F-91198 Gif Sur Yvette, France.</t>
  </si>
  <si>
    <t>amaelle.landais@lsce.ipsl.fr</t>
  </si>
  <si>
    <t>Masson-Delmotte, Valerie L/G-1995-2011; Lambert, Fabrice/M-2003-2014; Gkinis, Vasileios/E-8185-2011; Arzel, Olivier/L-6636-2015; Roche, Didier M./C-9875-2010</t>
  </si>
  <si>
    <t>Masson-Delmotte, Valerie L/0000-0001-8296-381X; Lambert, Fabrice/0000-0002-2192-024X; Gkinis, Vasileios/0000-0002-5910-1549; Stenni, Barbara/0000-0003-4950-3664; Bazin, Lucie/0000-0003-4808-4090; Vinther, Bo/0000-0002-6078-771X; Roche, Didier M./0000-0001-6272-9428; Guillevic, Mathieu/0000-0002-0081-785X; LANDAIS, Amaelle/0000-0002-5620-5465</t>
  </si>
  <si>
    <t>EU; Project CONICYT/FONDAP [15110009, NC120066]; French ANR (Agence Nationale de Recherche); foundation Ars et Cuttoli; ERC program COMBINISO [306045]; European Research Council (ERC) [306045] Funding Source: European Research Council (ERC)</t>
  </si>
  <si>
    <t>EU(European Union (EU)); Project CONICYT/FONDAP(Comision Nacional de Investigacion Cientifica y Tecnologica (CONICYT)CONICYT FONDAP); French ANR (Agence Nationale de Recherche)(Agence Nationale de la Recherche (ANR)); foundation Ars et Cuttoli; ERC program COMBINISO(European Research Council (ERC)); European Research Council (ERC)(European Research Council (ERC)Spanish Government)</t>
  </si>
  <si>
    <t>This work is a contribution to the European Project for Ice Coring in Antarctica (EPICA), a joint European Science Foundation/European Commission scientific program, funded by the EU and by national contributions from Belgium, Denmark, France, Germany, Italy, the Netherlands, Norway, Sweden, Switzerland and the United Kingdom. The main logistic support was provided by IPEV and PNRA (at Dome C) and AWI (at Dronning Maud Land). The Tabs Dome Ice core Project (TALDICE), a joint European programme, is funded by national contributions from Italy, France, Germany, Switzerland and the UK. Primary logistical support was provided by PNRA at Tabs Dome. F. Lambert acknowledges support by Project CONICYT/FONDAP 15110009 and NC120066. This work has benefited from supports from the French ANR (Agence Nationale de Recherche), the foundation Ars et Cuttoli and the ERC program COMBINISO (306045). The authors thank the reviewer for his important inputs that improved the quality of the final manuscript.</t>
  </si>
  <si>
    <t>10.1016/j.quascirev.2015.01.031</t>
  </si>
  <si>
    <t>CG2FJ</t>
  </si>
  <si>
    <t>WOS:000353090000002</t>
  </si>
  <si>
    <t>Dessai, RR; Desa, JAE; Sen, D; Mazumder, S</t>
  </si>
  <si>
    <t>Dessai, R. Raut; Desa, J. A. E.; Sen, D.; Mazumder, S.</t>
  </si>
  <si>
    <t>A small angle neutron scattering study of isolated nanopores in a ceramic</t>
  </si>
  <si>
    <t>JOURNAL OF ALLOYS AND COMPOUNDS</t>
  </si>
  <si>
    <t>Ceramics; Sintering; Isolated pores; Porosity; Small angle neutron scattering</t>
  </si>
  <si>
    <t>PORE MORPHOLOGY; RICE HUSK; TEMPERATURE; SYSTEMS</t>
  </si>
  <si>
    <t>The isolated pores in a silica ceramic sintered at 1073 K and 1273 K have been studied by small angle neutron scattering using the technique of scattering contrast factor variation. A mixture of H2O and D2O which matched the scattering length density of the ceramic matrix was introduced into the pores of the sample. The connected pores were thus contrast matched and hence the measured intensity was solely due to the presence of the isolated pores having no contrast matched liquid inside. Analysis of the data yielded a widely separated bi-modal distribution (with modes at similar to 170 nm and 35 nm) of nanopores in the compacts. A qualitative model for the sintering in this ceramic is proposed where densification of the matrix occurs by annihilation of smaller pores. However, this is associated with enhancement in the number of larger pores through pore coalescence. In this description the connected pores both - macro and nano - increase in number - simultaneous with a decrease in numbers of isolated pores. (C) 2014 Elsevier B.V. All rights reserved.</t>
  </si>
  <si>
    <t>[Dessai, R. Raut; Desa, J. A. E.] Goa Univ, Dept Phys, Taleigao Plateau 403206, Goa, India; [Sen, D.; Mazumder, S.] Bhabha Atom Res Ctr, Div Solid State Phys, Bombay 400085, Maharashtra, India</t>
  </si>
  <si>
    <t>Goa University; Bhabha Atomic Research Center (BARC)</t>
  </si>
  <si>
    <t>Desa, JAE (corresponding author), Goa Univ, Dept Phys, Taleigao Plateau 403206, Goa, India.</t>
  </si>
  <si>
    <t>erwindesa@gmail.com</t>
  </si>
  <si>
    <t>Dessai, Reshma Raut/AAY-1322-2020; Sen, Debasis/K-6391-2015</t>
  </si>
  <si>
    <t>UGC-DAE CSR [CRS-M-148]; Solid State Physics Division, Bhabha Atomic Research Center, India</t>
  </si>
  <si>
    <t>UGC-DAE CSR; Solid State Physics Division, Bhabha Atomic Research Center, India</t>
  </si>
  <si>
    <t>The authors gratefully acknowledge; funding of this work by UGC-DAE CSR (CRS-M-148); Solid State Physics Division, Bhabha Atomic Research Center, India; and the Director and staff of National Centre for Antarctic and Ocean Research, Vasco da Gama, Goa, for help with the SEM micrographs.</t>
  </si>
  <si>
    <t>ELSEVIER SCIENCE SA</t>
  </si>
  <si>
    <t>PO BOX 564, 1001 LAUSANNE, SWITZERLAND</t>
  </si>
  <si>
    <t>0925-8388</t>
  </si>
  <si>
    <t>1873-4669</t>
  </si>
  <si>
    <t>J ALLOY COMPD</t>
  </si>
  <si>
    <t>J. Alloy. Compd.</t>
  </si>
  <si>
    <t>10.1016/j.jallcom.2014.11.215</t>
  </si>
  <si>
    <t>Chemistry, Physical; Materials Science, Multidisciplinary; Metallurgy &amp; Metallurgical Engineering</t>
  </si>
  <si>
    <t>Chemistry; Materials Science; Metallurgy &amp; Metallurgical Engineering</t>
  </si>
  <si>
    <t>CA7FV</t>
  </si>
  <si>
    <t>WOS:000349084100015</t>
  </si>
  <si>
    <t>Dziak, RP; Bohnenstiehl, DR; Stafford, KM; Matsumoto, H; Park, M; Lee, WS; Fowler, MJ; Lau, TK; Haxel, JH; Mellinger, DK</t>
  </si>
  <si>
    <t>Dziak, Robert P.; Bohnenstiehl, DelWayne R.; Stafford, Kathleen M.; Matsumoto, Haruyoshi; Park, Minkyu; Lee, Won Sang; Fowler, Matt J.; Lau, Tai-Kwan; Haxel, Joseph H.; Mellinger, David K.</t>
  </si>
  <si>
    <t>Sources and Levels of Ambient Ocean Sound near the Antarctic Peninsula</t>
  </si>
  <si>
    <t>MARINE MAMMALS; ICE-SHELF; SEA; NOISE; BLUE; PACIFIC; ICEBERGS; RETREAT; WATERS; RANGE</t>
  </si>
  <si>
    <t>Arrays of hydrophones were deployed within the Bransfield Strait and Scotia Sea (Antarctic Peninsula region) from 2005 to 2009 to record ambient ocean sound at frequencies of up to 125 and 500 Hz. Icequakes, which are broadband, short duration signals derived from fracturing of large free-floating icebergs, are a prominent feature of the ocean soundscape. Ice quake activity peaks during austral summer and is minimum during winter, likely following freeze-thaw cycles. Iceberg grounding and rapid disintegration also releases significant acoustic energy, equivalent to large-scale geophysical events. Overall ambient sound levels can be as much as similar to 10-20 dB higher in the open, deep ocean of the Scotia Sea compared to the relatively shallow Bransfield Strait. Noise levels become lowest during the austral winter, as sea-ice cover suppresses wind and wave noise. Ambient noise levels are highest during austral spring and summer, as surface noise, ice cracking and biological activity intensifies. Vocalizations of blue (Balaenoptera musculus) and fin (B. physalus) whales also dominate the long-term spectra records in the 15-28 and 89 Hz bands. Blue whale call energy is a maximum during austral summer-fall in the Drake Passage and Bransfield Strait when ambient noise levels are a maximum and sea-ice cover is a minimum. Fin whale vocalizations were also most common during austral summer-early fall months in both the Bransfield Strait and Scotia Sea. The hydrophone data overall do not show sustained anthropogenic sources (ships and airguns), likely due to low coastal traffic and the typically rough weather and sea conditions of the Southern Ocean.</t>
  </si>
  <si>
    <t>[Dziak, Robert P.; Matsumoto, Haruyoshi; Fowler, Matt J.; Lau, Tai-Kwan; Haxel, Joseph H.; Mellinger, David K.] Oregon State Univ, Cooperat Inst Marine Resources Studies, Newport, OR 97365 USA; [Dziak, Robert P.; Matsumoto, Haruyoshi; Fowler, Matt J.; Lau, Tai-Kwan; Haxel, Joseph H.; Mellinger, David K.] NOAA, Pacific Marine Environm Lab, Newport, OR 97365 USA; [Bohnenstiehl, DelWayne R.] N Carolina State Univ, Dept Marine Earth &amp; Atmospher Sci, Raleigh, NC 27695 USA; [Stafford, Kathleen M.] Univ Washington, Appl Phys Lab, Seattle, WA 98105 USA; [Park, Minkyu; Lee, Won Sang] Korea Polar Res Inst, Polar Environm Res Div, Inchon 406840, South Korea</t>
  </si>
  <si>
    <t>Oregon State University; National Oceanic Atmospheric Admin (NOAA) - USA; North Carolina State University; University of Washington; University of Washington Seattle; Korea Institute of Ocean Science &amp; Technology (KIOST); Korea Polar Research Institute (KOPRI)</t>
  </si>
  <si>
    <t>Dziak, RP (corresponding author), Oregon State Univ, Cooperat Inst Marine Resources Studies, Newport, OR 97365 USA.</t>
  </si>
  <si>
    <t>robert.p.dziak@noaa.gov</t>
  </si>
  <si>
    <t>Matsumoto, Haru/J-6812-2017; Dziak, Robert/AAC-6107-2020</t>
  </si>
  <si>
    <t>Matsumoto, Haru/0000-0002-0202-4060; Lee, Won Sang/0000-0002-1074-7672</t>
  </si>
  <si>
    <t>Department of Energy [09NA28654]; NOAA Ocean Exploration and Research Program; Korea Ocean and Polar Research Institute [08NA28654, PE13050, PM12020, PM14020]</t>
  </si>
  <si>
    <t>Department of Energy(United States Department of Energy (DOE)); NOAA Ocean Exploration and Research Program(National Oceanic Atmospheric Admin (NOAA) - USA); Korea Ocean and Polar Research Institute</t>
  </si>
  <si>
    <t>This work was sponsored by the Department of Energy contract number 09NA28654, NOAA Ocean Exploration and Research Program and the Korea Ocean and Polar Research Institute, projects number 08NA28654, PE13050, PM12020 and PM14020, respectively. The research analysis was performed at the NOAA/Pacific Marine Environmental Laboratory, PMEL contribution number 4162.</t>
  </si>
  <si>
    <t>APR 14</t>
  </si>
  <si>
    <t>e0123425</t>
  </si>
  <si>
    <t>10.1371/journal.pone.0123425</t>
  </si>
  <si>
    <t>CG1EB</t>
  </si>
  <si>
    <t>WOS:000353014700031</t>
  </si>
  <si>
    <t>Brahic, C</t>
  </si>
  <si>
    <t>Brahic, Catherine</t>
  </si>
  <si>
    <t>Fossil forests feed life under Antarctic ice</t>
  </si>
  <si>
    <t>APR 11</t>
  </si>
  <si>
    <t>CG1CL</t>
  </si>
  <si>
    <t>WOS:000353010500008</t>
  </si>
  <si>
    <t>Lesser, MP; Slattery, M</t>
  </si>
  <si>
    <t>Lesser, Michael P.; Slattery, Marc</t>
  </si>
  <si>
    <t>Picoplankton consumption supports the ascidian Cnemidocarpa verrucosa in McMurdo Sound, Antarctica</t>
  </si>
  <si>
    <t>Picoplankton; McMurdo Sound; Benthic-pelagic coupling; Ascidians</t>
  </si>
  <si>
    <t>SEA-ICE; POTTER COVE; BENTHIC COMMUNITIES; SUSPENSION FEEDERS; SOUTHERN-OCEAN; FOOD WEBS; ROSS SEA; PATTERNS; GROWTH; SEASONALITY</t>
  </si>
  <si>
    <t>Polar marine ecosystems commonly have a seasonal pulse of primary productivity with large diatoms or prymnesiophytes dominating. Along with benthic production (i.e. micro phyto benthos), the annual phytoplankton bloom provides an essential source of food for several trophic levels, including many invertebrate communities. The oceanographic and productivity patterns in McMurdo Sound, Antarctica, result in benthic communities that include high-density assemblages of active and passive suspension feeders. For many years, it has been assumed that these benthic suspension-feeding communities went into a period of quiescence during the austral winter and spring in response to the low food and chronically low temperatures as a strategy to conserve energy. There is increasing evidence, however, that suspension feeders can feed throughout most of the year, with many using picoplankton (0.2 to 2.0 mu m) as a food source. It is now recognized that picoplankton, especially heterotrophic prokaryotes, are a diverse and important component of the Southern Ocean bacterio plankton community and a dominant component of the plankton during austral winter and early austral spring in McMurdo Sound. Here, we show that the common ascidian Cnemidocarpa verrucosa consumes picoplankton prior to the annual spring bloom. Differences in food availability at different sites (Cape Armitage versus Cape Evans) and differences in filtration efficiencies on different fractions of the plankton community result in this ascidian acquiring significantly more carbon and energy at Cape Evans, where higher densities of C. verrucosa reside. This study emphasizes the importance of picoplankton as a food resource for the Antarctic benthic suspension-feeding community.</t>
  </si>
  <si>
    <t>[Lesser, Michael P.] Univ New Hampshire, Sch Marine Sci &amp; Ocean Engn, Durham, NH 03824 USA; [Slattery, Marc] Univ Mississippi, Dept Biomol Sci, Oxford, MS 38677 USA</t>
  </si>
  <si>
    <t>University System Of New Hampshire; University of New Hampshire; University of Mississippi</t>
  </si>
  <si>
    <t>Lesser, MP (corresponding author), Univ New Hampshire, Sch Marine Sci &amp; Ocean Engn, Durham, NH 03824 USA.</t>
  </si>
  <si>
    <t>mpl@unh.edu</t>
  </si>
  <si>
    <t>National Science Foundation; University of New Hampshire Marine Program; University of Otago, and Antarctica New Zealand</t>
  </si>
  <si>
    <t>National Science Foundation(National Science Foundation (NSF)); University of New Hampshire Marine Program; University of Otago, and Antarctica New Zealand</t>
  </si>
  <si>
    <t>A special thank you to Dr. Miles La mare, University of Otago, for his support. This project was supported by grants from the National Science Foundation (Biological Oceanography, International Programs and The Office of Polar Programs), the University of New Hampshire Marine Program, the University of Otago, and Antarctica New Zealand.</t>
  </si>
  <si>
    <t>APR 9</t>
  </si>
  <si>
    <t>10.3354/meps11215</t>
  </si>
  <si>
    <t>CH9YX</t>
  </si>
  <si>
    <t>WOS:000354393700010</t>
  </si>
  <si>
    <t>Sromek, L; Lasota, R; Wolowicz, M</t>
  </si>
  <si>
    <t>Sromek, Ludmila; Lasota, Rafal; Wolowicz, Maciej</t>
  </si>
  <si>
    <t>Impact of glaciations on genetic diversity of pelagic mollusks: Antarctic Limacina antarctica and Arctic Limacina helicina</t>
  </si>
  <si>
    <t>Polar regions; Glaciations; Limacina antarctica; Limacina helicina; Cytochrome c oxidase subunit I (COI); Genetic diversity; Median-joining network; Bottleneck effect</t>
  </si>
  <si>
    <t>SOUTHERN-OCEAN; POPULATION-STRUCTURE; MITOCHONDRIAL; ATLANTIC; FAUNA; DISPERSAL; EVOLUTION; LINEAGES; SOFTWARE; PATTERNS</t>
  </si>
  <si>
    <t>Contemporary genetic constitution of marine species carries signatures of Pliocene-Pleistocene glacial cycles. Molecular studies of polar organisms show that isolation in refugia during glaciation often results in loss of genetic diversity. However, recent studies of marine organisms from the Southern Ocean have highlighted their remarkably high level of infraspecific genetic differentiation and the presence of cryptic species. Thus, demographic responses to climate change vary substantially with geography and life history. To elucidate the relative role of glacial period in driving the evolution of Antarctic and Arctic fauna we examined the genetic diversity and historical demography of the pelagic marine gastropods Limacina antarctica from Drake Passage in the Antarctic and Limacina helicina from Spitsbergen fjords in the Arctic. Diversity was assessed by comparing nucleotide sequences from part of the mitochondrial gene encoding the cytochrome c oxidase subunit I (COI). Sequences from 60 individuals of L. antarctica collected at 7 stations along Drake Passage were compared with those of 67 individuals of L. helicina from the fjords Hornsund and Isfjorden. We identified 47 different haplotypes for L. antarctica and 25 for L. helicina. No spatial genetic structure was found in either species, indicating that studied populations in each species belong to a single evolutionary unit. Demographic analyses of haplotype networks and significant negative Tajima's D and Fu's FS indices suggest recent rapid population expansion in both species. However, L. antarctica populations displayed a higher level of haplotype and nucleotide diversity than L. helicina populations, which suggests that the impact of glaciations was less prominent in L. antarctica.</t>
  </si>
  <si>
    <t>[Sromek, Ludmila; Lasota, Rafal; Wolowicz, Maciej] Univ Gdansk, Inst Oceanog, Lab Estuarine Ecol, PL-81378 Gdynia, Poland</t>
  </si>
  <si>
    <t>Fahrenheit Universities; University of Gdansk</t>
  </si>
  <si>
    <t>Lasota, R (corresponding author), Univ Gdansk, Inst Oceanog, Lab Estuarine Ecol, Al Marszalka Pilsudskiego 46, PL-81378 Gdynia, Poland.</t>
  </si>
  <si>
    <t>ocerl@ug.edu.pl</t>
  </si>
  <si>
    <t>Sromek, Ludmiła/AHH-3138-2022; Lasota, Rafal/AAP-6817-2020</t>
  </si>
  <si>
    <t>Sromek, Ludmiła/0000-0002-3260-8032; Lasota, Rafal/0000-0002-2745-3515</t>
  </si>
  <si>
    <t>Polish Ministry of Science and Higher Education [NN306 445638]</t>
  </si>
  <si>
    <t>Polish Ministry of Science and Higher Education(Ministry of Science and Higher Education, Poland)</t>
  </si>
  <si>
    <t>This study was made possible by the 'Program of Comprehensive Research of the Southern Ocean, including Drake Passage' of the Russian Academy of Sciences (cruise 30 of R/V 'Academic Ioffe'), and research grant NN306 445638 from the Polish Ministry of Science and Higher Education. We are grateful to Project Coordinator Maria Szymelfenig. We thank Luiza Bielecka, Anna Panasiuk-Chodnicka, Marta Gluchowska and Kajetan Deja for their kind help in the collection of Pteropoda.</t>
  </si>
  <si>
    <t>10.3354/meps11237</t>
  </si>
  <si>
    <t>WOS:000354393700012</t>
  </si>
  <si>
    <t>Stevens, CJ; Juniper, SK; Limén, H; Pond, DW; Metaxas, A; Gélinas, Y</t>
  </si>
  <si>
    <t>Stevens, Catherine J.; Juniper, S. Kim; Limen, Helene; Pond, David W.; Metaxas, Anna; Gelinas, Yves</t>
  </si>
  <si>
    <t>Obligate hydrothermal vent fauna at East Diamante submarine volcano (Mariana Arc) exploit photosynthetic and chemosynthetic carbon sources</t>
  </si>
  <si>
    <t>Hydrothermal vent; Food webs; Trophic ecology; Fatty acids; Stable isotopes; East Diamante; Mariana Arc</t>
  </si>
  <si>
    <t>POLYUNSATURATED FATTY-ACIDS; DEEP-SEA; STABLE-ISOTOPE; RIMICARIS-EXOCULATA; TROPHIC ECOLOGY; AXIAL-VOLCANO; MARINE; MUSSELS; LIPIDS; COMMUNITIES</t>
  </si>
  <si>
    <t>Two volcanic cones in the degraded caldera of East Diamante submarine volcano (Mariana Arc) were surveyed and sampled in April 2004 as part of the 'Submarine Ring of Fire 2004' expedition. The first images revealed hydrothermal venting within the photic zone and a striking overlap between chemosynthetic and photosynthetic communities. We used fatty acid biomarkers and bulk stable isotopes to determine the relative importance of chemosynthetic and photosynthetic material in the diets of invertebrates at 6 vent sites (Eastern Cone: Barnacle Beach and Black Forest; Central Cone: Floc Storm, Boulder Vent, Mid-cone, and Fe-Mn Crust) and 1 non-vent site (Central Cone: Aquarium). Principal components analysis revealed depth-related dietary differences: vent-obligate invertebrates at Barnacle Beach (similar to 460 m) belonged to a purely chemosynthetic food web, non-vent organisms at Aquarium (179 m) had diets based on the products of photosynthesis, and most of the invertebrates at Black Forest (349 m) and Central Cone vent sites (247-288 m) had mixed chemosynthetic/photosynthetic diets. Carbon stable isotope ratios corroborated the photosynthetic input in the diets of the vent-obligate invertebrates. Long-chain polyunsaturated fatty acids were found in overlying waters and in detritus. We suggest that photosynthetic material arrives at East Diamante in the form of marine snow. Photic zone hydrothermal venting has now been found on several arc volcanoes in the western Pacific Ocean. Our study underscores the potential influence of benthic-pelagic coupling on trophic interactions and community structure for vent-obligate species in such settings.</t>
  </si>
  <si>
    <t>[Stevens, Catherine J.; Juniper, S. Kim] Univ Victoria, Sch Earth &amp; Ocean Sci, Victoria, BC V8P 5C2, Canada; [Stevens, Catherine J.; Juniper, S. Kim; Limen, Helene] Univ Quebec, Ctr GEOTOP UQAM McGill, Montreal, PQ H3C 3P8, Canada; [Pond, David W.] British Antarctic Survey, Div Biol Sci, Cambridge CB3 0ET, England; [Metaxas, Anna] Dalhousie Univ, Dept Oceanog, Halifax, NS B3H 4R2, Canada; [Gelinas, Yves] Concordia Univ, GEOTOP, Montreal, PQ H4B 1R6, Canada; [Gelinas, Yves] Concordia Univ, Dept Chem &amp; Biochem, Montreal, PQ H4B 1R6, Canada</t>
  </si>
  <si>
    <t>University of Victoria; University of Quebec; University of Quebec Montreal; UK Research &amp; Innovation (UKRI); Natural Environment Research Council (NERC); NERC British Antarctic Survey; Dalhousie University; Concordia University - Canada; Concordia University - Canada</t>
  </si>
  <si>
    <t>Stevens, CJ (corresponding author), Univ Victoria, Sch Earth &amp; Ocean Sci, 3800 Finnerty Rd, Victoria, BC V8P 5C2, Canada.</t>
  </si>
  <si>
    <t>cjsteve@uvic.ca</t>
  </si>
  <si>
    <t>Juniper, Kim/N-6769-2015</t>
  </si>
  <si>
    <t>Juniper, Kim/0000-0002-7608-260X</t>
  </si>
  <si>
    <t>NSERC Canada; NSERC; Royal Society of London; NERC [bas0100025] Funding Source: UKRI; Natural Environment Research Council [bas0100025] Funding Source: researchfish</t>
  </si>
  <si>
    <t>NSERC Canada(Natural Sciences and Engineering Research Council of Canada (NSERC)); NSERC(Natural Sciences and Engineering Research Council of Canada (NSERC)); Royal Society of London(Royal Society); NERC(UK Research &amp; Innovation (UKRI)Natural Environment Research Council (NERC)); Natural Environment Research Council(UK Research &amp; Innovation (UKRI)Natural Environment Research Council (NERC))</t>
  </si>
  <si>
    <t>Chief Scientist B. Embley and other members of the 'Submarine Ring of Fire 2004' expedition are thanked for their collaboration in the field. We also thank the officers and crew of the RV 'Thomas G. Thompson' and the 'ROPOS' pilots, for help with the sample collection. Dr. J. McKay and A. Adamowicz performed the stable isotope analyses. A. Ouellet developed the GC column program. Dr. J. Dower provided the POM (GF/F filter) sample. Drs. S. Budge and C. Parrish provided valuable methodological advice. S. Merle (NOAA Vents Program) provided Fig. 1. We thank V. Tunnicliffe for advice on many details of this project. P. Legendre provided clarification on z-scores. This work was supported by NSERC Canada grants to Dr. V. Tunnicliffe, S.K.J., and A.M., and an NSERC PDF fellowship and a Royal Society of London Travel Award to C.J.S.</t>
  </si>
  <si>
    <t>10.3354/meps11229</t>
  </si>
  <si>
    <t>WOS:000354393700003</t>
  </si>
  <si>
    <t>Cornwall, CE; Pilditch, CA; Hepburn, CD; Hurd, CL</t>
  </si>
  <si>
    <t>Cornwall, Christopher E.; Pilditch, Conrad A.; Hepburn, Christopher D.; Hurd, Catriona L.</t>
  </si>
  <si>
    <t>Canopy macroalgae influence understorey corallines' metabolic control of near-surface pH and oxygen concentration</t>
  </si>
  <si>
    <t>Hydrodynamics; Understorey-canopy interactions; Seawater pH; Coralline algae; Boundary layers; Ocean acidification</t>
  </si>
  <si>
    <t>OCEAN ACIDIFICATION; BOUNDARY-LAYERS; CARBONIC-ACID; PHOTOSYNTHESIS; CALCIFICATION; PATTERNS; SEAWATER; ALGAE; CO2; DISSOCIATION</t>
  </si>
  <si>
    <t>Understorey macroalgae can alter pH at their surface via metabolic activity within the concentration boundary layer (CBL), but it is unknown to what degree the presence of larger macroalgal canopies can modify the pH micro-environment of understorey species. We examined whether flow reduction by a canopy-forming macroalga could alter the thickness of the CBL at the surface of understorey crustose coralline macroalgae (CCA). This could lead to a greater metabolic influence of macroalgae on the pH and oxygen environment at the coralline's surface. Three experimental treatments were examined in a re-circulating flume: (1) a full canopy (consisting of Carpophyllum maschalocarpum) and understorey (Corallina officinalis and CCA), (2) a mimic (plastic/silk) canopy plus understorey, and (3) an understorey only. Profiles of seawater velocity and pH/O-2 concentration gradients were measured at 3 bulk seawater velocities (2, 4 and 8 cm s(-1)) above the CCA in both the light and dark. Canopy macroalgae altered the pH and O-2 environment encountered by understorey coralline algae via their physical presence rather than by directly altering bulk seawater chemistry through their metabolism. Reduced seawater velocities beneath Carpophyllum and mimic canopies resulted in increased CBL thicknesses, higher pH (up to 8.9) and O-2 concentrations in the light, and lower pH (down to 7.74) and O-2 concentrations in the dark. The ability of canopies to facilitate greater metabolic changes in pH at the surface of understorey species highlights a previously unrecorded species interaction that could play an important role in influencing the physiology and ecology of understorey assemblages.</t>
  </si>
  <si>
    <t>[Cornwall, Christopher E.; Hurd, Catriona L.] Univ Otago, Dept Bot, Dunedin 9054, New Zealand; [Pilditch, Conrad A.] Univ Waikato, Dept Biol Sci, Hamilton 3240, New Zealand; [Hepburn, Christopher D.] Univ Otago, Dept Marine Sci, Dunedin 9054, New Zealand; [Hurd, Catriona L.] Univ Tasmania, Inst Marine &amp; Antarctic Studies, Hobart, Tas, Australia</t>
  </si>
  <si>
    <t>University of Otago; University of Waikato; University of Otago; University of Tasmania</t>
  </si>
  <si>
    <t>Cornwall, CE (corresponding author), Univ Western Australia, Sch Earth &amp; Environm, 35 Stirling Highway, Crawley, WA 6009, Australia.</t>
  </si>
  <si>
    <t>/AAL-3738-2021; Cornwall, Christopher Edward/J-3982-2012; Hurd, Catriona/J-2411-2013</t>
  </si>
  <si>
    <t>Cornwall, Christopher Edward/0000-0002-6154-4082; Hurd, Catriona/0000-0001-9965-4917</t>
  </si>
  <si>
    <t>University of Otago; Royal Society of New Zealand [UOO0914]; Performance Based Research Fund from the Department of Botany, University of Otago</t>
  </si>
  <si>
    <t>University of Otago; Royal Society of New Zealand(Royal Society of New Zealand); Performance Based Research Fund from the Department of Botany, University of Otago</t>
  </si>
  <si>
    <t>Thank you to Dudley Bell for assistance in the field and laboratory. C.E.C. was supported by a University of Otago Doctoral Scholarship and a University of Otago Postgraduate Publishing Bursary. C.L.H. was funded by a Royal Society of New Zealand Marsden grant (UOO0914) and a Performance Based Research Fund from the Department of Botany, University of Otago.</t>
  </si>
  <si>
    <t>10.3354/meps11190</t>
  </si>
  <si>
    <t>WOS:000354393700007</t>
  </si>
  <si>
    <t>Takahashi, A; Ito, M; Suzuki, Y; Watanuki, Y; Thiebot, JB; Yamamoto, T; Iida, T; Trathan, P; Niizuma, Y; Kuwae, T</t>
  </si>
  <si>
    <t>Takahashi, Akinori; Ito, Motohiro; Suzuki, Yuuya; Watanuki, Yutaka; Thiebot, Jean-Baptiste; Yamamoto, Takashi; Iida, Takahiro; Trathan, Phil; Niizuma, Yasuaki; Kuwae, Tomohiro</t>
  </si>
  <si>
    <t>Migratory movements of rhinoceros auklets in the northwestern Pacific: connecting seasonal productivities</t>
  </si>
  <si>
    <t>Seabird foraging; Light-based geolocation; Productivity; Seasonal movements; Stable isotope analysis; Japan Sea</t>
  </si>
  <si>
    <t>TRANS-EQUATORIAL MIGRATION; STABLE-ISOTOPE DELTA-N-15; AT-SEA DISTRIBUTION; CERORHINCA-MONOCERATA; TROPHIC ECOLOGY; PELAGIC SEABIRD; NORTHERN JAPAN; STRATEGIES; RESOURCES; PENGUINS</t>
  </si>
  <si>
    <t>Spatial and temporal variability in marine biological productivity may drive heterogeneity in seasonal resources available for marine animals in temperate waters. Migratory seabirds are expected to adjust their annual cycle of breeding activities and migratory movements to exploit seasonally available resources efficiently. We studied the movement and trophic position of rhinoceros auklets Cerorhinca monocerata breeding at Teuri Island, Japan Sea, during the nonbreeding and early breeding periods over 2 yr. After breeding, the auklets moved northward from the colony to the Sea of Okhotsk, where phytoplankton blooms enhanced biological productivity in autumn. The birds then moved southward to the southwestern Japan Sea (similar to 1470 km from the colony), where major epipelagic fish and squid concentrations have been reported in winter. Stable isotope analyses suggest that the auklets fed on higher-trophic level prey, including fish and/or squid during the autumn and winter nonbreeding periods. The auklets moved northward and returned to the colony in mid-March. During the early breeding period, the birds foraged close to the colony (similar to 380 km) on lower-trophic level prey including fish and/or krill, which were available during the spring phytoplankton bloom. The timing of the return migration does not match with the northward migration of warm-water anchovy, a profitable prey during summer, but may be related to timing the chick-rearing period to correspond with anchovy arrival. We suggest that rhinoceros auklets follow spatial and seasonal changes in prey availability by a distinctive '3-step' migration (first northward, second southward, third northward) in the temperate marine system of the northwestern Pacific.</t>
  </si>
  <si>
    <t>[Takahashi, Akinori; Ito, Motohiro; Thiebot, Jean-Baptiste; Yamamoto, Takashi; Iida, Takahiro] Natl Inst Polar Res, Tachikawa, Tokyo 1908518, Japan; [Takahashi, Akinori; Iida, Takahiro] Grad Univ Adv Studies SOKENDAI, Dept Polar Sci, Tachikawa, Tokyo 1908518, Japan; [Suzuki, Yuuya; Watanuki, Yutaka; Yamamoto, Takashi] Hokkaido Univ, Grad Sch Fisheries Sci, Hakodate, Hokkaido 0418611, Japan; [Trathan, Phil] British Antarctic Survey, NERC, Cambridge CB3 0ET, England; [Niizuma, Yasuaki] Meijo Univ, Fac Agr, Tempaku Ku, Nagoya, Aichi 4688502, Japan; [Kuwae, Tomohiro] Port &amp; Airport Res Inst, Yokosuka, Kanagawa 2390826, Japan</t>
  </si>
  <si>
    <t>Research Organization of Information &amp; Systems (ROIS); National Institute of Polar Research (NIPR) - Japan; Graduate University for Advanced Studies - Japan; Hokkaido University; UK Research &amp; Innovation (UKRI); Natural Environment Research Council (NERC); NERC British Antarctic Survey; Meijo University; Port &amp; Airport Research Institute</t>
  </si>
  <si>
    <t>Takahashi, A (corresponding author), Natl Inst Polar Res, Tachikawa, Tokyo 1908518, Japan.</t>
  </si>
  <si>
    <t>atak@nipr.ac.jp</t>
  </si>
  <si>
    <t>Takahashi, Akinori/0000-0002-9868-0408</t>
  </si>
  <si>
    <t>[20241001]; [24370016]; Grants-in-Aid for Scientific Research [26550052, 13J06234, 26840153] Funding Source: KAKEN; NERC [bas0100025] Funding Source: UKRI; Natural Environment Research Council [bas0100025] Funding Source: researchfish</t>
  </si>
  <si>
    <t>; ; Grants-in-Aid for Scientific Research(Ministry of Education, Culture, Sports, Science and Technology, Japan (MEXT)Japan Society for the Promotion of ScienceGrants-in-Aid for Scientific Research (KAKENHI)); NERC(UK Research &amp; Innovation (UKRI)Natural Environment Research Council (NERC)); Natural Environment Research Council(UK Research &amp; Innovation (UKRI)Natural Environment Research Council (NERC))</t>
  </si>
  <si>
    <t>We thank M. Aotsuka, Y. Kusakabe, M. Shikata, and K. Hoshina for their help during the fieldwork at Teuri Island. Anonymous referees, N. Payne, and A. Burger provided helpful comments about the manuscript. The fieldwork was conducted under the permits of the Ministry of the Environment and the Agency of Cultural Affairs. This study was supported by Grant-in-Aid for Scientific Research (20241001 and 24370016).</t>
  </si>
  <si>
    <t>10.3354/meps11179</t>
  </si>
  <si>
    <t>WOS:000354393700018</t>
  </si>
  <si>
    <t>Hofmann, G; Kelley, AL; Shaw, EC; Martz, TR; Hofmann, GE</t>
  </si>
  <si>
    <t>Hofmann, Gretchen; Kelley, Amanda L.; Shaw, Emily C.; Martz, Todd R.; Hofmann, Gretchen E.</t>
  </si>
  <si>
    <t>Near-shore Antarctic pH variability has implications for the design of ocean acidification experiments</t>
  </si>
  <si>
    <t>MCMURDO-SOUND; ROSS SEA; SEASONAL PATTERNS; LOCAL ADAPTATION; TOTAL ALKALINITY; CARBONIC-ACID; ANNUAL CYCLE; PRYDZ BAY; SEAWATER; ICE</t>
  </si>
  <si>
    <t>Understanding how declining seawater pH caused by anthropogenic carbon emissions, or ocean acidification, impacts Southern Ocean biota is limited by a paucity of pH time-series. Here, we present the first high-frequency in-situ pH time-series in near-shore Antarctica from spring to winter under annual sea ice. Observations from autonomous pH sensors revealed a seasonal increase of 0.3 pH units. The summer season was marked by an increase in temporal pH variability relative to spring and early winter, matching coastal pH variability observed at lower latitudes. Using our data, simulations of ocean acidification show a future period of deleterious wintertime pH levels potentially expanding to 7-11 months annually by 2100. Given the presence of (sub) seasonal pH variability, Antarctica marine species have an existing physiological tolerance of temporal pH change that may influence adaptation to future acidification. Yet, pH-induced ecosystem changes remain difficult to characterize in the absence of sufficient physiological data on present-day tolerances. It is therefore essential to incorporate natural and projected temporal pH variability in the design of experiments intended to study ocean acidification biology.</t>
  </si>
  <si>
    <t>[Hofmann, Gretchen; Kelley, Amanda L.; Hofmann, Gretchen E.] Univ Calif Santa Barbara, Dept Ecol Evolut &amp; Marine Biol, Santa Barbara, CA 93106 USA; [Shaw, Emily C.] Univ Queensland, Sch Geog Planning &amp; Environm Management, Biophys Remote Sensing Grp, Brisbane, Qld 4072, Australia; [Martz, Todd R.] Univ Calif San Diego, Scripps Inst Oceanog, La Jolla, CA 92093 USA</t>
  </si>
  <si>
    <t>University of California System; University of California Santa Barbara; University of Queensland; University of California System; University of California San Diego; Scripps Institution of Oceanography</t>
  </si>
  <si>
    <t>Hofmann, G (corresponding author), Univ Calif Santa Barbara, Dept Ecol Evolut &amp; Marine Biol, Santa Barbara, CA 93106 USA.</t>
  </si>
  <si>
    <t>gretchen.hofmann@lifesci.ucsb.edu</t>
  </si>
  <si>
    <t>Shaw, Emily/L-4065-2013; /AAL-3738-2021; Martz, Todd R/A-7704-2012</t>
  </si>
  <si>
    <t>Shaw, Emily/0000-0002-4148-3526; Kapsenberg, Lydia/0000-0002-7361-9061; Martz, Todd/0000-0002-1996-7145</t>
  </si>
  <si>
    <t>U.S. National Science Foundation (NSF) [ANT-0944201, PLR-1246202]; NSF Graduate Research Fellowship; NSF Postdoctoral Fellowship in Polar Regions Research [ANT 1204181]; Directorate For Geosciences [1246202] Funding Source: National Science Foundation; Directorate For Geosciences; Division Of Polar Programs [1204181] Funding Source: National Science Foundation; Office of Polar Programs (OPP) [1246202] Funding Source: National Science Foundation</t>
  </si>
  <si>
    <t>U.S. National Science Foundation (NSF)(National Science Foundation (NSF)); NSF Graduate Research Fellowship(National Science Foundation (NSF)); NSF Postdoctoral Fellowship in Polar Regions Research; Directorate For Geosciences(National Science Foundation (NSF)NSF - Directorate for Geosciences (GEO)); Directorate For Geosciences; Division Of Polar Programs(National Science Foundation (NSF)NSF - Directorate for Geosciences (GEO)); Office of Polar Programs (OPP)(National Science Foundation (NSF)NSF - Directorate for Geosciences (GEO))</t>
  </si>
  <si>
    <t>We thank Dr. Paul G. Matson for sensor preparation in 2011 and United States Antarctic Program staff members, Rob Robbins and Steven Rupp, for SCUBA diving support. We thank Dr. Craig A. Carlson for insightful discussions. This research was supported by U.S. National Science Foundation (NSF) grants ANT-0944201 and PLR-1246202 to GEH. LK was supported by a NSF Graduate Research Fellowship, and ALK was supported by the NSF Postdoctoral Fellowship in Polar Regions Research, award number ANT 1204181.</t>
  </si>
  <si>
    <t>10.1038/srep09638</t>
  </si>
  <si>
    <t>CF3SJ</t>
  </si>
  <si>
    <t>WOS:000352468500001</t>
  </si>
  <si>
    <t>Flowers, GE</t>
  </si>
  <si>
    <t>Flowers, Gwenn E.</t>
  </si>
  <si>
    <t>Modelling water flow under glaciers and ice sheets</t>
  </si>
  <si>
    <t>PROCEEDINGS OF THE ROYAL SOCIETY A-MATHEMATICAL PHYSICAL AND ENGINEERING SCIENCES</t>
  </si>
  <si>
    <t>cryosphere; subglacial hydrology; basal processes; hydraulics; hydrological models; glacier and ice-sheet dynamics</t>
  </si>
  <si>
    <t>CHANNELIZED SUBGLACIAL DRAINAGE; MULTICOMPONENT COUPLED MODEL; ANNUAL GLACIOHYDROLOGY CYCLE; FREE-SURFACE FLOW; ABLATION ZONE; HYDROLOGICAL MODEL; GROUNDWATER-FLOW; OUTBURST FLOODS; TEMPERATE GLACIERS; TILL DEFORMATION</t>
  </si>
  <si>
    <t>Recent observations of dynamic water systems beneath the Greenland and Antarctic ice sheets have sparked renewed interest in modelling subglacial drainage. The foundations of today's models were laid decades ago, inspired by measurements from mountain glaciers, discovery of the modern ice streams and the study of landscapes evacuated by former ice sheets. Models have progressed from strict adherence to the principles of groundwater flow, to the incorporation of flow 'elements' specific to the subglacial environment, to sophisticated two-dimensional representations of interacting distributed and channelized drainage. Although presently in a state of rapid development, subglacial drainage models, when coupled to models of ice flow, are now able to reproduce many of the canonical phenomena that characterize this coupled system. Model calibration remains generally out of reach, whereas widespread application of these models to large problems and real geometries awaits the next level of development.</t>
  </si>
  <si>
    <t>Simon Fraser Univ, Dept Earth Sci, 8888 Univ Dr, Burnaby, BC V5A 1S6, Canada</t>
  </si>
  <si>
    <t>Simon Fraser University</t>
  </si>
  <si>
    <t>Flowers, GE (corresponding author), Simon Fraser Univ, Dept Earth Sci, 8888 Univ Dr, Burnaby, BC V5A 1S6, Canada.</t>
  </si>
  <si>
    <t>gflowers@sfu.ca</t>
  </si>
  <si>
    <t>Natural Sciences and Engineering Research Council of Canada; Canada Research Chairs Programme; Simon Fraser University</t>
  </si>
  <si>
    <t>Natural Sciences and Engineering Research Council of Canada(Natural Sciences and Engineering Research Council of Canada (NSERC)CGIAR); Canada Research Chairs Programme(Canada Research Chairs); Simon Fraser University</t>
  </si>
  <si>
    <t>Funding was provided by the Natural Sciences and Engineering Research Council of Canada, the Canada Research Chairs Programme and Simon Fraser University.</t>
  </si>
  <si>
    <t>1364-5021</t>
  </si>
  <si>
    <t>1471-2946</t>
  </si>
  <si>
    <t>P ROY SOC A-MATH PHY</t>
  </si>
  <si>
    <t>Proc. R. Soc. A-Math. Phys. Eng. Sci.</t>
  </si>
  <si>
    <t>APR 8</t>
  </si>
  <si>
    <t>10.1098/rspa.2014.0907</t>
  </si>
  <si>
    <t>CD6YG</t>
  </si>
  <si>
    <t>WOS:000351236200016</t>
  </si>
  <si>
    <t>Jackson, JA; Linse, K; Whittle, R; Griffiths, HJ</t>
  </si>
  <si>
    <t>Jackson, Jennifer A.; Linse, Katrin; Whittle, Rowan; Griffiths, Huw J.</t>
  </si>
  <si>
    <t>The Evolutionary Origins of the Southern Ocean Philobryid Bivalves: Hidden Biodiversity, Ancient Persistence</t>
  </si>
  <si>
    <t>PHYLOGENETIC INFERENCE; LIMOPSIS BIVALVIA; HIGH-LATITUDES; MODELS; SEQUENCES; MAXIMUM; SEA; REPRODUCTION; ALIGNMENTS; ANTARCTICA</t>
  </si>
  <si>
    <t>Philobryids (Bivalvia: Arcoida) are one of the most speciose marine bivalve families in the Southern Ocean and are common throughout the Southern Hemisphere. Considering this diversity and their brooding reproductive mode (limiting long-distance dispersal), this family may have been present in the Southern Ocean since its inception. However Philobrya and Adacnarca appear only in the Quaternary fossil record of the Antarctic, suggesting a much more recent incursion. Molecular dating provides an independent means of measuring the time of origin and radiation of this poorly known group. Here we present the first combined molecular and morphological investigation of the Philobryidae in the Southern Ocean. Two nuclear loci (18S and 28S) were amplified from 35 Southern Ocean Adacnarca and Philobrya specimens, with a combined sequence length of 2,282 base pairs (bp). Adacnarca specimens (A. nitens and A. limopsoides) were resolved as a strongly supported monophyletic group. Genus Philobrya fell into two strongly supported groups ('sublaevis' and 'magellanica/wandelensis'), paraphyletic with Adacnarca. The A. nitens species complex is identified as at least seven morpho-species through morphological and genetic analysis of taxon clustering. Phylogenetic analyses resolve Philobryidae as a strongly supported monophyletic clade and sister taxon to the Limopsidae, as anticipated by their classification into the superfamily Limopsoidea. Bayesian relaxed clock analyses of divergence times suggest that genus Adacnarca radiated in the Southern Ocean from the Early Paleogene, while P. sublaevis and P. wandelensis clades radiated in the late Miocene, following the formation of the Antarctic Circumpolar Current.</t>
  </si>
  <si>
    <t>[Jackson, Jennifer A.; Linse, Katrin; Whittle, Rowan; Griffiths, Huw J.] British Antarctic Survey, Cambridge CB3 0ET, England</t>
  </si>
  <si>
    <t>UK Research &amp; Innovation (UKRI); Natural Environment Research Council (NERC); NERC British Antarctic Survey</t>
  </si>
  <si>
    <t>Jackson, JA (corresponding author), British Antarctic Survey, Madingley Rd, Cambridge CB3 0ET, England.</t>
  </si>
  <si>
    <t>jennifer.jackson@bas.ac.uk</t>
  </si>
  <si>
    <t>Griffiths, Huw J/D-4234-2009; Jackson, Jennifer A/E-7997-2013</t>
  </si>
  <si>
    <t>Griffiths, Huw J/0000-0003-1764-223X; Linse, Katrin/0000-0003-3477-3047; Jackson, Jennifer/0000-0003-4158-1924</t>
  </si>
  <si>
    <t>Natural Environment Research Council; Natural Environment Research Council [bas0100030, bas0100026] Funding Source: researchfish; NERC [bas0100026, bas0100030] Funding Source: UKRI</t>
  </si>
  <si>
    <t>Natural Environment Research Council(UK Research &amp; Innovation (UKRI)Natural Environment Research Council (NERC)); Natural Environment Research Council(UK Research &amp; Innovation (UKRI)Natural Environment Research Council (NERC)); NERC(UK Research &amp; Innovation (UKRI)Natural Environment Research Council (NERC))</t>
  </si>
  <si>
    <t>This work was supported by the Natural Environment Research Council (http://www.nerc.ac.uk) and is a contribution to British Antarctic Survey core project 'EVOLHIST' under the NERC 'Polar Science for Planet Earth' programme. The funders had no role in study design, data collection and analysis, decision to publish, or preparation of the manuscript.</t>
  </si>
  <si>
    <t>e0121198</t>
  </si>
  <si>
    <t>10.1371/journal.pone.0121198</t>
  </si>
  <si>
    <t>CF3WA</t>
  </si>
  <si>
    <t>WOS:000352478400032</t>
  </si>
  <si>
    <t>Sanchís, J; Cabrerizo, A; Galbán-Malagón, C; Barceló, D; Farré, M; Dachs, J</t>
  </si>
  <si>
    <t>Sanchis, Josep; Cabrerizo, Ana; Galban-Malagon, Cristobal; Barcelo, Damia; Farre, Marinella; Dachs, Jordi</t>
  </si>
  <si>
    <t>Unexpected Occurrence of Volatile Dimethylsiloxanes in Antarctic Soils, Vegetation, Phytoplankton, and Krill</t>
  </si>
  <si>
    <t>ENVIRONMENTAL SCIENCE &amp; TECHNOLOGY</t>
  </si>
  <si>
    <t>WATER TREATMENT PLANTS; LONG-RANGE TRANSPORT; METHYL SILOXANES; CYCLIC METHYLSILOXANES; WASTE-WATER; POLYCHLORINATED-BIPHENYLS; ORGANIC POLLUTANTS; LINEAR SILOXANES; SOUTHERN-OCEAN; PERSONAL-CARE</t>
  </si>
  <si>
    <t>Volatile methyl siloxanes (VMS) are high-production synthetic compounds, ubiquitously found in the environment of source regions. Here, we show for the first time the occurrence of VMS in soils, vegetation, phytoplankton, and krill samples from the Antarctic Peninsula region, which questions previous claims that these compounds are flyers and do not significantly reach remote ecosystems. Cyclic VMS are the predominant compounds, with concentrations ranging from the limits of detection to 110 ng/g in soils. Concentrations of cyclic VMS in phytoplankton are negatively correlated with sea surface salinity, indicating a source from ice and snow melting and consistent with snow depositional inputs. After the summer snow melting, VMS accumulate in the Southern Ocean and Antarctic biota. Therefore, once introduced into the marine environment, VMS are eventually trapped by the biological pump and, thus, behave as single hoppers. Conversely, VMS in soils and vegetation behave as multiple hoppers due to their high volatility.</t>
  </si>
  <si>
    <t>[Sanchis, Josep; Cabrerizo, Ana; Galban-Malagon, Cristobal; Barcelo, Damia; Farre, Marinella; Dachs, Jordi] CSIC, Inst Environm Assessment &amp; Water Res IDAEA, Water &amp; Soil Qual Res Grp, ES-08034 Barcelona, Catalonia, Spain; [Barcelo, Damia] Univ Girona, Catalan Inst Water Res ICRA, Girona 17003, Catalonia, Spain</t>
  </si>
  <si>
    <t>Consejo Superior de Investigaciones Cientificas (CSIC); CSIC - Centro de Investigacion y Desarrollo Pascual Vila (CID-CSIC); CSIC - Instituto de Diagnostico Ambiental y Estudios del Agua (IDAEA); Universitat de Girona; Institut Catala de Recerca de l'Aigua (ICRA)</t>
  </si>
  <si>
    <t>Farré, M (corresponding author), CSIC, Inst Environm Assessment &amp; Water Res IDAEA, Water &amp; Soil Qual Res Grp, C JordiGirona 18-26, ES-08034 Barcelona, Catalonia, Spain.</t>
  </si>
  <si>
    <t>mfuqam@cid.csic.es</t>
  </si>
  <si>
    <t>Cabrerizo, Ana/AAA-9050-2020; Galbán-Malagón, Cristobal/B-2170-2017; BARCELO, DAMIA/O-4558-2016; Galbán-Malagón, Cristobal/J-2384-2015; Cabrerizo, Ana/D-8256-2018</t>
  </si>
  <si>
    <t>BARCELO, DAMIA/0000-0002-8873-0491; Galbán-Malagón, Cristobal/0000-0001-8397-5804; Dachs, Jordi/0000-0002-4237-169X; Cabrerizo, Ana/0000-0002-5933-1483; Farre, Marinella/0000-0001-8391-6257; Sanchis Sandoval, Josep Angel/0000-0002-6812-9981</t>
  </si>
  <si>
    <t>Generalitat de Catalunya (Consolidated Research Groups 2014 SGR 418-Water and Soil Quality Unit [2014 SGR 291-ICRA, 2014SGR495]; Spanish Ministry of Science and Innovation through the projects SCARCE [CSD2009-00065]; Nano-Trojan [CTM2011-24051]; ATOS [POL2006-00550/CTM]</t>
  </si>
  <si>
    <t>Generalitat de Catalunya (Consolidated Research Groups 2014 SGR 418-Water and Soil Quality Unit(Generalitat de Catalunya); Spanish Ministry of Science and Innovation through the projects SCARCE; Nano-Trojan; ATOS</t>
  </si>
  <si>
    <t>This work was financially supported by the Generalitat de Catalunya (Consolidated Research Groups 2014 SGR 418-Water and Soil Quality Unit, 2014 SGR 291-ICRA, and 2014SGR495-Global Change and Genomic Biogeochemistry). The authors acknowledge financial support of the Spanish Ministry of Science and Innovation through the projects SCARCE (Consolider Ingenio 2010 CSD2009-00065), Nano-Trojan (CTM2011-24051), and ATOS (POL2006-00550/CTM). A.C. and C.G. also acknowledge the Spanish Ministry of Science and Innovation for the corresponding Ph.D. predoctoral fellowship. Sara Insa, from the Scientific and Technical Services of the Catalan Institute of Water Research, is acknowledged for her technical assistance during the GC-MS analyses.</t>
  </si>
  <si>
    <t>0013-936X</t>
  </si>
  <si>
    <t>1520-5851</t>
  </si>
  <si>
    <t>ENVIRON SCI TECHNOL</t>
  </si>
  <si>
    <t>Environ. Sci. Technol.</t>
  </si>
  <si>
    <t>APR 7</t>
  </si>
  <si>
    <t>10.1021/es503697t</t>
  </si>
  <si>
    <t>Engineering, Environmental; Environmental Sciences</t>
  </si>
  <si>
    <t>Engineering; Environmental Sciences &amp; Ecology</t>
  </si>
  <si>
    <t>CF6HY</t>
  </si>
  <si>
    <t>WOS:000352659000049</t>
  </si>
  <si>
    <t>Cermeño, P; Falkowski, PG; Romero, OE; Schaller, MF; Vallina, SM</t>
  </si>
  <si>
    <t>Cermeno, Pedro; Falkowski, Paul G.; Romero, Oscar E.; Schaller, Morgan F.; Vallina, Sergio M.</t>
  </si>
  <si>
    <t>Continental erosion and the Cenozoic rise of marine diatoms</t>
  </si>
  <si>
    <t>marine diatoms; continental erosion; silicic acid; biological pump; Cenozoic era</t>
  </si>
  <si>
    <t>ANTARCTIC CIRCUMPOLAR CURRENT; ATMOSPHERIC CO2; EUKARYOTIC PHYTOPLANKTON; SILICA CYCLE; CARBON-CYCLE; CLIMATE; EVOLUTION; RIVERS; NUTRIENT; INSIGHTS</t>
  </si>
  <si>
    <t>Marine diatoms are silica-precipitating microalgae that account for over half of organic carbon burial in marine sediments and thus they play a key role in the global carbon cycle. Their evolutionary expansion during the Cenozoic era (66 Ma to present) has been associated with a superior competitive ability for silicic acid relative to other siliceous plankton such as radiolarians, which evolved by reducing the weight of their silica test. Here we use a mathematical model in which diatoms and radiolarians compete for silicic acid to show that the observed reduction in the weight of radiolarian tests is insufficient to explain the rise of diatoms. Using the lithium isotope record of seawater as a proxy of silicate rock weathering and erosion, we calculate changes in the input flux of silicic acid to the oceans. Our results indicate that the long-term massive erosion of continental silicates was critical to the subsequent success of diatoms in marine ecosystems over the last 40 My and suggest an increase in the strength and efficiency of the oceanic biological pump over this period.</t>
  </si>
  <si>
    <t>[Cermeno, Pedro; Vallina, Sergio M.] Inst Ciencias Mar, Dept Biol Marina &amp; Oceanog, Barcelona 08003, Spain; [Falkowski, Paul G.] Rutgers State Univ, Dept Marine &amp; Coastal Sci, Environm Biophys &amp; Mol Ecol Program, New Brunswick, NJ 08901 USA; [Falkowski, Paul G.] Rutgers State Univ, Dept Earth &amp; Planetary Sci, Piscataway, NJ 08854 USA; [Romero, Oscar E.] Univ Bremen, MARUM Ctr Marine Environm Sci, D-28359 Bremen, Germany; [Schaller, Morgan F.] Rensselaer Polytech Inst, Earth &amp; Environm Sci, Troy, NY 12180 USA</t>
  </si>
  <si>
    <t>Consejo Superior de Investigaciones Cientificas (CSIC); CSIC - Centro Mediterraneo de Investigaciones Marinas y Ambientales (CMIMA); CSIC - Instituto de Ciencias del Mar (ICM); Rutgers University System; Rutgers University New Brunswick; Rutgers University System; Rutgers University New Brunswick; University of Bremen; Rensselaer Polytechnic Institute</t>
  </si>
  <si>
    <t>Cermeño, P (corresponding author), Inst Ciencias Mar, Dept Biol Marina &amp; Oceanog, Barcelona 08003, Spain.</t>
  </si>
  <si>
    <t>pedrocermeno@icm.csic.es</t>
  </si>
  <si>
    <t>Schaller, Morgan/0000-0003-2742-2126; Cermeno, Pedro/0000-0002-3902-3475; VALLINA, Sergio/0000-0002-1335-9237</t>
  </si>
  <si>
    <t>Spanish Government; Xunta de Galicia [10PXIB312058-PR]; Spanish Ministry of Economy and Competitiveness [CTM2011-25035]</t>
  </si>
  <si>
    <t>Spanish Government(Spanish Government); Xunta de Galicia(Xunta de Galicia); Spanish Ministry of Economy and Competitiveness(Spanish Government)</t>
  </si>
  <si>
    <t>We thank three anonymous reviewers for helpful comments on the manuscript. P.C. and S.M.V. are supported by Ramon y Cajal contracts from the Spanish Government. This work was supported by Grants 10PXIB312058-PR from Xunta de Galicia and CTM2011-25035 from the Spanish Ministry of Economy and Competitiveness.</t>
  </si>
  <si>
    <t>10.1073/pnas.1412883112</t>
  </si>
  <si>
    <t>CF1EZ</t>
  </si>
  <si>
    <t>WOS:000352287800033</t>
  </si>
  <si>
    <t>Slezak, M</t>
  </si>
  <si>
    <t>Slezak, Michael</t>
  </si>
  <si>
    <t>Antarctic ice is fading ever faster</t>
  </si>
  <si>
    <t>APR 4</t>
  </si>
  <si>
    <t>10.1016/S0262-4079(15)30057-9</t>
  </si>
  <si>
    <t>CF1VK</t>
  </si>
  <si>
    <t>WOS:000352335800004</t>
  </si>
  <si>
    <t>Murphy, B; McGee, J</t>
  </si>
  <si>
    <t>Murphy, Brendon; McGee, Jeffrey</t>
  </si>
  <si>
    <t>Phronetic legal inquiry An effective design for law and society research?</t>
  </si>
  <si>
    <t>GRIFFITH LAW REVIEW</t>
  </si>
  <si>
    <t>SOCIAL-SCIENCE; PURE THEORY; INTERDISCIPLINARITY; DISCIPLINE; SOCIOLOGY</t>
  </si>
  <si>
    <t>Legal research has traditionally involved a technique commonly known as doctrinal method. This practice evolved over centuries of judicial and legal practice. It is directed at the identification, interpretation and application of relevant legal rules to practical human experience, and is broadly characterised by an exhaustive literature review and close reading of case law and legislation. As a practice, doctrinal method has largely not been expressly articulated by those who employ it. Consequently, legal research is often viewed as something lawyers do, rather than explain. Over time, legal scholars have expanded their research designs to incorporate methods and theories drawn from outside law - especially the social sciences - to augment doctrinal work. However, when lawyers engage in such socio-legal research' they are often criticised for failing to properly articulate the doctrinal component of their research design. We argue that Flyvbjerg's phronetic social inquiry' can offer a useful conceptual link between doctrinal method and social science methodology. Phronetic social inquiry involves a case-based, in-depth analytic applied to specific problems, which is sensitive to value choices and power relationships, and directed to finding pragmatic solutions. We argue Phronetic social inquiry has important parallels with legal scholarship and offers a useful way of conceptualising links between doctrinal and qualitative social research. In this way, legal research may be articulated as a phronetic, transdisciplinary process directed at pragmatic problem solving.</t>
  </si>
  <si>
    <t>[Murphy, Brendon] Univ Sunshine Coast, USC Law Sch, Sippy Downs, Qld, Australia; [McGee, Jeffrey] Univ Tasmania, Fac Law, Hobart, Tas 7001, Australia; [McGee, Jeffrey] Univ Tasmania, Inst Marine &amp; Antarctic Studies, Hobart, Tas 7001, Australia</t>
  </si>
  <si>
    <t>University of the Sunshine Coast; University of Tasmania; University of Tasmania</t>
  </si>
  <si>
    <t>Murphy, B (corresponding author), Univ Sunshine Coast, USC Law Sch, Sippy Downs, Qld, Australia.</t>
  </si>
  <si>
    <t>bmurphy1@usc.edu.au</t>
  </si>
  <si>
    <t>McGee, Jeffrey/K-7322-2015</t>
  </si>
  <si>
    <t>McGee, Jeffrey/0000-0002-2093-5896; Murphy, Brendon/0000-0001-6767-1173</t>
  </si>
  <si>
    <t>1038-3441</t>
  </si>
  <si>
    <t>1839-4205</t>
  </si>
  <si>
    <t>GRIFFITH LAW REV</t>
  </si>
  <si>
    <t>Griffith Law Rev.</t>
  </si>
  <si>
    <t>APR 3</t>
  </si>
  <si>
    <t>10.1080/10383441.2015.1041631</t>
  </si>
  <si>
    <t>Law</t>
  </si>
  <si>
    <t>CU6QB</t>
  </si>
  <si>
    <t>WOS:000363656200007</t>
  </si>
  <si>
    <t>Farias, NE; Ocampo, EH; Luppi, TA</t>
  </si>
  <si>
    <t>Farias, N. E.; Ocampo, E. H.; Luppi, T. A.</t>
  </si>
  <si>
    <t>On the presence of the deep-sea blind lobster Stereomastis suhmi (Decapoda: Polychelidae) in Southwestern Atlantic waters and its circum-Antarctic distribution</t>
  </si>
  <si>
    <t>NEW ZEALAND JOURNAL OF ZOOLOGY</t>
  </si>
  <si>
    <t>Argentina; barcoding; Crustacea; deep-sea; new record</t>
  </si>
  <si>
    <t>INTERMEDIATE WATER; CRUSTACEA DECAPODA; GLYPHEIDEA; ASTACIDEA; ACHELATA</t>
  </si>
  <si>
    <t>Here we report on the presence of the deep-sea blind lobster Stereomastis suhmi in the Southwestern Atlantic. The species identification was based on morphological traits and confirmed with genetic barcoding. The specimen analysed shows little difference from previous descriptions. This work extends the range of S. suhmi in America, where it was previously limited to the Pacific coasts off Chile, to the mouth of the Rio de la Plata, Argentina, and confirms its circumpolar presence with molecular data. A review of all available records shows that the overall distribution of the species is well correlated with the presence of Antarctic Intermediate Waters suggesting that the species habitat is restricted to cold and relatively low-salinity/oxygen-rich waters.</t>
  </si>
  <si>
    <t>[Farias, N. E.; Ocampo, E. H.; Luppi, T. A.] UNMDP, IIMyC, Mar Del Plata, Buenos Aires, Argentina; [Farias, N. E.; Ocampo, E. H.; Luppi, T. A.] Consejo Nacl Invest Cient &amp; Tecn, RA-1033 Buenos Aires, DF, Argentina</t>
  </si>
  <si>
    <t>National University of Mar del Plata; Consejo Nacional de Investigaciones Cientificas y Tecnicas (CONICET)</t>
  </si>
  <si>
    <t>Farias, NE (corresponding author), UNMDP, IIMyC, Mar Del Plata, Buenos Aires, Argentina.</t>
  </si>
  <si>
    <t>nefarias@mdp.edu.ar</t>
  </si>
  <si>
    <t>Farias, Nahuel Emiliano/T-4250-2019</t>
  </si>
  <si>
    <t>Farias, Nahuel Emiliano/0000-0001-5190-370X</t>
  </si>
  <si>
    <t>Government of Canada through Genome Canada; Ontario Genomics Institute to the International Barcode of Life Project; Ontario Ministry of Economic Development and Innovation; CONICET-Consejo Nacional de Investigaciones Cientificas y Tecnicas de Argentina [PIP 830/2012]; UNMdP-Universidad Nacional de Mar del Plata, Argentina [EXA 618/12]; CONICET</t>
  </si>
  <si>
    <t>Government of Canada through Genome Canada(Genome Canada); Ontario Genomics Institute to the International Barcode of Life Project; Ontario Ministry of Economic Development and Innovation; CONICET-Consejo Nacional de Investigaciones Cientificas y Tecnicas de Argentina(Consejo Nacional de Investigaciones Cientificas y Tecnicas (CONICET)); UNMdP-Universidad Nacional de Mar del Plata, Argentina; CONICET(Consejo Nacional de Investigaciones Cientificas y Tecnicas (CONICET))</t>
  </si>
  <si>
    <t>We want to acknowledge the crew of the RV Puerto Deseado and colleagues for their assistance during the cruise. We are grateful for the support provided by the Government of Canada through Genome Canada and the Ontario Genomics Institute to the International Barcode of Life Project. This funding enabled the Canadian Centre for DNA Barcoding (University of Guelph) to carry out the sequence analysis on our specimen. We also thank the Ontario Ministry of Economic Development and Innovation for funding the ongoing development of BOLD. The present work was supported by PIP 830/2012 (CONICET-Consejo Nacional de Investigaciones Cientificas y Tecnicas de Argentina) and EXA 618/12 (UNMdP-Universidad Nacional de Mar del Plata, Argentina). NEF was also supported by CONICET through a postdoctoral fellowship. Lastly, we want to thank the two anonymous referees for their helpful suggestions and comments.</t>
  </si>
  <si>
    <t>0301-4223</t>
  </si>
  <si>
    <t>1175-8821</t>
  </si>
  <si>
    <t>NEW ZEAL J ZOOL</t>
  </si>
  <si>
    <t>N. Z. J. Zool.</t>
  </si>
  <si>
    <t>10.1080/03014223.2015.1013041</t>
  </si>
  <si>
    <t>CM0ZJ</t>
  </si>
  <si>
    <t>WOS:000357409000007</t>
  </si>
  <si>
    <t>Chiswell, SM; Sutton, PJH</t>
  </si>
  <si>
    <t>Chiswell, Stephen M.; Sutton, Philip J. H.</t>
  </si>
  <si>
    <t>Drifter- and float-derived mean circulation at the surface and 1000 m in the New Zealand region</t>
  </si>
  <si>
    <t>NEW ZEALAND JOURNAL OF MARINE AND FRESHWATER RESEARCH</t>
  </si>
  <si>
    <t>1000 m circulation; Argo float; Bluelink model; GDP drifter; New Zealand; surface circulation</t>
  </si>
  <si>
    <t>ANTARCTIC CIRCUMPOLAR CURRENT; EAST AUSTRALIAN CURRENT; DATA ASSIMILATION; AUCKLAND CURRENT; PACIFIC; EDDY; VARIABILITY; SYSTEM; TOPOGRAPHY; VELOCITIES</t>
  </si>
  <si>
    <t>Global Drifter Program (GDP) drifter data and Argo float data from 2006 to 2013 are used to provide quantitative description and comparison of the mean near-surface (15 m) and 1000 m velocity fields in the New Zealand region. These fields are estimated both from bin-averaging the drifter/float velocities and by fitting non-divergent streamfunctions to the velocities. At both levels, our velocity fields are broadly consistent with previous drifter/float estimates, but provide more detail on the local structure of the mean fields. North of the Subantarctic Front there are large differences between the surface and 1000 m flows, with the Tasman Front being largely absent at 1000 m. South of the Subantarctic Front, where the flow is expected to be more barotropic, there is a closer correspondence between the flows at both levels. Several previously undocumented eddies in the mean flows at both levels are described.</t>
  </si>
  <si>
    <t>[Chiswell, Stephen M.; Sutton, Philip J. H.] Natl Inst Water &amp; Atmospher Res, Wellington, New Zealand</t>
  </si>
  <si>
    <t>National Institute of Water &amp; Atmospheric Research (NIWA) - New Zealand</t>
  </si>
  <si>
    <t>Chiswell, SM (corresponding author), Natl Inst Water &amp; Atmospher Res, Wellington, New Zealand.</t>
  </si>
  <si>
    <t>Sutton, Phil/0000-0003-2936-0918; Chiswell, Stephen/0000-0002-5957-3706</t>
  </si>
  <si>
    <t>New Zealand government</t>
  </si>
  <si>
    <t>Global Drifter Program (GDP) data were provided by the GDP Drifter Data Assembly Center (DAC) of NOAA. Argo data were provided by the International Argo Project and the national programmes that contribute to it. CSIRO Atlas of Regional Seas (CARS) was provided by J Dunn and K Ridgway. We thank P Oke, D Griffin, A Schiller and CSIRO for access to the BRAN 3.5 products. NCEP Reanalysis Derived data provided by the NOAA/OAR/ESRL PSD, Boulder, CO, USA, from their website (http://www.esrl.noaa.gov/psd/). This work was funded by the New Zealand government under a grant to the National Institute of Water and Atmospheric Research (NIWA).</t>
  </si>
  <si>
    <t>4 PARK SQUARE, MILTON PARK, ABINGDON OX14 4RN, OXON, ENGLAND</t>
  </si>
  <si>
    <t>0028-8330</t>
  </si>
  <si>
    <t>1175-8805</t>
  </si>
  <si>
    <t>NEW ZEAL J MAR FRESH</t>
  </si>
  <si>
    <t>N. Z. J. Mar. Freshw. Res.</t>
  </si>
  <si>
    <t>10.1080/00288330.2015.1008522</t>
  </si>
  <si>
    <t>CL2SU</t>
  </si>
  <si>
    <t>WOS:000356795800008</t>
  </si>
  <si>
    <t>Scott, JM; Turnbull, IM; Sagar, MW; Tulloch, AJ; Waight, TE; Palin, JM</t>
  </si>
  <si>
    <t>Scott, J. M.; Turnbull, I. M.; Sagar, M. W.; Tulloch, A. J.; Waight, T. E.; Palin, J. M.</t>
  </si>
  <si>
    <t>Geology and geochronology of the Sub-Antarctic Snares Islands/Tini Heke, New Zealand</t>
  </si>
  <si>
    <t>NEW ZEALAND JOURNAL OF GEOLOGY AND GEOPHYSICS</t>
  </si>
  <si>
    <t>Rb-Sr isotopes; Sub-Antarctic; granite; Snares Islands; schist; U-Pb zircon</t>
  </si>
  <si>
    <t>METAMORPHIC CORE COMPLEX; SOUTHWEST PACIFIC-OCEAN; CAMPBELL PLATEAU; AUCKLAND-ISLANDS; VOLCANIC SUCCESSION; HOHONU BATHOLITH; NORTH WESTLAND; ROSS VOLCANO; ROCKS; FJORDLAND</t>
  </si>
  <si>
    <t>The first comprehensive geological map, a summary of lithologies and new radiogenic isotope data (U-Pb, Rb-Sr) are presented for crystalline rocks of the Sub-Antarctic Snares Islands/Tini Heke, 150 km south of Stewart Island. The main lithology is Snares Granite (c. 109 Ma from U-Pb dating of zircon), which intrudes Broughton Granodiorite (c. 114 Ma from U-Pb zircon) on Broughton Island. Rafts of schist within Snares Granite are common on the outlying Western Chain islets, and rare on North East and Broughton islands. Zircon grains extracted from one schistose raft on Broughton Island are prismatic and yield an essentially unimodal age population of c. 116 Ma that is within error of the granodiorite. These properties suggest that the dated raft represents a meta-igneous rock despite its mica-rich nature. Some schistose rocks on the Western Chain contain coarse relict plagioclase phenocrysts and appear to have an igneous protolith. No conclusive metasedimentary rocks have been identified, although sillimanite-bearing mica-rich schist occurs on Rua. Deformation of the crystalline rocks occurred after Snares Granite intrusion and before cooling below muscovite K-Ar closure at 400 +/- 50 degrees C at 95 Ma. This period overlaps the age of extensional ductile shear zones on Stewart Island. The discovery of several basaltic dykes, which cut across fabrics and are unmetamorphosed, indicates that volcanic rocks are associated with all Sub-Antarctic island groups. The larger of the islands are overlain by peat, which on North East Island also contains gravel deposits.</t>
  </si>
  <si>
    <t>[Scott, J. M.; Sagar, M. W.; Palin, J. M.] Univ Otago, Dept Geol, Dunedin, New Zealand; [Tulloch, A. J.] GNS Sci, Dunedin Res Ctr, Dunedin, New Zealand; [Waight, T. E.] Univ Copenhagen, Dept Geosci &amp; Nat Resource Management Geol, Copenhagen K, Denmark</t>
  </si>
  <si>
    <t>University of Otago; GNS Science - New Zealand; University of Copenhagen</t>
  </si>
  <si>
    <t>Scott, JM (corresponding author), Univ Otago, Dept Geol, Dunedin, New Zealand.</t>
  </si>
  <si>
    <t>james.scott@otago.ac.nz</t>
  </si>
  <si>
    <t>Sagar, Matt/I-7617-2019; Waight, Tod/ABI-7548-2020; Scott, James/E-1908-2017</t>
  </si>
  <si>
    <t>Sagar, Matt/0000-0001-8178-1619; Waight, Tod/0000-0003-2601-1202; Scott, James/0000-0001-5185-6261</t>
  </si>
  <si>
    <t>0028-8306</t>
  </si>
  <si>
    <t>1175-8791</t>
  </si>
  <si>
    <t>NEW ZEAL J GEOL GEOP</t>
  </si>
  <si>
    <t>N. Z. J. Geol. Geophys.</t>
  </si>
  <si>
    <t>10.1080/00288306.2015.1023810</t>
  </si>
  <si>
    <t>Geology; Geosciences, Multidisciplinary</t>
  </si>
  <si>
    <t>CJ6MO</t>
  </si>
  <si>
    <t>WOS:000355608100007</t>
  </si>
  <si>
    <t>Ravizza, M; Hallegraeff, G</t>
  </si>
  <si>
    <t>Ravizza, Matilde; Hallegraeff, Gustaaf</t>
  </si>
  <si>
    <t>Environmental conditions influencing growth rate and stalk formation in the estuarine diatom Licmophora flabellata (Carmichael ex Greville) C.Agardh</t>
  </si>
  <si>
    <t>DIATOM RESEARCH</t>
  </si>
  <si>
    <t>stalk formation; Licmophora flabellata; growth rate; diatoms biofilms</t>
  </si>
  <si>
    <t>ACHNANTHES-LONGIPES BACILLARIOPHYCEAE; ULTRAVIOLET-RADIATION; COMMUNITY; BIOFILMS; SHIP</t>
  </si>
  <si>
    <t>Submerged natural and artificial marine substrata can rapidly become covered by biofouling organisms, of which diatoms are the early algal colonisers. Licmophoraflabellata is an estuarine stalk-forming diatom that strongly adheres to substrata via a compound-branching polysaccharide stalk. In the present study, the effects of light, nutrients, temperature and turbulence were examined in laboratory cultures to determine how they affected stalk formation and growth rates. Growth rates in multiwell plates were estimated using invivo fluorescence in a plate reader. Low light intensities (50, 100 and 150 mu mol photons m(-2) s(-1)) produced no or poor growth, whereas growth rates of 0.24-0.42 divisions per day were achieved at 233 mu mol photons m(-2) s(-1). High growth rates coincided with long stationary growth periods (21-36days) and long branching stalks (800-3500 mu m). N, P and Si nutrients had no effect on growth or stalks, whereas high turbulence (from an orbital shaker) reduced stalk length but not growth. The results call for species-specific approaches towards mitigating the impact of fouling diatoms.</t>
  </si>
  <si>
    <t>[Ravizza, Matilde] Univ Tasmania, Sch Biol Sci, Hobart, Tas, Australia; [Ravizza, Matilde; Hallegraeff, Gustaaf] Univ Tasmania, Inst Marine &amp; Antarctic Studies, Hobart, Tas, Australia</t>
  </si>
  <si>
    <t>University of Tasmania; University of Tasmania</t>
  </si>
  <si>
    <t>Ravizza, M (corresponding author), Univ Tasmania, Sch Biol Sci, Hobart, Tas, Australia.</t>
  </si>
  <si>
    <t>Matilde.Ravizza@utas.edu.au</t>
  </si>
  <si>
    <t>Hallegraeff, Gustaaf/C-8351-2013</t>
  </si>
  <si>
    <t>Hallegraeff, Gustaaf/0000-0001-8464-7343</t>
  </si>
  <si>
    <t>Australia Research Council [LP100100700]; Australian Research Council [LP100100700] Funding Source: Australian Research Council</t>
  </si>
  <si>
    <t>Australia Research Council(Australian Research Council); Australian Research Council(Australian Research Council)</t>
  </si>
  <si>
    <t>We thank Helen Bond for help with algal culturing. This work was supported by Australia Research Council Linkage grant LP100100700. Mr Shi Hong Lee took the light micrograph used in Fig. 3.</t>
  </si>
  <si>
    <t>0269-249X</t>
  </si>
  <si>
    <t>2159-8347</t>
  </si>
  <si>
    <t>DIATOM RES</t>
  </si>
  <si>
    <t>Diatom Res.</t>
  </si>
  <si>
    <t>10.1080/0269249X.2015.1020071</t>
  </si>
  <si>
    <t>CH6DR</t>
  </si>
  <si>
    <t>WOS:000354126900002</t>
  </si>
  <si>
    <t>Park, B; Yim, JH; Lee, HK; Kim, BO; Pyo, S</t>
  </si>
  <si>
    <t>Park, Bongkyun; Yim, Joung-Han; Lee, Hong-Kum; Kim, Byung-Oh; Pyo, Suhkneung</t>
  </si>
  <si>
    <t>Ramalin inhibits VCAM-1 expression and adhesion of monocyte to vascular smooth muscle cells through MAPK and PADI4-dependent NF-kB and AP-1 pathways</t>
  </si>
  <si>
    <t>BIOSCIENCE BIOTECHNOLOGY AND BIOCHEMISTRY</t>
  </si>
  <si>
    <t>inflammation; adhesion molecules; transcription factor; PADI4; ramalin</t>
  </si>
  <si>
    <t>TUMOR-NECROSIS-FACTOR; KAPPA-B; SIGNALING PATHWAYS; GENE-EXPRESSION; TNF-ALPHA; MOLECULE-1 EXPRESSION; EARLY ATHEROSCLEROSIS; ACTIVATION; KINASE; DISEASE</t>
  </si>
  <si>
    <t>Cell adhesion molecules play a critical role in inflammatory processes and atherosclerosis. In this study, we investigated the effect of ramalin, a chemical compound from the Antarctic lichen Ramalina terebrata, on vascular cell adhesion molecule-1 (VCAM-1) expression induced by TNF-alpha in vascular smooth muscular cells (VSMCs). Pretreatment of VSMCs with ramalin (0.1-10 mu g/mL) concentration-dependently inhibited TNF-alpha-induced VCAM-1 expression. Additionally, ramalin inhibited THP-1 (human acute monocytic leukemia cell line) cell adhesion to TNF-alpha-stimulated VSMCs. Ramalin suppressed TNF-alpha-induced production of reactive oxygen species (ROS), PADI4 expression, and phosphorylation of p38, ERK, and JNK. Moreover, ramalin inhibited TNF-alpha-induced translocation of NF-kappa B and AP-1. Inhibition of PADI4 expression by small interfering RNA or the PADI4-specific inhibitor markedly attenuated TNF-alpha-induced activation of NF-kappa B and AP-1 and VCAM-1 expression in VSMCs. Our study provides insight into the mechanisms underlying ramalin activity and suggests that ramalin may be a potential therapeutic agent to modulate inflammation within atherosclerosis.</t>
  </si>
  <si>
    <t>[Park, Bongkyun; Pyo, Suhkneung] Sungkyunkwan Univ, Sch Pharm, Suwon, South Korea; [Yim, Joung-Han; Lee, Hong-Kum] KORDI, Polar BioCtr, Korea Polar Res Inst, Inchon, South Korea; [Kim, Byung-Oh] Kyungpook Natl Univ, Coll Agr &amp; Life Sci, Sch Food Sci &amp; Biotechnol, Daegu, South Korea</t>
  </si>
  <si>
    <t>Sungkyunkwan University (SKKU); Korea Institute of Ocean Science &amp; Technology (KIOST); Korea Polar Research Institute (KOPRI); Kyungpook National University</t>
  </si>
  <si>
    <t>Pyo, S (corresponding author), Sungkyunkwan Univ, Sch Pharm, Suwon, South Korea.</t>
  </si>
  <si>
    <t>snpyo@skku.edu</t>
  </si>
  <si>
    <t>Ministry of Oceans and Fisheries' RD project [PM13030]; Korea Polar Research Institute (KOPRI) [PE13040]</t>
  </si>
  <si>
    <t>Ministry of Oceans and Fisheries' RD project; Korea Polar Research Institute (KOPRI)(Korea Polar Research Institute of Marine Research Placement (KOPRI))</t>
  </si>
  <si>
    <t>This research was supported by the grant of the Ministry of Oceans and Fisheries' R&amp;D project (PM13030) and the Korea Polar Research Institute (KOPRI) project (PE13040).</t>
  </si>
  <si>
    <t>0916-8451</t>
  </si>
  <si>
    <t>1347-6947</t>
  </si>
  <si>
    <t>BIOSCI BIOTECH BIOCH</t>
  </si>
  <si>
    <t>Biosci. Biotechnol. Biochem.</t>
  </si>
  <si>
    <t>10.1080/09168451.2014.991681</t>
  </si>
  <si>
    <t>Biochemistry &amp; Molecular Biology; Biotechnology &amp; Applied Microbiology; Chemistry, Applied; Food Science &amp; Technology</t>
  </si>
  <si>
    <t>Biochemistry &amp; Molecular Biology; Biotechnology &amp; Applied Microbiology; Chemistry; Food Science &amp; Technology</t>
  </si>
  <si>
    <t>CG7JK</t>
  </si>
  <si>
    <t>WOS:000353479000003</t>
  </si>
  <si>
    <t>Quilty, PG; Clark, N; Hibberd, T</t>
  </si>
  <si>
    <t>Quilty, Patrick G.; Clark, Nicola; Hibberd, Ty</t>
  </si>
  <si>
    <t>Crenostrea sp. cf. C. cannoni (Marwick, 1928) (Bivalvia: Ostreoidea) and associated fauna from east of Heard Island, Kerguelen Plateau: age and palaeoenvironmental value</t>
  </si>
  <si>
    <t>ALCHERINGA</t>
  </si>
  <si>
    <t>sub-Antarctic; foraminifera; oysters; early Miocene.; isotope dating</t>
  </si>
  <si>
    <t>OLIGOCENE; ZEALAND</t>
  </si>
  <si>
    <t>Quilty, P.G., Clark, N. &amp; Hibberd, T., 21.01.2015. Crenostrea sp. cf. C. cannoni (Marwick, 1928) (Bivalvia: Ostreacea) and associated fauna from east of Heard Island, Kerguelen Plateau: age and palaeoenvironmental value. Alcheringa 39, xxx-xxx. ISSN 0311-5518 A well-preserved single left valve of a large oyster embedded in coarse volcaniclastic sediment and identified as Crenostrea sp. cf. C. cannoni (Marwick, 1928) was dredged from east of Heard Island, central southern Indian Ocean. It is accompanied by a fragment of the pectinid bivalve Austrochlamys sp. indet. and foraminifera. Austrochlamys sp. indet. and other bivalve fragments were analysed for Sr-87/Sr-86, delta O-18 and delta C-13, the results yielding an age of 17.5 Ma (later early Miocene) and a water temperature of ca 10 degrees C. Foraminifera and sediment characteristics indicate that accumulation occurred in mid-continental shelf depths, at a location where nutrient supply was good. Patrick G. Quilty [p.quilty@utas.edu.au], School of Earth Sciences (Private Bag 79) and Institute for Marine and Antarctic Studies (IMAS: Private Bag 129), University of Tasmania, Hobart, Tasmania 7001, Australia. Nicola Clark [nc118@leicester.ac.uk], Department of Geology, University of Leicester, University Road, Leicester LE1 7RH, UK. Ty Hibberd [ty.hibberd@aad.gov.au], Australian Antarctic Division, Channel Highway, Kingston, Tasmania 7050, Australia.</t>
  </si>
  <si>
    <t>[Quilty, Patrick G.] Univ Tasmania, Sch Earth Sci, Hobart, Tas 7001, Australia; [Quilty, Patrick G.] Univ Tasmania, Inst Marine &amp; Antarctic Studies, Hobart, Tas 7001, Australia; [Clark, Nicola] Univ Leicester, Dept Geol, Leicester LE1 7RH, Leics, England; [Hibberd, Ty] Australian Antarctic Div, Kingston, Tas 7050, Australia</t>
  </si>
  <si>
    <t>University of Tasmania; University of Tasmania; University of Leicester; Australian Antarctic Division</t>
  </si>
  <si>
    <t>Quilty, PG (corresponding author), Univ Tasmania, Sch Earth Sci, Private Bag 79, Hobart, Tas 7001, Australia.</t>
  </si>
  <si>
    <t>p.quilty@utas.edu.au; nc118@leicester.ac.uk; ty.hibberd@aad.gov.au</t>
  </si>
  <si>
    <t>Grants-in-Aid for Scientific Research [14F04799] Funding Source: KAKEN</t>
  </si>
  <si>
    <t>Grants-in-Aid for Scientific Research(Ministry of Education, Culture, Sports, Science and Technology, Japan (MEXT)Japan Society for the Promotion of ScienceGrants-in-Aid for Scientific Research (KAKENHI))</t>
  </si>
  <si>
    <t>0311-5518</t>
  </si>
  <si>
    <t>1752-0754</t>
  </si>
  <si>
    <t>Alcheringa</t>
  </si>
  <si>
    <t>10.1080/03115518.2015.965545</t>
  </si>
  <si>
    <t>CF5VZ</t>
  </si>
  <si>
    <t>WOS:000352626700005</t>
  </si>
  <si>
    <t>Kopalová, K; Kociolek, JP; Lowe, RL; Zidarova, R; Van de Vijver, B</t>
  </si>
  <si>
    <t>Kopalova, Katerina; Kociolek, J. Patrick; Lowe, Rex L.; Zidarova, Ralitsa; Van de Vijver, Bart</t>
  </si>
  <si>
    <t>Five new species of the genus Humidophila (Bacillariophyta) from the Maritime Antarctic Region</t>
  </si>
  <si>
    <t>taxonomy; Bacillariophyta; Maritime Antarctic Region; new species; Humidophila</t>
  </si>
  <si>
    <t>SOUTH SHETLAND ISLANDS; LUTICOLA TAXA BACILLARIOPHYTA; FRESH-WATER; LIVINGSTON ISLAND; DIATOM COMMUNITIES; DISTANTES; PENINSULA; REVISION; ECOLOGY; CROZET</t>
  </si>
  <si>
    <t>Five unknown taxa belonging to the newly established genus Humidophila were found during ongoing taxonomic revision of the freshwater and limno-terrestrial diatom flora of the Maritime Antarctic Region. These taxa were previously identified as Diadesmisarcuata, D.biscutella, D.comperei and D.ingeae, but detailed light and scanning electron microscopy observations allowed their clear separation from the already known taxa, and resulted in the description of five new species: Humidophilasceppacuerciae Kopalova sp.nov., H.australoshetlandica Kopalova, Zidarova &amp; Van de Vijver sp.nov., H.keiliorum Kopalova sp.nov., H.deceptionensis Kopalova, Zidarova &amp; Van de Vijver sp.nov. and H.vojtajarosikii Kopalova sp.nov. All five new taxa are compared with the morphologically most similar taxa, and their ecology and biogeography are discussed. Although the genus Humidophila is present worldwide, a large number of Humidophila taxa have a restricted distribution within the (sub-)Antarctic Region, showing a clear bioregionalism.</t>
  </si>
  <si>
    <t>[Kopalova, Katerina] Charles Univ Prague, Dept Ecol, Fac Sci, Prague, Czech Republic; [Kopalova, Katerina] Acad Sci Czech Republ, Inst Bot, Ctr Phycol, Trebon, Czech Republic; [Kociolek, J. Patrick] Univ Colorado, Museum Nat Hist, Boulder, CO 80309 USA; [Kociolek, J. Patrick] Univ Colorado, Dept Ecol &amp; Evolutionary Biol, Boulder, CO 80309 USA; [Lowe, Rex L.] Bowling Green State Univ, Dept Biol Sci, Bowling Green, OH 43403 USA; [Zidarova, Ralitsa] St Kliment Ohridski Univ Sofia, Dept Bot, Fac Biol, Sofia, Bulgaria; [Van de Vijver, Bart] Bot Garden Meise, Dept Bryophyta &amp; Thallophyta, Meise, Belgium; [Van de Vijver, Bart] Univ Antwerp, Dept Biol ECOBE, B-2020 Antwerp, Belgium</t>
  </si>
  <si>
    <t>Charles University Prague; Czech Academy of Sciences; Institute of Botany of the Czech Academy of Sciences; University of Colorado System; University of Colorado Boulder; University of Colorado System; University of Colorado Boulder; University System of Ohio; Bowling Green State University; University of Sofia; University of Antwerp</t>
  </si>
  <si>
    <t>Kopalová, K (corresponding author), Charles Univ Prague, Dept Ecol, Fac Sci, Prague, Czech Republic.</t>
  </si>
  <si>
    <t>k.kopalova@hotmail.com</t>
  </si>
  <si>
    <t>Zidarova, Ralitsa/I-3793-2017; Kopalova, Katerina/M-6207-2017</t>
  </si>
  <si>
    <t>Zidarova, Ralitsa/0000-0002-6451-0099; Kopalova, Katerina/0000-0002-7905-4268</t>
  </si>
  <si>
    <t>long-term research development project RVO [67985939]; GA UK [394211]; Ministerio de Ciencia y Tecnologia, Spain [POL2006-06635]; FWO [G.0533.07]; BELSPO project CCAMBIO</t>
  </si>
  <si>
    <t>long-term research development project RVO; GA UK; Ministerio de Ciencia y Tecnologia, Spain(Spanish Government); FWO(FWO); BELSPO project CCAMBIO</t>
  </si>
  <si>
    <t>This study was supported as a long-term research development project RVO no. 67985939 and GA UK grant nr. 394211. Samples on Byers Peninsula were taken in the framework of the IPY-Limnopolar Project POL2006-06635 (Ministerio de Ciencia y Tecnologia, Spain). Sampling and/or observations on Deception Island, King George Island and Nelson Island were done within 03-63 (Bulgarian Science Fund). Sampling on Deception Island was made possible with the support of the Bulgarian Antarctic Institute. Dr. Blagoy Uzunov (University of Sofia) and the staff of 'Decepcion' Base on Deception Island are thanked for their help during the field work. Part of this research was funded within the FWO project G.0533.07 and by the BELSPO project CCAMBIO. Dr. Alex Ball and the staff of the EMMA laboratory at the Natural History Museum are thanked for their help with the scanning electron microscopy.</t>
  </si>
  <si>
    <t>10.1080/0269249X.2014.998714</t>
  </si>
  <si>
    <t>CH6DJ</t>
  </si>
  <si>
    <t>WOS:000354126000002</t>
  </si>
  <si>
    <t>Chiswell, SM; Bostock, HC; Sutton, PJH; Williams, MJM</t>
  </si>
  <si>
    <t>Chiswell, Stephen M.; Bostock, Helen C.; Sutton, Philip J. H.; Williams, Michael J. M.</t>
  </si>
  <si>
    <t>Physical oceanography of the deep seas around New Zealand: a review</t>
  </si>
  <si>
    <t>currents; New Zealand; physical oceanography; review; tides; water masses</t>
  </si>
  <si>
    <t>EAST AUCKLAND CURRENT; WESTERN-BOUNDARY CURRENT; ANTARCTIC CIRCUMPOLAR CURRENT; CURRENT PROFILER MEASUREMENTS; PACIFIC HYDROGRAPHIC SECTION; CURRENT-METER OBSERVATIONS; SUBTROPICAL MODE WATERS; NORTHERN NEW-ZEALAND; SOUTH-PACIFIC; CHATHAM RISE</t>
  </si>
  <si>
    <t>We review the advances in blue water' physical oceanography of the seas around New Zealand since the last major review in 1985. By 1985, a basic description had been made of the circulation around New Zealand. Since then, dramatic increases in data from satellites, hydrographic cruises, surface drifters and profiling floats have improved knowledge on the locations, strengths and variability of the currents, water masses and fronts in the region. We have better estimates of the surface and deep circulation, and a better understanding of the dynamical processes driving this circulation and its variability. This review covers the open ocean, including water masses, ocean currents, tides and numerical modelling, and discusses the future of New Zealand oceanography.</t>
  </si>
  <si>
    <t>[Chiswell, Stephen M.; Bostock, Helen C.; Sutton, Philip J. H.; Williams, Michael J. M.] Natl Inst Water &amp; Atmospher Res, Wellington, New Zealand</t>
  </si>
  <si>
    <t>Bostock, Helen/A-6834-2013</t>
  </si>
  <si>
    <t>Bostock, Helen/0000-0002-8903-8958; Sutton, Phil/0000-0003-2936-0918; Chiswell, Stephen/0000-0002-5957-3706</t>
  </si>
  <si>
    <t>This work was funded by the New Zealand government under a grant to the National Institute of Water and Atmospheric Research (NIWA). We thank Emily Lane for Fig. 14. We thank Lionel Carter and two anonymous reviewers for their time and effort in providing critical comments on this article.</t>
  </si>
  <si>
    <t>10.1080/00288330.2014.992918</t>
  </si>
  <si>
    <t>WOS:000356795800010</t>
  </si>
  <si>
    <t>Ward, T; Cork, S; Dobbs, K; Harper, P; Harris, P; Hatton, T; Joy, R; Kanowski, P; Mackay, R; McKenzie, N; Wienecke, B</t>
  </si>
  <si>
    <t>Ward, Trevor; Cork, Steven; Dobbs, Kirstin; Harper, Peter; Harris, Peter; Hatton, Tom; Joy, Robert; Kanowski, Peter; Mackay, Richard; McKenzie, Neil; Wienecke, Barbara</t>
  </si>
  <si>
    <t>Framing an independent, integrated and evidence-based evaluation of the state of Australia's biophysical and human environments</t>
  </si>
  <si>
    <t>JOURNAL OF ENVIRONMENTAL PLANNING AND MANAGEMENT</t>
  </si>
  <si>
    <t>integrated performance assessment; expert elicitation; consultative process; conceptual framework; environment report card</t>
  </si>
  <si>
    <t>MANAGEMENT</t>
  </si>
  <si>
    <t>A new approach was developed for Australia's 2011 national State of the Environment (SoE) report to integrate the assessment of biophysical and human elements of the environment. A Common Assessment and Reporting Framework (CARF) guided design and implementation, responding to jurisdictional complexity, outstanding natural diversity and ecosystem values, high levels of cultural and heritage diversity, and a paucity of national-scale data. The CARF provided a transparent response to the need for an independent, robust and evidence-based national SoE report. We conclude that this framework will be effective for subsequent national SoE assessments and other integrated national-scale assessments in data-poor regions.</t>
  </si>
  <si>
    <t>[Ward, Trevor] Greenward Consulting, Wembley, WA, Australia; [Ward, Trevor] Univ Technol Sydney, Ultimo, NSW, Australia; [Cork, Steven] EcoInsights, Canberra, ACT, Australia; [Cork, Steven] Australian Natl Univ, Crawford Sch Publ Policy, Canberra, ACT, Australia; [Dobbs, Kirstin] Great Barrier Reef Marine Pk Author, Townsville, Qld, Australia; [Harper, Peter] Australian Bur Stat, Populat Labour &amp; Social Stat Grp, Canberra, ACT, Australia; [Harris, Peter] Geosci Australia, Environm Geosci Div, Canberra, ACT, Australia; [Hatton, Tom] CSIRO, Perth, WA, Australia; [Joy, Robert] Newnham, Launceston, Tas, Australia; [Kanowski, Peter] Australian Natl Univ, Fenner Sch Environm &amp; Soc, Canberra, ACT, Australia; [Mackay, Richard] Godden Mackay Logan Pty Ltd, Sydney, NSW, Australia; [Mackay, Richard] La Trobe Univ, Bundoora, Vic, Australia; [McKenzie, Neil] CSIRO Land &amp; Water, Canberra, ACT, Australia; [Wienecke, Barbara] Dept Environm, Australian Antarctic Div, Hobart, Tas, Australia</t>
  </si>
  <si>
    <t>University of Technology Sydney; Australian National University; Geoscience Australia; Commonwealth Scientific &amp; Industrial Research Organisation (CSIRO); Australian National University; La Trobe University; Commonwealth Scientific &amp; Industrial Research Organisation (CSIRO); CSIRO Land &amp; Water; Australian Antarctic Division</t>
  </si>
  <si>
    <t>Ward, T (corresponding author), Greenward Consulting, Wembley, WA, Australia.</t>
  </si>
  <si>
    <t>tjward@bigpond.net.au</t>
  </si>
  <si>
    <t>McKenzie, Neil J/A-9921-2011</t>
  </si>
  <si>
    <t>McKenzie, Neil J/0000-0003-3803-3492</t>
  </si>
  <si>
    <t>0964-0568</t>
  </si>
  <si>
    <t>1360-0559</t>
  </si>
  <si>
    <t>J ENVIRON PLANN MAN</t>
  </si>
  <si>
    <t>J. Environ. Plan. Manag.</t>
  </si>
  <si>
    <t>10.1080/09640568.2014.891073</t>
  </si>
  <si>
    <t>Development Studies; Regional &amp; Urban Planning</t>
  </si>
  <si>
    <t>Development Studies; Public Administration</t>
  </si>
  <si>
    <t>CB1QD</t>
  </si>
  <si>
    <t>Green Published, Green Submitted</t>
  </si>
  <si>
    <t>WOS:000349401800009</t>
  </si>
  <si>
    <t>Cascella, K; Jollivet, D; Papot, C; Léger, N; Corre, E; Ravaux, J; Clark, MS; Toullec, JY</t>
  </si>
  <si>
    <t>Cascella, Kevin; Jollivet, Didier; Papot, Claire; Leger, Nelly; Corre, Erwan; Ravaux, Juliette; Clark, Melody S.; Toullec, Jean-Yves</t>
  </si>
  <si>
    <t>Diversification, Evolution and Sub-Functionalization of 70kDa Heat-Shock Proteins in Two Sister Species of Antarctic Krill: Differences in Thermal Habitats, Responses and Implications under Climate Change</t>
  </si>
  <si>
    <t>EUPHAUSIA-CRYSTALLOROPHIAS; DROSOPHILA-MELANOGASTER; RIMICARIS-EXOCULATA; RELAXED SELECTION; GENE-EXPRESSION; TERMINAL DOMAIN; SOUTH GEORGIA; HSP70; ADAPTATION; LIMITS</t>
  </si>
  <si>
    <t>Background A comparative thermal tolerance study was undertaken on two sister species of Euphausiids (Antarctic krills) Euphausia superba and Euphausia crystallorophias. Both are essential components of the Southern Ocean ecosystem, but occupy distinct environmental geographical locations with slightly different temperature regimes. They therefore provide a useful model system for the investigation of adaptations to thermal tolerance. Methodology/Principal Finding Initial CTmax studies showed that E. superba was slightly more thermotolerant than E. crystallorophias. Five Hsp70 mRNAs were characterized from the RNAseq data of both species and subsequent expression kinetics studies revealed notable differences in induction of each of the 5 orthologues between the two species, with E. crystallorophias reacting more rapidly than E. superba. Furthermore, analyses conducted to estimate the evolutionary rates and selection strengths acting on each gene tended to support the hypothesis that diversifying selection has contributed to the diversification of this gene family, and led to the selective relaxation on the inducible C form with its possible loss of function in the two krill species. Conclusions The sensitivity of the epipelagic species E. crystallorophias to temperature variations and/or its adaptation to cold is enhanced when compared with its sister species, E. superba. These results indicate that ice krill could be the first of the two species to be impacted by the warming of coastal waters of the Austral ocean in the coming years due to climate change.</t>
  </si>
  <si>
    <t>[Cascella, Kevin; Jollivet, Didier; Toullec, Jean-Yves] Univ Paris 06, Sorbonne Univ, CNRS, Equipe ABICE,Stn Biol Roscoff,UMR 7144, F-29680 Roscoff, France; [Cascella, Kevin; Jollivet, Didier; Toullec, Jean-Yves] CNRS, Stn Biol Roscoff, Adaptat &amp; Div Milieu Marin, UMR 7144, F-29680 Roscoff, France; [Papot, Claire] Univ Lille 1, CNRS, Ecoimmunol Marine Annelids, UMR8198, F-59655 Villeneuve Dascq, France; [Leger, Nelly; Ravaux, Juliette] Univ Paris 06, Sorbonne Univ, CNRS, Equipe AMEX,UMR 7208, F-75005 Paris, France; [Leger, Nelly; Ravaux, Juliette] Univ Paris 06, CNRS 7208, BOREA, F-75005 Paris, France; [Corre, Erwan] Univ Paris 06, Sorbonne Univ, CNRS,ABiMS,FR 2424, Anal &amp; Bioinformat Marine Sci,Stn Biol Roscoff, F-29680 Roscoff, France; [Corre, Erwan] CNRS, Stn Biol Roscoff, FR 2424, F-29680 Roscoff, France; [Clark, Melody S.] British Antarctic Survey, NERC, Cambridge CB3 0ET, England</t>
  </si>
  <si>
    <t>Sorbonne Universite; Centre National de la Recherche Scientifique (CNRS); CNRS - Institute of Ecology &amp; Environment (INEE); Centre National de la Recherche Scientifique (CNRS); CNRS - Institute of Ecology &amp; Environment (INEE); Sorbonne Universite; Centre National de la Recherche Scientifique (CNRS); CNRS - Institute of Ecology &amp; Environment (INEE); Universite de Lille; Centre National de la Recherche Scientifique (CNRS); Institut de Recherche pour le Developpement (IRD); Museum National d'Histoire Naturelle (MNHN); Sorbonne Universite; CNRS - Institute of Ecology &amp; Environment (INEE); Centre National de la Recherche Scientifique (CNRS); Institut de Recherche pour le Developpement (IRD); Museum National d'Histoire Naturelle (MNHN); Sorbonne Universite; CNRS - Institute of Ecology &amp; Environment (INEE); Sorbonne Universite; Centre National de la Recherche Scientifique (CNRS); Centre National de la Recherche Scientifique (CNRS); Sorbonne Universite; UK Research &amp; Innovation (UKRI); Natural Environment Research Council (NERC); NERC British Antarctic Survey</t>
  </si>
  <si>
    <t>Toullec, JY (corresponding author), Univ Paris 06, Sorbonne Univ, CNRS, Equipe ABICE,Stn Biol Roscoff,UMR 7144, F-29680 Roscoff, France.</t>
  </si>
  <si>
    <t>jean-yves.toullec@sb-roscoff.fr</t>
  </si>
  <si>
    <t>corre, erwan/O-4669-2019; Clark, Melody/D-7371-2014</t>
  </si>
  <si>
    <t>corre, erwan/0000-0001-6354-2278; Clark, Melody/0000-0002-3442-3824; Papot, Claire/0000-0002-8324-2261</t>
  </si>
  <si>
    <t>Emergence-UPMC research program; Region Bretagne; Institut Paul Emile Victor (IPEV) (KREVET program); Region Bretagne (SAD-1 - DRAKAR program); Polar Sciences for Planet Earth programme; British Antarctic Survey; Natural Environment Research Council; NERC [bas0100025] Funding Source: UKRI; Natural Environment Research Council [bas0100025] Funding Source: researchfish</t>
  </si>
  <si>
    <t>Emergence-UPMC research program; Region Bretagne(Region Bretagne); Institut Paul Emile Victor (IPEV) (KREVET program); Region Bretagne (SAD-1 - DRAKAR program); Polar Sciences for Planet Earth programme; British Antarctic Survey; Natural Environment Research Council(UK Research &amp; Innovation (UKRI)Natural Environment Research Council (NERC)); NERC(UK Research &amp; Innovation (UKRI)Natural Environment Research Council (NERC)); Natural Environment Research Council(UK Research &amp; Innovation (UKRI)Natural Environment Research Council (NERC))</t>
  </si>
  <si>
    <t>KC received a PhD grant by the Emergence-UPMC 2011 research program and the Region Bretagne. JYT benefited from funding provided by Institut Paul Emile Victor (IPEV) (KREVET program) and also by the Region Bretagne (SAD-1 - DRAKAR program). MSC was funded by the Polar Sciences for Planet Earth programme, by the British Antarctic Survey and the Natural Environment Research Council. The funders had no role in study design, data collection and analysis, decision to publish, or preparation of the manuscript.</t>
  </si>
  <si>
    <t>APR 2</t>
  </si>
  <si>
    <t>e0121642</t>
  </si>
  <si>
    <t>10.1371/journal.pone.0121642</t>
  </si>
  <si>
    <t>CE9BS</t>
  </si>
  <si>
    <t>gold, Green Published, Green Accepted</t>
  </si>
  <si>
    <t>WOS:000352139000053</t>
  </si>
  <si>
    <t>Vera, CG; Wöppke, CL</t>
  </si>
  <si>
    <t>Garay Vera, Cristian; Leon Woeppke, Consuelo</t>
  </si>
  <si>
    <t>THE COLD WAR AND CHILEAN ANTARCTIC POLICY, 1946-1952</t>
  </si>
  <si>
    <t>REVISTA ESTUDIOS HEMISFERICOS Y POLARES</t>
  </si>
  <si>
    <t>Chilean Antarctic Policy; Cold War; Chilean Geopolitic</t>
  </si>
  <si>
    <t>Chilean Antarctic claims were based on geopolitical grounds. This justified acts of sovereignty and constant presence after the demarcation of Chilean Antarctic Territory in 1940. In this way, national Antarctic policy emerged because Radical administrations and the military shared a vision of the country until 1952, thus shaping a legacy in Chilean Antarctic policy. Documentation used included diplomatic papers, memoirs and the archives of President Gonzalez Videla.</t>
  </si>
  <si>
    <t>[Garay Vera, Cristian] Univ Santiago Chile, Inst Estudios Avanzados IDEA, Santiago, Chile; [Leon Woeppke, Consuelo] Ctr Estudios Hemisfer &amp; Polares, Vina Del Mar, Chile</t>
  </si>
  <si>
    <t>Universidad de Santiago de Chile</t>
  </si>
  <si>
    <t>Vera, CG (corresponding author), Univ Santiago Chile, Inst Estudios Avanzados IDEA, Roman Diaz 89 Providencia, Santiago, Chile.</t>
  </si>
  <si>
    <t>cristian.garay@usach.cl; consuelo3leonw@gmail.com</t>
  </si>
  <si>
    <t>CENTRO ESTUDIOS HEMISFERICOS &amp; POLARES</t>
  </si>
  <si>
    <t>VINA DEL MAR</t>
  </si>
  <si>
    <t>CALLE ROMA, 116, CALETA ABARCA, VINA DEL MAR, 2580060, CHILE</t>
  </si>
  <si>
    <t>0718-9230</t>
  </si>
  <si>
    <t>REV ESTUD HEMISFERIC</t>
  </si>
  <si>
    <t>Rev. Estud. Hemisfericos Polares</t>
  </si>
  <si>
    <t>APR-JUN</t>
  </si>
  <si>
    <t>Area Studies</t>
  </si>
  <si>
    <t>DA7UI</t>
  </si>
  <si>
    <t>WOS:000368009400003</t>
  </si>
  <si>
    <t>Aldazabal, V</t>
  </si>
  <si>
    <t>Aldazabal, Veronica</t>
  </si>
  <si>
    <t>THE RECUPERATION OF THE ANTARCTIC ICONOGRAPHIC PATRIMONY OF THE NATIONAL NAVAL MUSEUMY</t>
  </si>
  <si>
    <t>Spanish</t>
  </si>
  <si>
    <t>[Aldazabal, Veronica] Consejo Nacl Invest Cient &amp; Tecn, Museo Naval Nac, RA-1033 Buenos Aires, DF, Argentina</t>
  </si>
  <si>
    <t>Consejo Nacional de Investigaciones Cientificas y Tecnicas (CONICET)</t>
  </si>
  <si>
    <t>Aldazabal, V (corresponding author), Museo Naval Nac, Paseo Victorica 602 1642 Tigre, Buenos Aires, DF, Argentina.</t>
  </si>
  <si>
    <t>varalda@fibertel.com.ar</t>
  </si>
  <si>
    <t>WOS:000368009400005</t>
  </si>
  <si>
    <t>Satish-Kumar, M</t>
  </si>
  <si>
    <t>Satish-Kumar, M.</t>
  </si>
  <si>
    <t>Chemostratigraphy as a Tool for Determining Depositional Ages of Metamorphosed Carbonate Rocks Prior to Supercontinent Formation</t>
  </si>
  <si>
    <t>JOURNAL OF THE INDIAN INSTITUTE OF SCIENCE</t>
  </si>
  <si>
    <t>Chemostratigraphy; Strontium isotopes; Carbonate rocks; Supercontinent</t>
  </si>
  <si>
    <t>SOR RONDANE MOUNTAINS; EAST ANTARCTICA; PROTEROZOIC CARBONATES; ISOTOPE THERMOMETRY; EVOLUTION; SR-87/SR-86; CONSTRAINTS; EXCURSIONS; STRONTIUM; SVALBARD</t>
  </si>
  <si>
    <t>Chemostratigraphy or chemical stratigraphy deals with the correlation of sedimentary strata based on systematic variation of a particular chemical composition with time in the history of the Earth. In particular, this method is widely used in decoding the temporal variations seen in marine sediments that are deposited uninterruptedly in deep sea or in shallow marine carbonate depositional environments. In this review, the application of strontium and carbon isotope based chemostratigraphy in marine carbonate sediments is discussed. Irrespective of post depositional geological events such as metamorphism or tectonic displacements to form Mountain chains during continental collision, chemostratigraphy helps in determining the apparent depositional ages of sedimentary rocks in the Precambrian time, where biostratigraphy is not applicable. Although carbonate rocks are vulnerable to post depositional alterations, a systematic geochemical screening can guide in identifying the best chemically preserved carbonate rocks. A novel method of using Mn/Sr ratios for determining the best estimate of strontium initial ratio for carbonate rocks is presented, on the basis of a worked example of metamorphosed carbonate rocks from the Sor Rondane Mountains in the Dronning 'Maud Land, East Antarctica. The future potential of chemostratigraphy in decoding the early history of the Earth is also discussed.</t>
  </si>
  <si>
    <t>Niigata Univ, Fac Sci, Dept Geol, Nishi Ku, Niigata 9502181, Japan</t>
  </si>
  <si>
    <t>Niigata University</t>
  </si>
  <si>
    <t>Satish-Kumar, M (corresponding author), Niigata Univ, Fac Sci, Dept Geol, Nishi Ku, 2-8050 Ikarashi, Niigata 9502181, Japan.</t>
  </si>
  <si>
    <t>satish@geo.sc.niigata-u.ac.jp</t>
  </si>
  <si>
    <t>Satish-Kumar, M./AAN-4420-2021</t>
  </si>
  <si>
    <t>Satish-Kumar, Madhusoodhan/0000-0003-3604-7399</t>
  </si>
  <si>
    <t>Ministry of Education, Culture, Sports, Science and Technology, Japan [23340155, 25302008]; Grants-in-Aid for Scientific Research [25302008, 23340155] Funding Source: KAKEN</t>
  </si>
  <si>
    <t>Ministry of Education, Culture, Sports, Science and Technology, Japan(Ministry of Education, Culture, Sports, Science and Technology, Japan (MEXT)); Grants-in-Aid for Scientific Research(Ministry of Education, Culture, Sports, Science and Technology, Japan (MEXT)Japan Society for the Promotion of ScienceGrants-in-Aid for Scientific Research (KAKENHI))</t>
  </si>
  <si>
    <t>I thank Sajeev Krishnan for the invitation to contribute in this special issue. Naho Otsuji is thanked for her extreme hard work in carefully analyzing the metacarbonate rocks. Discussions with Atsushi Kamei and several colleagues in the Antarctic research group helped in evolving some of the ideas presented in this review. This work has been partially supported by the Grant-in-aid financial support from the Ministry of Education, Culture, Sports, Science and Technology, Japan (Nos. 23340155 and 25302008).</t>
  </si>
  <si>
    <t>0970-4140</t>
  </si>
  <si>
    <t>0019-4964</t>
  </si>
  <si>
    <t>J INDIAN I SCI</t>
  </si>
  <si>
    <t>J. Indian Inst. Sci.</t>
  </si>
  <si>
    <t>CP4XR</t>
  </si>
  <si>
    <t>WOS:000359886400004</t>
  </si>
  <si>
    <t>Kane, RP</t>
  </si>
  <si>
    <t>Kane, R. P.</t>
  </si>
  <si>
    <t>ANTARCTIC OZONE HOLE STATUS - AN UPDATE</t>
  </si>
  <si>
    <t>MAUSAM</t>
  </si>
  <si>
    <t>INTERANNUAL VARIABILITY; DEPLETION; LOSSES; GCM</t>
  </si>
  <si>
    <t>INPE, BR-12245970 Sao Jose Dos Campos, SP, Brazil</t>
  </si>
  <si>
    <t>Instituto Nacional de Pesquisas Espaciais (INPE)</t>
  </si>
  <si>
    <t>Kane, RP (corresponding author), INPE, CP 515, BR-12245970 Sao Jose Dos Campos, SP, Brazil.</t>
  </si>
  <si>
    <t>Kane@dge.inpe.br</t>
  </si>
  <si>
    <t>INDIA METEOROLOGICAL DEPT</t>
  </si>
  <si>
    <t>NEW DELHI</t>
  </si>
  <si>
    <t>MAUSAM BHAWAN, LODI RD, NEW DELHI, 110 003, INDIA</t>
  </si>
  <si>
    <t>0252-9416</t>
  </si>
  <si>
    <t>Mausam</t>
  </si>
  <si>
    <t>APR</t>
  </si>
  <si>
    <t>CN6NK</t>
  </si>
  <si>
    <t>WOS:000358551300016</t>
  </si>
  <si>
    <t>Panitz, S; Cortese, G; Neil, HL; Diekmann, B</t>
  </si>
  <si>
    <t>Panitz, Sina; Cortese, Giuseppe; Neil, Helen L.; Diekmann, Bernhard</t>
  </si>
  <si>
    <t>A radiolarian-based palaeoclimate history of Core Y9 (Northeast of Campbell Plateau, New Zealand) for the last 160 kyr</t>
  </si>
  <si>
    <t>MARINE MICROPALEONTOLOGY</t>
  </si>
  <si>
    <t>Radiolaria; Palaeotemperature; Subantarctic Front; Antarctic Circumpolar Current; Pacific Ocean</t>
  </si>
  <si>
    <t>SEA-SURFACE TEMPERATURES; SOUTHEASTERN NEW-ZEALAND; SOUTHWEST PACIFIC-OCEAN; SOUTHERN-OCEAN; LATE PLEISTOCENE; PLANKTONIC-FORAMINIFERA; SEDIMENTARY RECORD; CHATHAM RISE; TASMAN SEA; ATLANTIC</t>
  </si>
  <si>
    <t>Sea-surface temperatures (SSTs) based on radiolarian assemblage changes are estimated for the last 160 kyr, from a sediment core (Y9) recovered from Pukaki Saddle, northeast of Campbell Plateau. Site Y9 lies beneath Subantarctic Surface Water (SAW) immediately to the north of the Subantarctic Front (SAF), which in this region is bathymetrically constrained by the edges of Campbell Plateau and defines the northern boundary of the Antarctic Circumpolar Current (ACC). Radiolarian assemblages are characterised by an exceptionally high abundance of the Antarctic to subantarctic species Antarctissa spp. (up to 68%), especially during glacial intervals. SST estimates are derived using Factor Analysis and the Modern Analog Technique. Both methods capture the glacial-interglacial (G-I) pattern. The SST reconstructions show the changing relative influence of distinct water masses during the past G-I cycle, with major temperature variations of the order of 7-9 degrees C at glacial Terminations. Glacials (marine isotope stages (MIS) 6 and 2) are associated with particularly cool SSTs that are indicative of a more vigorous SAF/ACC and an enhancement of the inflow through Pukaki Saddle and/or frequent development of cold-core eddies at the SAF. By contrast, the influence of warmer waters and relaxation of the ACC during interglacials can be inferred from temperatures slightly warmer (e.g., mid-Holocene) and/or comparable to present day (e.g., MIS 5e). During these intervals, relatively warmer temperatures most likely indicate a higher warmcore eddy activity due to a strengthened Subtropical Front and/or a weakened inflow of cool water through Pukaki Saddle and/or an increased stratification in the Campbell Plateau region. Furthermore, the SST record is characterised by an abrupt warming at ca. 10 kyr (i.e., Termination l), the occurrence of a reversal at Termination I, and a warming event at the end of MIS 4, coinciding with the A4 event in the Byrd ice core. These characteristics, together with the pronounced G-I cycle shown by the SST estimates, suggest that Site Y9 is influenced by major oceanographic changes in the SW Pacific and responds to thermal changes at high southern latitudes. (C) 2014 Elsevier B.V. All rights reserved.</t>
  </si>
  <si>
    <t>[Panitz, Sina; Diekmann, Bernhard] Univ Potsdam, Inst Earth &amp; Environm Sci, D-14476 Potsdam, Germany; [Panitz, Sina; Cortese, Giuseppe] GNS Sci, Lower Hutt 5040, New Zealand; [Neil, Helen L.] Natl Inst Water &amp; Atmosphere Res, Wellington, New Zealand; [Diekmann, Bernhard] Alfred Wegener Inst, D-14473 Potsdam, Germany</t>
  </si>
  <si>
    <t>University of Potsdam; GNS Science - New Zealand; National Institute of Water &amp; Atmospheric Research (NIWA) - New Zealand; Helmholtz Association; Alfred Wegener Institute, Helmholtz Centre for Polar &amp; Marine Research</t>
  </si>
  <si>
    <t>Panitz, S (corresponding author), Northumbria Univ Newcastle, Dept Geog, Ellison Bldg A221, Newcastle Upon Tyne NE1 8ST, Tyne &amp; Wear, England.</t>
  </si>
  <si>
    <t>sina.panitz@northumbria.ac.uk; g.cortese@gns.cri.nz; helen.neil@niwa.co.nz; bernhard.diekmann@awi.de</t>
  </si>
  <si>
    <t>Diekmann, Bernhard/0000-0001-5129-3649; Cortese, Giuseppe/0000-0003-1780-3371</t>
  </si>
  <si>
    <t>New Zealand Ministry of Business, Innovation and Employment (MBIE) through the Global Change through Time Program at GNS Science; New Zealand Ministry of Business, Innovation and Employment (MBIE) through the National Coasts and Ocean Centre at NIWA</t>
  </si>
  <si>
    <t>The National Institute of Water and Atmospheric Research (NIWA, New Zealand) kindly provided the samples from Core Y9 as well as the stable isotope data. The study was supported by the New Zealand Ministry of Business, Innovation and Employment (MBIE) through core funding to the Global Change through Time Program at GNS Science, and through core funding to the National Coasts and Ocean Centre at NIWA. We thank Sonja Fry (GNS) for sample preparation. We are also grateful to Frans Jorisson for editorial handling and John Rogers and an anonymous reviewer for constructive comments that helped to improve the manuscript.</t>
  </si>
  <si>
    <t>0377-8398</t>
  </si>
  <si>
    <t>1872-6186</t>
  </si>
  <si>
    <t>MAR MICROPALEONTOL</t>
  </si>
  <si>
    <t>Mar. Micropaleontol.</t>
  </si>
  <si>
    <t>10.1016/j.marmicro.2014.12.003</t>
  </si>
  <si>
    <t>CM7VL</t>
  </si>
  <si>
    <t>WOS:000357904500001</t>
  </si>
  <si>
    <t>Abrahao, VP; Shibatta, OA</t>
  </si>
  <si>
    <t>Abrahao, Vitor Pimenta; Shibatta, Oscar Akio</t>
  </si>
  <si>
    <t>Gross morphology of the brain of Pseudopimelodus bufonius (Valenciennes, 1840) (Siluriformes: Pseudopimelodidae)</t>
  </si>
  <si>
    <t>NEOTROPICAL ICHTHYOLOGY</t>
  </si>
  <si>
    <t>Behavior; Catfishes; Comparative Morphology; Neotropical fishes; Neuroanatomy</t>
  </si>
  <si>
    <t>ANTARCTIC NOTOTHENIOID FISHES; SENSE ORGAN ANATOMY; PERCIFORMES; HISTOLOGY; DIVERSIFICATION; ORGANIZATION; EVOLUTION; SYSTEM; TASTE</t>
  </si>
  <si>
    <t>The gross morphology of the brain of the pseudopimelodid Pseudopimelodus bufonius is described and compared with congeners. Observations were made on removed brains after elimination of bones from the top of the skull and severing of the cranial nerves and the spinal cord. Nine morphometric characters associated with the major subdivisions of the brain were identified, seven of which revealed significant differences among the species examined. The corpus cerebelli in all examined species of the genus is the largest structure of the brain. The behavior of the species of Pseudopimelodus is still unknown, but in other teleosts that condition is typically correlated with a higher degree of motor coordination. Relative size proportions of the tectum opticum, eminentia granularis, lobus facialis and lobus vagi, might be related to carnivory and an enhanced capacity for food selection.</t>
  </si>
  <si>
    <t>[Abrahao, Vitor Pimenta; Shibatta, Oscar Akio] Univ Estadual Londrina, Dept Biol Anim &amp; Vegetal, Programa Posgrad Ciencias Biol, BR-86057970 Londrina, PR, Brazil</t>
  </si>
  <si>
    <t>Universidade Estadual de Londrina</t>
  </si>
  <si>
    <t>Abrahao, VP (corresponding author), Univ Estadual Londrina, Dept Biol Anim &amp; Vegetal, Programa Posgrad Ciencias Biol, Caixa Postal 10-011, BR-86057970 Londrina, PR, Brazil.</t>
  </si>
  <si>
    <t>vitorabrahao32@gmail.com; shibatta@uel.br</t>
  </si>
  <si>
    <t>Shibatta, Oscar Akio/I-1392-2012</t>
  </si>
  <si>
    <t>Shibatta, Oscar Akio/0000-0003-2883-5934; Abrahao, Vitor/0000-0002-6596-5079; Abrahao, Vitor/0000-0002-4413-2334</t>
  </si>
  <si>
    <t>Universidade Estadual de Londrina; CNPq; Fundacao Araucaria [prot. 36.379, 414/2013]</t>
  </si>
  <si>
    <t>Universidade Estadual de Londrina; CNPq(Conselho Nacional de Desenvolvimento Cientifico e Tecnologico (CNPQ)); Fundacao Araucaria(Fundacao Araucaria de Apoio ao Desenvolvimento Cientifico e Tecnologico do Estado do Parana FA)</t>
  </si>
  <si>
    <t>The authors thank J. Birindelli and F. Jerep - Museu de Zoologia of the Universidade Estadual de Londrina (MZUEL), S. Ponzoni - Departamento de Fisiologia of the Universidade Estadual de Londrina, N. Menezes - Museu de Zoologia of the Universidade de Sao Paulo (MZUSP), and C. Dillman - Smithsonian Institution- for reading and commenting the manuscript, and M. de Pinna (MZUSP) for loan and permission to dissect specimens. We are also thankful to Universidade Estadual de Londrina and CNPq for financial support. OAS is a productivity researcher granted by Fundacao Araucaria (prot. 36.379, 414/2013).</t>
  </si>
  <si>
    <t>SOC BRASILEIRA ICTIOLOGIA</t>
  </si>
  <si>
    <t>SAO PAULO</t>
  </si>
  <si>
    <t>UNIV SAO PAULO, DEPT FISIOLOGIA-IB, RUA DO MATAO, TRAVESSA 14 N 321, SAO PAULO, SP 05508-900, BRAZIL</t>
  </si>
  <si>
    <t>1679-6225</t>
  </si>
  <si>
    <t>NEOTROP ICHTHYOL</t>
  </si>
  <si>
    <t>Neotrop. Ichthyol.</t>
  </si>
  <si>
    <t>10.1590/1982-0224-20130219</t>
  </si>
  <si>
    <t>CN4ZF</t>
  </si>
  <si>
    <t>WOS:000358438400001</t>
  </si>
  <si>
    <t>Collet, G; Mairesse, O; Cortoos, A; Tellez, HF; Neyt, X; Peigneux, P; Macdonald-Nethercott, E; Ducrot, YM; Pattyn, N</t>
  </si>
  <si>
    <t>Collet, Gregory; Mairesse, Olivier; Cortoos, Aisha; Tellez, Helio Fernandez; Neyt, Xavier; Peigneux, Philippe; Macdonald-Nethercott, Eoin; Ducrot, Yves-Marie; Pattyn, Nathalie</t>
  </si>
  <si>
    <t>Altitude and Seasonality Impact on Sleep in Antarctica</t>
  </si>
  <si>
    <t>AEROSPACE MEDICINE AND HUMAN PERFORMANCE</t>
  </si>
  <si>
    <t>hypobaric hypoxia; extreme environments; sleep; polar regions</t>
  </si>
  <si>
    <t>BACKGROUND: This study investigates the effects of seasonality and altitude on sleep in extreme Antarctic conditions. METHODS: During summer and winter periods, 24 h of actimetric recordings were obtained at two different research stations, Dumont d'Urville (sea level altitude) and Concordia (corrected altitude 12,467 ft or 3800 m). RESULTS: During daytime, there were no altitude-or season-related differences in time spent at work, energy expenditure, or number of walking steps. During the nighttime however, total sleep time was longer (m = 427.4; SD = 42.4), sleep efficiency higher (m = 90; SD = 4.8), and wake after sleep onset shorter (m = 42.2; SD = 28.7) at sea level. Additionally, sleep fragmentation episodes and energy expenditure were higher during summer than winter periods. DISCUSSION: Our results show that dramatic variations in light exposure are not the only main factor affecting sleep quality in Antarctica, as altitude also markedly impacted sleep in these conditions. The effect of altitude-induced hypoxia should be taken into account in future investigations of sleep in extreme environments.</t>
  </si>
  <si>
    <t>[Collet, Gregory] Royal Mil Acad, VIPER Res Unit, B-1000 Brussels, Belgium; Vrije Univ Brussel, Human Physiol &amp; Sport Med, Brussels, Belgium; Vrije Univ Brussel, Dept Biol Psychol, Brussels, Belgium; Univ Ziekenhuis, Dept Pneumol, Sleep Unit, Brussels, Belgium; Univ Libre Bruxelles, CRCN, Unite Rech Neuropsychol &amp; Neuroimagerie Fonct, Brussels, Belgium; Univ Libre Bruxelles, UNI, Brussels, Belgium; Princess Alexandra Hosp NHS Trust, Harlow, Essex, England; Inst Paul Emile Victor, Plouzane, France</t>
  </si>
  <si>
    <t>Vrije Universiteit Brussel; Vrije Universiteit Brussel; Universite Libre de Bruxelles; Universite Libre de Bruxelles; Princess Alexandra Hospital NHS Trust</t>
  </si>
  <si>
    <t>Collet, G (corresponding author), Royal Mil Acad, VIPER Res Unit, Renaissancelaan 30, B-1000 Brussels, Belgium.</t>
  </si>
  <si>
    <t>gregory.collet@elec.rma.ac.be</t>
  </si>
  <si>
    <t>Mairesse, Olivier/AAM-6427-2020; Neyt, Xavier/I-7259-2019</t>
  </si>
  <si>
    <t>Neyt, Xavier/0000-0002-8992-3877; Mairesse, Olivier/0000-0001-8428-1185; Pattyn, Nathalie/0000-0002-2690-5479; Peigneux, Philippe/0000-0003-4745-1434; Collet, Gregory/0000-0002-7378-0074</t>
  </si>
  <si>
    <t>ESA/Prodex grant through the Belgian Science Policy office (BELSPO) [4000102671]</t>
  </si>
  <si>
    <t>ESA/Prodex grant through the Belgian Science Policy office (BELSPO)</t>
  </si>
  <si>
    <t>The present research was supported by an ESA/Prodex grant No. 4000102671 through the Belgian Science Policy office (BELSPO). The authors would like to express their gratitude to the French Polar Institute (IPEV), especially towards the director, Mr. Yves Frenot, and the medical director for French Antarctic affairs, Dr. Claude Bachelard, for their facilitating role in putting together the experiment.</t>
  </si>
  <si>
    <t>AEROSPACE MEDICAL ASSOC</t>
  </si>
  <si>
    <t>ALEXANDRIA</t>
  </si>
  <si>
    <t>320 S HENRY ST, ALEXANDRIA, VA 22314-3579 USA</t>
  </si>
  <si>
    <t>2375-6314</t>
  </si>
  <si>
    <t>2375-6322</t>
  </si>
  <si>
    <t>AEROSP MED HUM PERF</t>
  </si>
  <si>
    <t>Aerosp. Med.Hum. Perform.</t>
  </si>
  <si>
    <t>10.3357/AMHP.4159.2015</t>
  </si>
  <si>
    <t>Biophysics; Public, Environmental &amp; Occupational Health; Medicine, Research &amp; Experimental</t>
  </si>
  <si>
    <t>Biophysics; Public, Environmental &amp; Occupational Health; Research &amp; Experimental Medicine</t>
  </si>
  <si>
    <t>CM0CA</t>
  </si>
  <si>
    <t>WOS:000357344600008</t>
  </si>
  <si>
    <t>Gunnigle, E; Ramond, JB; Guerrero, LD; Makhalanyane, TP; Cowan, DA</t>
  </si>
  <si>
    <t>Gunnigle, Eoin; Ramond, Jean-Baptiste; Guerrero, Leandro D.; Makhalanyane, Thulani P.; Cowan, Don A.</t>
  </si>
  <si>
    <t>Draft genomic DNA sequence of the multi-resistant Sphingomonas sp strain AntH11 isolated from an Antarctic hypolith</t>
  </si>
  <si>
    <t>FEMS MICROBIOLOGY LETTERS</t>
  </si>
  <si>
    <t>Sphingomonas; hypolith; Antarctica</t>
  </si>
  <si>
    <t>MICROBIAL COMMUNITIES; BIOREMEDIATION; BACTERIUM; SOIL</t>
  </si>
  <si>
    <t>Hypoliths are microbial communities that live underneath translucent rocks in desert ecosystems and represent a key refuge niche in the Antarctic Dry Valleys. These cryptic microbial assemblages are crucial as they mediate numerous ecosystem processes. Here, we present the first draft genome of a hypolith isolate belonging to the alpha-proteobacterial class and the genus Sphingomonas. The draft genome of Sphingomonas sp. strain AntH11 shows the capacity of this organism to adapt to the extreme cold and arid conditions encountered in Antarctic desert soils. Our result also suggests that its metabolic versatility and multidrug resistance constitutes an opportunistic advantage in competition with other hypolith-colonizing microorganisms.</t>
  </si>
  <si>
    <t>[Gunnigle, Eoin; Ramond, Jean-Baptiste; Guerrero, Leandro D.; Makhalanyane, Thulani P.; Cowan, Don A.] Univ Pretoria, Genom Res Inst, Ctr Microbial Ecol &amp; Genom, ZA-0028 Pretoria, South Africa</t>
  </si>
  <si>
    <t>Cowan, DA (corresponding author), Univ Pretoria, Genom Res Inst, Ctr Microbial Ecol &amp; Genom, ZA-0028 Pretoria, South Africa.</t>
  </si>
  <si>
    <t>don.cowan@up.ac.za</t>
  </si>
  <si>
    <t>Cowan, Donald A/E-3991-2012; Ramond, Jean-Baptiste/AAI-8087-2020; Makhalanyane, Thulani P./C-6815-2012</t>
  </si>
  <si>
    <t>Cowan, Donald A/0000-0001-8059-861X; Ramond, Jean-Baptiste/0000-0003-4790-6232; Makhalanyane, Thulani P./0000-0002-8173-1678</t>
  </si>
  <si>
    <t>South African National Research Foundation (NRF)</t>
  </si>
  <si>
    <t>South African National Research Foundation (NRF)(National Research Foundation - South Africa)</t>
  </si>
  <si>
    <t>We thank the South African National Research Foundation (NRF) for financial support.</t>
  </si>
  <si>
    <t>0378-1097</t>
  </si>
  <si>
    <t>1574-6968</t>
  </si>
  <si>
    <t>FEMS MICROBIOL LETT</t>
  </si>
  <si>
    <t>FEMS Microbiol. Lett.</t>
  </si>
  <si>
    <t>fnv037</t>
  </si>
  <si>
    <t>10.1093/femsle/fnv037</t>
  </si>
  <si>
    <t>CL3YQ</t>
  </si>
  <si>
    <t>WOS:000356888900004</t>
  </si>
  <si>
    <t>Smart, SM; Fawcett, SE; Thomalla, SJ; Weigand, MA; Reason, CJC; Sigman, DM</t>
  </si>
  <si>
    <t>Smart, Sandi M.; Fawcett, Sarah E.; Thomalla, Sandy J.; Weigand, Mira A.; Reason, Chris J. C.; Sigman, Daniel M.</t>
  </si>
  <si>
    <t>Isotopic evidence for nitrification in the Antarctic winter mixed layer</t>
  </si>
  <si>
    <t>GLOBAL BIOGEOCHEMICAL CYCLES</t>
  </si>
  <si>
    <t>SOUTHERN-OCEAN; ORGANIC-MATTER; WATER MASSES; AMMONIA OXIDATION; NITRATE-NITROGEN; OXYGEN ISOTOPES; SURFACE WATERS; FRACTIONATION; NITRITE; ASSIMILATION</t>
  </si>
  <si>
    <t>We report wintertime nitrogen and oxygen isotope ratios (delta N-15 and delta O-18) of seawater nitrate in the Southern Ocean south of Africa. Depth profile and underway surface samples collected in July 2012 extend from the subtropics to just beyond the Antarctic winter sea ice edge. We focus here on the Antarctic region (south of 50.3 degrees S), where application of the Rayleigh model to depth profile delta N-15 data yields estimates for the isotope effect (the degree of isotope discrimination) of nitrate assimilation (1.6-3.3%) that are significantly lower than commonly observed in the summertime Antarctic (5-8%). The delta O-18 data from the same depth profiles and lateral delta N-15 variations within the mixed layer, however, imply O and N isotope effects that are more similar to those suggested by summertime data. These findings point to active nitrification (i.e., regeneration of organic matter to nitrate) within the Antarctic winter mixed layer. Nitrite removal from samples reveals a low delta N-15 for nitrite in the winter mixed layer (-40 parts per thousand to -20 parts per thousand), consistent with nitrification, but does not remove the observation of an anomalously low delta N-15 for nitrate. The winter data, and the nitrification they reveal, explain the previous observation of an anomalously low delta N-15 for nitrate in the temperature minimum layer (remnant winter mixed layer) of summertime depth profiles. At the same time, the wintertime data require a low delta N-15 for the combined organic N and ammonium in the autumn mixed layer that is available for wintertime nitrification, pointing to intense N recycling as a pervasive condition of the Antarctic in late summer.</t>
  </si>
  <si>
    <t>[Smart, Sandi M.; Thomalla, Sandy J.; Reason, Chris J. C.] Univ Cape Town, Dept Oceanog, ZA-7700 Rondebosch, South Africa; [Fawcett, Sarah E.; Weigand, Mira A.; Sigman, Daniel M.] Princeton Univ, Dept Geosci, Princeton, NJ 08544 USA; [Thomalla, Sandy J.] CSIR, Ocean Syst &amp; Climate Grp, Stellenbosch, South Africa</t>
  </si>
  <si>
    <t>University of Cape Town; Princeton University; Council for Scientific &amp; Industrial Research (CSIR) - South Africa</t>
  </si>
  <si>
    <t>Smart, SM (corresponding author), Univ Cape Town, Dept Oceanog, ZA-7700 Rondebosch, South Africa.</t>
  </si>
  <si>
    <t>sandimsmart@gmail.com</t>
  </si>
  <si>
    <t>Sigman, Daniel M./A-2649-2008; Sigman, Daniel M./IYJ-2613-2023; Thomalla, Sandy/AAS-4133-2021; smart, simon M/I-6089-2012</t>
  </si>
  <si>
    <t>Sigman, Daniel M./0000-0002-7923-1973; Fawcett, Sarah/0000-0002-0878-6496</t>
  </si>
  <si>
    <t>South African National Research Foundation; Applied Centre for Climate and Earth Systems Science; University of Cape Town; US NSF [PLR-1401489, OPP-0612198, OCE-0992345, OCE-1136345, OCE-1060947]; Princeton University; European Commission [265294]; Directorate For Geosciences; Division Of Ocean Sciences [1136345] Funding Source: National Science Foundation; Office of Polar Programs (OPP); Directorate For Geosciences [1401489] Funding Source: National Science Foundation</t>
  </si>
  <si>
    <t>South African National Research Foundation(National Research Foundation - South Africa); Applied Centre for Climate and Earth Systems Science; University of Cape Town; US NSF(National Science Foundation (NSF)); Princeton University(Princeton University); European Commission(European Union (EU)European Commission Joint Research Centre); Directorate For Geosciences; Division Of Ocean Sciences(National Science Foundation (NSF)NSF - Directorate for Geosciences (GEO)); Office of Polar Programs (OPP); Directorate For Geosciences(National Science Foundation (NSF)NSF - Directorate for Geosciences (GEO))</t>
  </si>
  <si>
    <t>The data presented in this study can be found at http://www.bco-dmo.org. Support for this work was provided by the South African National Research Foundation; the Applied Centre for Climate and Earth Systems Science; the University of Cape Town; US NSF grants PLR-1401489, OPP-0612198, OCE-0992345, OCE-1136345, and OCE-1060947 (D.M.S.), by the Grand Challenges Program of Princeton University; as well as the European Commission Seventh Framework Program through the GreenSeas Collaborative Project, FP7-ENV-2010 contract 265294. Sincere thanks to P. Monteiro, without whom this work would not have been possible. We are grateful to the captain and crew of the R/V S.A. Agulhas II for a safe wintertime voyage, as well as fellow scientists for the assistance in sampling and auxiliary data collection (particularly R. Roman for onboard nutrient analyses). We thank S. Swart for the collection of summertime samples in February 2014 (SANAE 53); S. Oleynik, GC/IRMS laboratory manager at Princeton University, for providing an efficient and enjoyable working environment; M. Prokopenko and A. Martinez-Garcia for the constructive thesis reviews; as well as P. Rafter, F. Fripiat, and R. Philibert for the helpful discussions. This manuscript benefitted from the inputs of two anonymous reviewers.</t>
  </si>
  <si>
    <t>0886-6236</t>
  </si>
  <si>
    <t>1944-9224</t>
  </si>
  <si>
    <t>GLOBAL BIOGEOCHEM CY</t>
  </si>
  <si>
    <t>Glob. Biogeochem. Cycle</t>
  </si>
  <si>
    <t>10.1002/2014GB005013</t>
  </si>
  <si>
    <t>CK7AY</t>
  </si>
  <si>
    <t>WOS:000356383100003</t>
  </si>
  <si>
    <t>Cassar, N; Wright, SW; Thomson, PG; Trull, TW; Westwood, KJ; de Salas, M; Davidson, A; Pearce, I; Davies, DM; Matear, RJ</t>
  </si>
  <si>
    <t>Cassar, Nicolas; Wright, Simon W.; Thomson, Paul G.; Trull, Thomas W.; Westwood, Karen J.; de Salas, Miguel; Davidson, Andrew; Pearce, Imojen; Davies, Diana M.; Matear, Richard J.</t>
  </si>
  <si>
    <t>The relation of mixed-layer net community production to phytoplankton community composition in the Southern Ocean</t>
  </si>
  <si>
    <t>PARTICULATE ORGANIC-CARBON; TRIPLE-ISOTOPE COMPOSITION; POLAR FRONTAL ZONES; SINKING-RATE RESPONSE; EQUATORIAL PACIFIC; INTERANNUAL VARIABILITY; BIOLOGICAL PRODUCTION; CHLOROPHYLL MAXIMUM; IRON FERTILIZATION; SEASONAL EVOLUTION</t>
  </si>
  <si>
    <t>Surface ocean productivity mediates the transfer of carbon to the deep ocean and in the process regulates atmospheric CO2 levels. A common axiom in oceanography is that large phytoplankton contribute disproportionally to the transfer of carbon to the deep ocean because of their greater ability to escape grazing pressure, build biomass, and sink. In the present study, we assessed the relationship of net community production to phytoplankton assemblages and plankton size distribution in the Sub-Antarctic Zone and northern reaches of the Polar Frontal Zone in the Australian sector of the Southern Ocean. We reanalyzed and synthesized previously published estimates of O-2/Ar net community oxygen production (NCP) and triple-O-2 isotopes gross primary oxygen production (GPP) along with microscopic and pigment analyses of the microbial community. Overall, we found that the axiom that large phytoplankton drive carbon export was not supported in this region. Mixed-layer-depth-integrated NCP was correlated to particulate organic carbon (POC) concentration in the mixed layer. While lower NCP/GPP and NCP/POC values were generally associated with communities dominated by smaller plankton size (as would be expected), these communities did not preclude high values for both properties. Vigorous NCP in some regions occurred in the virtual absence of large phytoplankton (and specifically diatoms) and in communities dominated by nanoplankton and picoplankton. We also observed a positive correlation between NCP and the proportion of the phytoplankton community grazed by microheterotrophs, supporting the mediating role of grazers in carbon export. The novel combination of techniques allowed us to determine how NCP relates to upper ocean ecosystem characteristics and may lead to improved models of carbon export.</t>
  </si>
  <si>
    <t>[Cassar, Nicolas] Duke Univ, Nicholas Sch Environm, Div Earth &amp; Ocean Sci, Durham, NC 27708 USA; [Wright, Simon W.; Westwood, Karen J.; de Salas, Miguel; Davidson, Andrew; Pearce, Imojen] Australian Antarctic Div, Kingston, Tas, Australia; [Wright, Simon W.; Trull, Thomas W.; Westwood, Karen J.; de Salas, Miguel; Davidson, Andrew; Pearce, Imojen; Davies, Diana M.] Univ Tasmania, Antarctic Climate &amp; Ecosyst CRC, Hobart, Tas, Australia; [Thomson, Paul G.] Univ Western Australia, Sch Civil Environm &amp; Min Engn, Crawley, WA, Australia; [Thomson, Paul G.] Univ Western Australia, UWA Oceans Inst, Crawley, WA, Australia; [Trull, Thomas W.; Matear, Richard J.] Commonwealth Sci &amp; Ind Res Org Oceans &amp; Atmospher, Hobart, Tas, Australia</t>
  </si>
  <si>
    <t>Duke University; Australian Antarctic Division; University of Tasmania; University of Western Australia; University of Western Australia; Commonwealth Scientific &amp; Industrial Research Organisation (CSIRO)</t>
  </si>
  <si>
    <t>Cassar, N (corresponding author), Duke Univ, Nicholas Sch Environm, Div Earth &amp; Ocean Sci, Durham, NC 27708 USA.</t>
  </si>
  <si>
    <t>nicolas.cassar@duke.edu</t>
  </si>
  <si>
    <t>Trull, Tom W/B-7028-2014; Cassar, Nicolas/B-4260-2011; matear, richard/C-5133-2011</t>
  </si>
  <si>
    <t>Cassar, Nicolas/0000-0003-0100-3783; Davies, Diana M./0000-0001-6304-3938; matear, richard/0000-0002-3225-0800; Westwood, Karen/0000-0003-1060-7140</t>
  </si>
  <si>
    <t>Australian Government's Cooperative Research Centres Programme through the Antarctic Climate and Ecosystems Cooperative Research Centre (ACE CRC); Australian Antarctic Science [2720]; National Science Foundation Office of Polar Programs; NASA; Princeton-BP/Amoco Carbon Mitigation Initiative; Australian Climate Change Research Program; Alfred P. Sloan foundation; Ernest Frohlich foundation</t>
  </si>
  <si>
    <t>Australian Government's Cooperative Research Centres Programme through the Antarctic Climate and Ecosystems Cooperative Research Centre (ACE CRC)(Australian GovernmentDepartment of Industry, Innovation and ScienceCooperative Research Centres (CRC) Programme); Australian Antarctic Science; National Science Foundation Office of Polar Programs(National Science Foundation (NSF)NSF - Directorate for Geosciences (GEO)); NASA(National Aeronautics &amp; Space Administration (NASA)); Princeton-BP/Amoco Carbon Mitigation Initiative; Australian Climate Change Research Program; Alfred P. Sloan foundation(Alfred P. Sloan Foundation); Ernest Frohlich foundation</t>
  </si>
  <si>
    <t>We would like to thank Brian Griffiths for acting as Chief Scientist on the SAZ-Sense cruise and the officers and crew of the RSV Aurora Australis for technical support. We also thank George Jackson (TAMU) for valuable discussions. This work was partly supported by the Australian Government's Cooperative Research Centres Programme through the Antarctic Climate and Ecosystems Cooperative Research Centre (ACE CRC) and Australian Antarctic Science project 2720, by grants from the National Science Foundation Office of Polar Programs and NASA, and by the Princeton-BP/Amoco Carbon Mitigation Initiative. The O2/Ar measurements were in part supported by Australian Climate Change Research Program funding to B. Tilbrook (CSIRO). N.C. was partially supported by fellowships from the Alfred P. Sloan and Ernest Frohlich foundations. Observations and analyses are available upon request from the corresponding author.</t>
  </si>
  <si>
    <t>10.1002/2014GB004936</t>
  </si>
  <si>
    <t>Bronze, Green Accepted, Green Published</t>
  </si>
  <si>
    <t>WOS:000356383100004</t>
  </si>
  <si>
    <t>Wilhelm, KR; Bockheim, JG; Kung, S</t>
  </si>
  <si>
    <t>Wilhelm, Kelly R.; Bockheim, James G.; Kung, Samuel</t>
  </si>
  <si>
    <t>Active Layer Thickness Prediction on the Western Antarctic Peninsula</t>
  </si>
  <si>
    <t>PERMAFROST AND PERIGLACIAL PROCESSES</t>
  </si>
  <si>
    <t>active layer; permafrost; antarctic peninsula; thermal modelling; polar soils</t>
  </si>
  <si>
    <t>KUPARUK RIVER-BASIN; SURFACE TEMPERATURES; MARITIME ANTARCTICA; LIVINGSTON ISLAND; PERMAFROST; VARIABILITY; SOIL; REGION; ALASKA; FLOW</t>
  </si>
  <si>
    <t>The effects of climate change along the climatically sensitive Western Antarctic Peninsula (WAP) on active layer dynamics have just begun to be monitored. But extreme climates and difficult access make borehole installation here challenging. This study was designed to examine the ability of two commonly used, minimally intrusive techniques (the Stefan and Kudryavtsev equations) to predict active layer temperature dynamics and maximum active layer thickness (ALT) on Amsler Island, on the WAP. The ALT in soils and unconsolidated materials was predicted to be between 4.7 and 8.7 m, and between 11.9 and 18.6 m in bedrock, consistent with measurements made in a 14.6 m deep borehole. The thermal model HYDRUS accurately predicted temperature dynamics at several monitored borehole depths. The success of the HYDRUS method indicates that the model can be a useful tool in predicting active layer temperatures and approximating ALTs in regions that are too difficult to install monitoring boreholes. Copyright (c) 2015 John Wiley &amp; Sons, Ltd.</t>
  </si>
  <si>
    <t>[Wilhelm, Kelly R.; Bockheim, James G.; Kung, Samuel] Univ Wisconsin, Dept Soil Sci, Madison, WI 53706 USA</t>
  </si>
  <si>
    <t>University of Wisconsin System; University of Wisconsin Madison</t>
  </si>
  <si>
    <t>Wilhelm, KR (corresponding author), Univ Wisconsin, Dept Soil Sci, Madison, WI 53706 USA.</t>
  </si>
  <si>
    <t>krwilhelm@wisc.edu</t>
  </si>
  <si>
    <t>Wilhelm, Kelly/0000-0002-7117-4898</t>
  </si>
  <si>
    <t>National Science Foundation [OPP-0934799]; United States Antarctic Program</t>
  </si>
  <si>
    <t>National Science Foundation(National Science Foundation (NSF)); United States Antarctic Program</t>
  </si>
  <si>
    <t>The National Science Foundation (OPP-0934799) and the United States Antarctic Program supported this project, particularly Cara Ferrier and Alexandra Isern. We thank Adam Beilke, Glenn Grant, Nicholas Haus, Alexandre Nieuwendam, Neal Scheibe, Graham Tilbury and Goncalo Vieira for helping in the field and maintaining equipment during the winter months. We also would like to thank the reviewers and editors for their comments that helped improve the manuscript. Finally, we would like to thank the crew of the Laurence M. Gould and the staff at Palmer Station for always being available to help with this project, without them this project would have been impossible.</t>
  </si>
  <si>
    <t>1045-6740</t>
  </si>
  <si>
    <t>1099-1530</t>
  </si>
  <si>
    <t>PERMAFROST PERIGLAC</t>
  </si>
  <si>
    <t>Permafrost Periglacial Process.</t>
  </si>
  <si>
    <t>10.1002/ppp.1845</t>
  </si>
  <si>
    <t>Geography, Physical; Geology</t>
  </si>
  <si>
    <t>CK0AA</t>
  </si>
  <si>
    <t>WOS:000355864700007</t>
  </si>
  <si>
    <t>Dietz, L; Pieper, S; Seefeldt, MA; Leese, F</t>
  </si>
  <si>
    <t>Dietz, Lars; Pieper, Sven; Seefeldt, Meike A.; Leese, Florian</t>
  </si>
  <si>
    <t>Morphological and genetic data clarify the taxonomic status of Colossendeis robusta and C. glacialis (Pycnogonida) and reveal overlooked diversity</t>
  </si>
  <si>
    <t>ARTHROPOD SYSTEMATICS &amp; PHYLOGENY</t>
  </si>
  <si>
    <t>Colossendeis robusta; Colossendeis glacialis; Colossendeis bouvetensis; Southern Ocean; Pycnogonida; phylogeography; integrative taxonomy</t>
  </si>
  <si>
    <t>INTERNAL TRANSCRIBED SPACERS; SEA SPIDERS; PROMACHOCRINUS-KERGUELENSIS; MITOCHONDRIAL LINEAGES; MEGALONYX HOEK; ARTHROPODA; PHYLOGENY; BIODIVERSITY; BIOGEOGRAPHY; DISPERSAL</t>
  </si>
  <si>
    <t>Colossendeis robusta Hoek, 1881, originally described from the Kerguelen shelf, is considered as one of the most widespread Antarctic pycnogonids. However, the taxonomic status of this and similar species has long been unclear, as synonymy of C. glacialis Hodgson, 1907 and several other species with C. robusta has been proposed. Here we test the synonymy of C. robusta and C. glacialis with two independent molecular markers as well as comprehensive morphometric measurements and SEM data of the ovigeral spine configuration. We show that C. robusta and C. glacialis are clearly distinct species, and our results also indicate the existence of another previously unrecognized Antarctic species, C. bouvetensis sp.n., as well as an Antarctic lineage closely related to the endemic Kerguelen group C. robusta s.str. We find evidence for strong regional differentiation within each species. Our results suggest that diversity of Antarctic pycnogonids is still underestimated.</t>
  </si>
  <si>
    <t>[Dietz, Lars; Pieper, Sven; Seefeldt, Meike A.; Leese, Florian] Ruhr Univ Bochum, Lehrstuhl Evolut Okol &amp; Biodiversitat Tiere, D-44801 Bochum, Germany</t>
  </si>
  <si>
    <t>Ruhr University Bochum</t>
  </si>
  <si>
    <t>Leese, F (corresponding author), Ruhr Univ Bochum, Lehrstuhl Evolut Okol &amp; Biodiversitat Tiere, Univ Str 150, D-44801 Bochum, Germany.</t>
  </si>
  <si>
    <t>lars.dietz@rub.de; sven.pieper@rub.de; meike.seefeldt@rub.de; florian.leese@rub.de</t>
  </si>
  <si>
    <t>Leese, Florian/D-4277-2012</t>
  </si>
  <si>
    <t>Leese, Florian/0000-0002-5465-913X</t>
  </si>
  <si>
    <t>DFG [LE 2323/2]</t>
  </si>
  <si>
    <t>DFG(German Research Foundation (DFG))</t>
  </si>
  <si>
    <t>We would like to thank Franz Krapp and Claudia P. Arango for helpful discussions on the taxonomy of the Colossendeidae. We thank Laure Corbari (Museum National del'Histoire Naturelle) for providing specimens for analysis. This project was supported by DFG grant LE 2323/2 to FL. We also thank Claudia P. Arango and Georg Brenneis for useful comments on the manuscript.</t>
  </si>
  <si>
    <t>SENCKENBERG NATURHISTORISCHE SAMMLUNGEN DRESDEN, MUSEUM TIERKUNDE</t>
  </si>
  <si>
    <t>DRESDEN</t>
  </si>
  <si>
    <t>KOENIGSBRUECKER LANDSTRASSE 159, DRESDEN, 00000, GERMANY</t>
  </si>
  <si>
    <t>1863-7221</t>
  </si>
  <si>
    <t>1864-8312</t>
  </si>
  <si>
    <t>ARTHROPOD SYST PHYLO</t>
  </si>
  <si>
    <t>Arthropod. Syst. Phylogeny</t>
  </si>
  <si>
    <t>Entomology</t>
  </si>
  <si>
    <t>CJ8VG</t>
  </si>
  <si>
    <t>WOS:000355781000006</t>
  </si>
  <si>
    <t>Ghavri, S; Catherine, JK; Gahalaut, VK</t>
  </si>
  <si>
    <t>Ghavri, Sapna; Catherine, Joshi K.; Gahalaut, Vineet K.</t>
  </si>
  <si>
    <t>First Estimate of Plate Motion at Maitri GPS Site, Indian Base Station at Antarctica</t>
  </si>
  <si>
    <t>JOURNAL OF THE GEOLOGICAL SOCIETY OF INDIA</t>
  </si>
  <si>
    <t>Plate motion; GPS; Antarctica; Indian base station at Maitri</t>
  </si>
  <si>
    <t>We analyse GPS data from the Indian permanent GPS station at Maitri for measuring the plate motion at this site. We find that this site moves at a velocity of 4.6 mm/year predominantly towards north, which is consistent with the expected plate motion of Antarctic plate at this site.</t>
  </si>
  <si>
    <t>[Ghavri, Sapna; Catherine, Joshi K.; Gahalaut, Vineet K.] Natl Geophys Res Inst, CSIR, Hyderabad 500007, Andhra Pradesh, India</t>
  </si>
  <si>
    <t>Council of Scientific &amp; Industrial Research (CSIR) - India; CSIR - National Geophysical Research Institute (NGRI)</t>
  </si>
  <si>
    <t>Ghavri, S (corresponding author), Natl Geophys Res Inst, CSIR, Hyderabad 500007, Andhra Pradesh, India.</t>
  </si>
  <si>
    <t>sapna.ngri@gmail.com; joshicatherine@yahoo.co.in; vkgahalaut@yahoo.com</t>
  </si>
  <si>
    <t>Gahalaut, Vineet K/AGK-5873-2022</t>
  </si>
  <si>
    <t>Gahalaut, Vineet/0000-0003-2514-4644</t>
  </si>
  <si>
    <t>NCAOR; Directorate For Geosciences; Division Of Earth Sciences [1261833] Funding Source: National Science Foundation</t>
  </si>
  <si>
    <t>NCAOR; Directorate For Geosciences; Division Of Earth Sciences(National Science Foundation (NSF)NSF - Directorate for Geosciences (GEO))</t>
  </si>
  <si>
    <t>We appreciate the efforts of many participants from NGRI who attended scientific expeditions to Antarctica and contributed towards setting up of GPS and seismological observatories at Maitri. We also acknowledge NCAOR for financial and logistic support. This is CSIR-NGRI-HEART contribution.</t>
  </si>
  <si>
    <t>SPRINGER INDIA</t>
  </si>
  <si>
    <t>7TH FLOOR, VIJAYA BUILDING, 17, BARAKHAMBA ROAD, NEW DELHI, 110 001, INDIA</t>
  </si>
  <si>
    <t>0016-7622</t>
  </si>
  <si>
    <t>0974-6889</t>
  </si>
  <si>
    <t>J GEOL SOC INDIA</t>
  </si>
  <si>
    <t>J. Geol. Soc. India</t>
  </si>
  <si>
    <t>10.1007/s12594-015-0233-4</t>
  </si>
  <si>
    <t>CK0EJ</t>
  </si>
  <si>
    <t>WOS:000355878000004</t>
  </si>
  <si>
    <t>Halford, AJ; McGregor, SL; Murphy, KR; Millan, RM; Hudson, MK; Woodger, LA; Cattel, CA; Breneman, AW; Mann, IR; Kurth, WS; Hospodarsky, GB; Gkioulidou, M; Fennell, JF</t>
  </si>
  <si>
    <t>Halford, A. J.; McGregor, S. L.; Murphy, K. R.; Millan, R. M.; Hudson, M. K.; Woodger, L. A.; Cattel, C. A.; Breneman, A. W.; Mann, I. R.; Kurth, W. S.; Hospodarsky, G. B.; Gkioulidou, M.; Fennell, J. F.</t>
  </si>
  <si>
    <t>BARREL observations of an ICME-shock impact with the magnetosphere and the resultant radiation belt electron loss</t>
  </si>
  <si>
    <t>ICME-shock; chorus waves; electric field impulse; radiation belts; electron precipitation; multipoint observations</t>
  </si>
  <si>
    <t>INNER MAGNETOSPHERE; DIFFUSION; PLASMA; FIELD; ACCELERATION; SIMULATION; TRANSPORT; PARTICLE; WAVES</t>
  </si>
  <si>
    <t>The Balloon Array for Radiation belt Relativistic Electron Losses (BARREL) mission of opportunity working in tandem with the Van Allen Probes was designed to study the loss of radiation belt electrons to the ionosphere and upper atmosphere. BARREL is also sensitive to X-rays from other sources. During the second BARREL campaign, the Sun produced an X-class flare followed by a solar energetic particle event (SEP) associated with the same active region. Two days later on 9 January 2014, the shock generated by the coronal mass ejection (CME) originating from the active region hits the Earth while BARREL was in a close conjunction with the Van Allen Probes. Time History Events and Macroscale Interactions during Substorms (THEMIS) satellite observed the impact of the interplanetary CME (ICME) shock near the magnetopause, and the Geostationary Operational Environmental Satellites (GOES) were on either side of the BARREL/Van Allen Probe array. The solar interplanetary magnetic field was not ideally oriented to cause a significant geomagnetic storm, but compression from the shock impact led to the loss of radiation belt electrons. We propose that an azimuthal electric field impulse generated by magnetopause compression caused inward electron transport and minimal loss. This process also drove chorus waves, which were responsible for most of the precipitation observed outside the plasmapause. Observations of hiss inside the plasmapause explain the absence of loss at this location. ULF waves were found to be correlated with the structure of the precipitation. We demonstrate how BARREL can monitor precipitation following an ICME-shock impact at Earth in a cradle-to-grave view; from flare, to SEP, to electron precipitation.</t>
  </si>
  <si>
    <t>[Halford, A. J.; McGregor, S. L.; Millan, R. M.; Hudson, M. K.; Woodger, L. A.] Dartmouth Coll, Dept Phys &amp; Astron, Hanover, NH 03755 USA; [Murphy, K. R.] NASA, Goddard Space Flight Ctr, Greenbelt, MD 20771 USA; [Cattel, C. A.; Breneman, A. W.] Univ Minnesota, Minneapolis, MN USA; [Mann, I. R.] Univ Alberta, Edmonton, AB, Canada; [Kurth, W. S.; Hospodarsky, G. B.] Univ Iowa, Iowa City, IA USA; [Gkioulidou, M.] Johns Hopkins Univ, Appl Phys Lab, Laurel, MD USA; [Fennell, J. F.] Aerosp Corp, Los Angeles, CA 90009 USA</t>
  </si>
  <si>
    <t>Dartmouth College; National Aeronautics &amp; Space Administration (NASA); NASA Goddard Space Flight Center; University of Minnesota System; University of Minnesota Twin Cities; University of Alberta; University of Iowa; Johns Hopkins University; Johns Hopkins University Applied Physics Laboratory; Aerospace Corporation - USA</t>
  </si>
  <si>
    <t>Halford, AJ (corresponding author), Dartmouth Coll, Dept Phys &amp; Astron, Hanover, NH 03755 USA.</t>
  </si>
  <si>
    <t>Alexa.J.Halford@Dartmouth.edu</t>
  </si>
  <si>
    <t>Halford, Alexa/AAH-2098-2019; Kurth, William/AAA-7334-2019; Gkioulidou, Matina/G-9009-2015; Hospodarsky, George/A-7996-2015</t>
  </si>
  <si>
    <t>Halford, Alexa/0000-0002-5383-4602; Kurth, William/0000-0002-5471-6202; Gkioulidou, Matina/0000-0001-9979-2164; Hospodarsky, George/0000-0001-9200-9878; McGregor, Sarah/0009-0007-0750-6337; Cattell, Cynthia/0000-0002-3805-320X</t>
  </si>
  <si>
    <t>NASA [NNX08AM58G, NAS5-01072, NAS5-02099]; BARREL team for use of BARREL data; National Environmental Research Council (NERC)/British Antarctic Survey; South African National Antarctic Program (SANAP) of the BARREL campaign; NASAs [NAS5-01072]; ECT [967399]; UNH; EFW [922613]; UMN; JHU/APL [967399, 921647, 937836]; Van Allen Probe-ECT; NASA Prime [NAS5-01072]; BARREL team</t>
  </si>
  <si>
    <t>NASA(National Aeronautics &amp; Space Administration (NASA)); BARREL team for use of BARREL data; National Environmental Research Council (NERC)/British Antarctic Survey; South African National Antarctic Program (SANAP) of the BARREL campaign; NASAs(National Aeronautics &amp; Space Administration (NASA)); ECT; UNH; EFW; UMN; JHU/APL; Van Allen Probe-ECT; NASA Prime; BARREL team</t>
  </si>
  <si>
    <t>The authors acknowledge NASA grant NNX08AM58G and the BARREL team for use of BARREL data. The BARREL team would also like to acknowledge the National Environmental Research Council (NERC)/British Antarctic Survey and the South African National Antarctic Program (SANAP) for their support of the BARREL campaign. We acknowledge the NASA Van Allen Probes, Harlan E. Spence, and John Wygant for use of data ECT and EFW data and support for M. Hudson through JHU/APL under NASAs prime contract NAS5-01072, with work at Dartmouth supported under ECT (967399) subcontract from UNH and EFW (922613) subcontract from UMN. The research at the University of Iowa was supported by JHU/APL contract 921647 under NASA Prime contract NAS5-01072. The authors would like to thank Jeremy Faden and all of the developers of Autoplot. MagEIS efforts were supported by Van Allen Probe-ECT funding provided by JHU/APL contract 967399. The RBSPICE instrument was supported by JHU/APL subcontract 937836 to the New Jersey Institute of Technology under NASA Prime contract NAS5-01072. The authors would like to thank NOAA for the use of GOES data http://www.ngdc.noaa.gov/stp/satellite/goes/documentation.html. We acknowledge NASA contract NAS5-02099 and V. Angelopoulos for use of data from the THEMIS Mission. Specifically, we thank D. Larson and R. P. Lin for use of SST data, J. W. Bonnell and F. S. Mozer for use of EFI data, and C. W. Carlson and J. P. McFadden for use of ESA data. We acknowledge the WIND Mission for the use of their data, specifically the SWE and MFI instrument teams. A. Halford would like to thank the Van Allen Probe teams for their continued support and collaborations with the BARREL team. S. McGregor and A. Halford would like to make a special thanks to CISM for encouraging us to look at the larger Sun to Mud view and enabling us to form collaborations which led to this paper. All data used in this paper can be found on CDAweb.</t>
  </si>
  <si>
    <t>10.1002/2014JA020873</t>
  </si>
  <si>
    <t>CI6TL</t>
  </si>
  <si>
    <t>WOS:000354894800015</t>
  </si>
  <si>
    <t>Rodrigues, AR; Braga, ED; Eichler, BB</t>
  </si>
  <si>
    <t>Rodrigues, Andre Rosch; Braga, Elisabete de Santis; Eichler, Beatriz Beck</t>
  </si>
  <si>
    <t>LIVING FORAMINIFERA IN THE SHALLOW WATERS OF ADMIRALTY BAY: DISTRIBUTIONS AND ENVIRONMENTAL FACTORS</t>
  </si>
  <si>
    <t>JOURNAL OF FORAMINIFERAL RESEARCH</t>
  </si>
  <si>
    <t>KING GEORGE ISLAND; BENTHIC FORAMINIFERA; MCMURDO SOUND; ANTARCTIC PENINSULA; COMMUNITY STRUCTURE; DEAD FORAMINIFERA; WEST ANTARCTICA; EXPLORERS COVE; WEDDELL SEA; ICE SHELF</t>
  </si>
  <si>
    <t>The living foraminiferal fauna and associated environmental factors were examined using shallow-water sediment and bottom-water samples collected in the Admiralty Bay (King George Island, Antarctica) during the austral summer of 2004-05. Admiralty Bay has similar environmental characteristics to other Antarctic coastal areas, with bottom water rich in inorganic nutrients and heterogeneous bottom sediments with high concentrations of mud and sand. We found 45 foraminiferal species, including 28 agglutinated and 17 calcareous species. The dominant species were the calcareous Bolivina pseudopunctata and the agglutinated Pseudobolivina antarctica and Portatrochammina antarctica. Only the agglutinated Spiroplectammina biformis was found in all samples. Admiralty Bay contained a typical Antarctic foraminiferal fauna, mainly distinguishable by the type of bottom sediment. We detected two distinct assemblages: (a) from the entrance of the bay area with a main channel, we found an assemblage with relatively high species richness, abundance and diversity, and with abundant Bolivina pseudopunctata and Fursenkoina fusiformis; and (b) in the inner parts of the three inlets of the bay (Ezcurra, MacKellar, and Martel inlets), mud- and sulfur-rich sediments contained relatively few foraminifers dominated by a few species, mainly of Globocassidulina and Cassidulinoides.</t>
  </si>
  <si>
    <t>[Rodrigues, Andre Rosch; Braga, Elisabete de Santis; Eichler, Beatriz Beck] Univ Sao Paulo, Inst Oceanografico, BR-05508900 Sao Paulo, Brazil</t>
  </si>
  <si>
    <t>Universidade de Sao Paulo</t>
  </si>
  <si>
    <t>Rodrigues, AR (corresponding author), Univ Sao Paulo, Inst Oceanografico, Praca Oceanografico 191,Cidade Univ, BR-05508900 Sao Paulo, Brazil.</t>
  </si>
  <si>
    <t>andrerr@usp.br</t>
  </si>
  <si>
    <t>RODRIGUES, ANDRE R/D-4131-2015; Braga, Elisabete/E-5285-2012</t>
  </si>
  <si>
    <t>Braga, Elisabete/0000-0001-5780-3814</t>
  </si>
  <si>
    <t>CNPq (Conselho Nacional de Pesquisa) [550349/2002-2]; PROANTAR (Brazilian Antarctic Program); Brazilian Navy; CAPES scholarship (Coordenadoria de aperfeicoamento ao pessoal de Nivel Superior)</t>
  </si>
  <si>
    <t>CNPq (Conselho Nacional de Pesquisa)(Conselho Nacional de Desenvolvimento Cientifico e Tecnologico (CNPQ)); PROANTAR (Brazilian Antarctic Program); Brazilian Navy; CAPES scholarship (Coordenadoria de aperfeicoamento ao pessoal de Nivel Superior)(Coordenacao de Aperfeicoamento de Pessoal de Nivel Superior (CAPES))</t>
  </si>
  <si>
    <t>The field and laboratory work were financially supported by CNPq (Conselho Nacional de Pesquisa, 550349/2002-2), PROANTAR (Brazilian Antarctic Program) and the Brazilian Navy. Special thanks are due to the crew of the Skua boat for help with the field work. The authors are especially grateful to Adriana R. Perretti, Joao C. C. Maluf and Katia S. Jaworski for help in the collection of the samples. We also thank Anail Talita P. Alves, and Vitor G. Chiozzini for helping in the granulometric, foraminiferal and chemical analyses. We are grateful to Dr. Jere H. Lipps and Dr. Ken L. Finger and the anonymous referees for their constructive comments in the other version of this manuscript and to Dr. Andrew Gooday for the comments and revision of the manuscript. We are especially grateful to Dr. Pamela Hallock for the English review. The research reported in this paper is part of the principal author's Ph.D. thesis funded by a CAPES scholarship (Coordenadoria de aperfeicoamento ao pessoal de Nivel Superior).</t>
  </si>
  <si>
    <t>CUSHMAN FOUNDATION FORAMINIFERAL RES</t>
  </si>
  <si>
    <t>MUSEUM COMPARATIVE ZOOLOGY, DEPT INVERTEBRATE PALEONTOLOGY 26 OXFORD ST, HARVARD UNIV, CAMBRIDGE, MA 02138 USA</t>
  </si>
  <si>
    <t>0096-1191</t>
  </si>
  <si>
    <t>J FORAMIN RES</t>
  </si>
  <si>
    <t>J. Foraminifer. Res.</t>
  </si>
  <si>
    <t>10.2113/gsjfr.45.2.128</t>
  </si>
  <si>
    <t>CI5WE</t>
  </si>
  <si>
    <t>WOS:000354829700002</t>
  </si>
  <si>
    <t>Pablos, M; Piles, M; González-Gambau, V; Camps, A; Vall-Ilossera, M</t>
  </si>
  <si>
    <t>Pablos, Miriam; Piles, Maria; Gonzalez-Gambau, Veronica; Camps, Adriano; Vall-Ilossera, Merce</t>
  </si>
  <si>
    <t>Ice thickness effects on Aquarius brightness temperatures over Antarctica</t>
  </si>
  <si>
    <t>Aquarius; brightness temperature; ice thickness; L-band radiometer</t>
  </si>
  <si>
    <t>DIELECTRIC-PROPERTIES; MICROWAVE; PERMITTIVITY; CALIBRATION; SURFACE; SMOS; SITE</t>
  </si>
  <si>
    <t>The Dome-C region, in the East Antarctic Plateau, is regarded as an ideal natural laboratory for calibration/validation of space-borne microwave radiometers. At L-band, the thermal stability of this region has been confirmed by several experimental campaigns. However, its use as an independent external calibration target has recently been questioned due to some spatial inhomogeneities and seasonal effects revealed in the brightness temperatures (T-B) acquired in this area. This paper shows the observed relationship, from exploratory research, between the Antarctic ice thickness spatial variations and the measured Aquarius T-B changes. A 3-months no-daylight period during the Austral winter has been analyzed. Four transects have been defined over East Antarctica covering areas with different ice thickness variations and ranges. The theoretical L-band penetration depth has been estimated to understand the possible contributions to the measured signal. A good agreement has been observed between Aquarius T-B and ice thickness variations over the whole Antarctica, with correlations of approximate to 0.6-0.7. The two variables show a linear trend with slopes of approximate to 8.3-9.5 K/km. No correlation has been observed with the subglacial bedrock. The maximum L-band penetration depth has been estimated to be approximate to 1-1.5 km. Results are therefore consistent: the spatial variations found on Aquarius T-B are not related to the emissivity of the bedrock, which lies deeper. This study provides evidence that new L-band satellite observations could contribute to further our understanding of Antarctic geophysical processes.</t>
  </si>
  <si>
    <t>[Pablos, Miriam; Piles, Maria; Camps, Adriano; Vall-Ilossera, Merce] Univ Politecn Cataluna, Dept Signal Theory &amp; Commun, Barcelona, Spain; [Pablos, Miriam; Piles, Maria; Camps, Adriano; Vall-Ilossera, Merce] Univ Politecn Cataluna, Inst Estudis Espacials Catalunya, Barcelona, Spain; [Pablos, Miriam; Piles, Maria; Gonzalez-Gambau, Veronica; Camps, Adriano; Vall-Ilossera, Merce] SMOS Barcelona Expert Ctr, Barcelona, Spain; [Gonzalez-Gambau, Veronica] CSIC, Inst Ciencies Mar, Barcelona, Spain</t>
  </si>
  <si>
    <t>Universitat Politecnica de Catalunya; Institut d'Estudis Espacials de Catalunya (IEEC); Universitat Politecnica de Catalunya; Consejo Superior de Investigaciones Cientificas (CSIC); CSIC - Centro Mediterraneo de Investigaciones Marinas y Ambientales (CMIMA); CSIC - Instituto de Ciencias del Mar (ICM)</t>
  </si>
  <si>
    <t>Pablos, M (corresponding author), Univ Politecn Cataluna, Dept Signal Theory &amp; Commun, Barcelona, Spain.</t>
  </si>
  <si>
    <t>miriam.pablos@tsc.upc.edu</t>
  </si>
  <si>
    <t>Camps, Adriano/D-2592-2011; González, Verónica/L-9381-2014; Vall-llossera, Merce/M-7466-2013; Piles, Maria/M-1057-2014; Pablos Hernández, Miriam/G-2845-2013</t>
  </si>
  <si>
    <t>Camps, Adriano/0000-0002-9514-4992; Vall-llossera, Merce/0000-0003-1357-7098; Piles, Maria/0000-0002-1169-3098; Pablos Hernández, Miriam/0000-0003-2694-7107</t>
  </si>
  <si>
    <t>Spanish National R1D Program on Space of the Ministry of Economy and Competitiveness, through a Formacion de Personal Investigador (FPI) [BES-2011-043322]; project MIDAS 7 [AYA2012-39356-C05-01]</t>
  </si>
  <si>
    <t>Spanish National R1D Program on Space of the Ministry of Economy and Competitiveness, through a Formacion de Personal Investigador (FPI); project MIDAS 7</t>
  </si>
  <si>
    <t>The authors would like to thank the advise and insight on Antarctic geophysical processes provided by Pedro Elosegui from the Institut de Ciencies del Mar-Consejo Superior de Investigaciones Cientificas (ICM-CSIC). Also, thanks to Chris Rudiger, Lars Kaleschke, and the two anonymous reviewers for their useful comments during the review process. The Aquarius L2 V3.0 data are available at oceandata.sci.gsfc.nasa.gov/Aquarius/V3/V3.0/L2. The processing of the Aquarius data set has been performed by Miriam Pablos during her PhD thesis development at the SMOS-Barcelona Expert Centre facilities. Due to that, it is not available until the PhD thesis publication. Anyway, it could be replicated following the methodology explained in this study. The Antarctic data sets from the Bedpmap2 project are available at https://secure.antarctica.ac.uk/data/bedmap2/. The subglacial lakes inventory is available at http://dx.doi.org/10.1017/S095410201200048X. The work presented in this paper was supported by the Spanish National R1D Program on Space of the Ministry of Economy and Competitiveness, through a Formacion de Personal Investigador (FPI) grant with reference BES-2011-043322 and the project MIDAS 7: AYA2012-39356-C05-01.</t>
  </si>
  <si>
    <t>10.1002/2014JC010151</t>
  </si>
  <si>
    <t>CI0HH</t>
  </si>
  <si>
    <t>WOS:000354417200028</t>
  </si>
  <si>
    <t>Lamont, T; Hutchings, L; van den Berg, MA; Goschen, WS; Barlow, RG</t>
  </si>
  <si>
    <t>Lamont, T.; Hutchings, L.; van den Berg, M. A.; Goschen, W. S.; Barlow, R. G.</t>
  </si>
  <si>
    <t>Hydrographic variability in the St. Helena Bay region of the southern Benguela ecosystem</t>
  </si>
  <si>
    <t>temperature; salinity; water masses; dissolved oxygen; St Helena Bay; southern Benguela</t>
  </si>
  <si>
    <t>ANTARCTIC INTERMEDIATE WATER; SUBTROPICAL MODE WATERS; WEST-COAST; NAMIBIAN SHELF; SATELLITE DATA; ATLANTIC; OXYGEN; AFRICA; OCEAN; PHYTOPLANKTON</t>
  </si>
  <si>
    <t>Cross-shelf distributions of temperature, salinity, water masses, and dissolved oxygen in St. Helena Bay revealed substantial vertical and seasonal variations. In the surface layers, nearshore and offshore temperature and salinity patterns differed, with bay-scale variability linked to upwelling dynamics and coastal processes, while the offshore region was influenced by solar insolation. Spectral analysis revealed that an annual signal prevailed at most stations, and corroborated contrasting patterns between the offshore and nearshore regions, with phase differences suggesting shoreward propagation of the offshore temperature signal. The shelf was dominated by Modified Upwelled Water (MUW) and Subantarctic Mode Water (SAMW), which comprised the primary source of upwelled water. Clear zonation of MUW was evident across the shelf, resulting from seasonal variations in locations of the oceanic and bifurcated shelf-break fronts. Dynamics within St. Helena Bay consistently differed from those further offshore, due to the influences of the shelf-break front, Cape Columbine upwelling plume, and cyclonic recirculation, which appeared to be associated with an intraannual signal with a periodicity of 3-4 months. Persistent hypoxia in the bottom waters suggested the occurrence of a permanent reservoir of Low Oxygen Water (LOW). Seasonal shoreward and offshore expansion of LOW occurred throughout the upwelling season, with maximum extent reached during summer and autumn, due to the coupled effects of advection and local phytoplankton decay. While wind mixing ventilated the water column at nearshore stations in winter, and the onset of upwelling during spring introduced oxygen-richer water from further offshore, hypoxia persisted in the center of the Bay.</t>
  </si>
  <si>
    <t>[Lamont, T.; van den Berg, M. A.] Dept Environm Affairs, Oceans &amp; Coastal Res, Cape Town, South Africa; [Lamont, T.; Hutchings, L.; Barlow, R. G.] Univ Cape Town, Dept Oceanog, Marine Res Inst, ZA-7925 Cape Town, South Africa; [Goschen, W. S.] SAEON Egagasini Node, South African Environm Observat Network, Cape Town, South Africa; [Goschen, W. S.] Nelson Mandela Metropolitan Univ, Inst Coastal &amp; Marine Res, Port Elizabeth, South Africa; [Barlow, R. G.] Bayworld Ctr Res &amp; Educ, Cape Town, South Africa</t>
  </si>
  <si>
    <t>Department of Environment, Forestry &amp; Fisheries; University of Cape Town; National Research Foundation - South Africa; South African Environmental Observation Network (SAEON); Nelson Mandela University</t>
  </si>
  <si>
    <t>Lamont, T (corresponding author), Dept Environm Affairs, Oceans &amp; Coastal Res, Cape Town, South Africa.</t>
  </si>
  <si>
    <t>tarron.lamont@gmail.com</t>
  </si>
  <si>
    <t>Lamont, Tarron/0000-0001-8464-891X</t>
  </si>
  <si>
    <t>DEA</t>
  </si>
  <si>
    <t>The authors wish to thank the officers and crew of the FRS Africana, FRS Algoa, and the FRS Ellen Khuzwayo for their tireless support during the cruises, as well as all the scientific and technical staff at the South African Department of Environmental Affairs (DEA), Branch: Oceans and Coastal Research, previously Marine and Coastal Management (MCM), who participated in the data collection and sample analysis. Data used in this study can be accessed via the South African Data Centre for Oceanography (SADCO) (http://sadco.csir.co.za/). Special thanks go to Marco Marcelino Worship for the role he played as Chief Scientist and for the coordination of the SHBML cruises between 2004 and 2011. DEA is further thanked for funding and facilities used.</t>
  </si>
  <si>
    <t>10.1002/2014JC010619</t>
  </si>
  <si>
    <t>WOS:000354417200032</t>
  </si>
  <si>
    <t>Fripiat, F; Sigman, DM; Massé, G; Tison, JL</t>
  </si>
  <si>
    <t>Fripiat, Francois; Sigman, Daniel M.; Masse, Guillaume; Tison, Jean-Louis</t>
  </si>
  <si>
    <t>High turnover rates indicated by changes in the fixed N forms and their stable isotopes in Antarctic landfast sea ice</t>
  </si>
  <si>
    <t>nitrogen; isotopes; sea ice; Antarctic; nutrients</t>
  </si>
  <si>
    <t>DISSOLVED ORGANIC-MATTER; SEASONAL-CHANGES; OXYGEN ISOTOPES; HIGH-RESOLUTION; SOUTHERN-OCEAN; WATER COLUMN; ROSS SEA; NITRATE; NITROGEN; FRACTIONATION</t>
  </si>
  <si>
    <t>We report concentration and nitrogen and oxygen isotopic measurements of nitrate, total dissolved nitrogen, and particulate nitrogen from Antarctic landfast sea ice, covering almost the complete seasonal cycle of sea ice growth and decay (from April to November). When sea ice forms in autumn, ice algae growth depletes nitrate and accumulates organic N within the ice. Subsequent low biological activity in winter imposes minor variations in the partitioning of fixed N. In early spring, the coupling between nitrate assimilation and brine convection at the sea ice bottom traps a large amount of fixed N within sea ice, up to 20 times higher than in the underlying seawater. At this time, remineralization and nitrification also accelerate, yielding nitrate concentrations up to 5 times higher than in seawater. Nitrate N-15 and O-18 are both elevated, indicating a near-balance between nitrification and nitrate assimilation. These findings require high microbially mediated turnover rates for the large fixed N pools, including nitrate. When sea ice warms in the spring, ice algae grow through the full thickness of the ice. The warming stratifies the brine network, which limits the exchange with seawater, causing the once-elevated nitrate pool to be nearly completely depleted. The nitrate isotope data point to light limitation at the base of landfast ice as a central characteristic of the environment, affecting its N cycling (e.g., allowing for nitrification) and impacting algal physiology (e.g., as reflected in the N and O isotope effects of nitrate assimilation).</t>
  </si>
  <si>
    <t>[Fripiat, Francois; Tison, Jean-Louis] Univ Libre Bruxelles, Dept Earth &amp; Environm Sci, Brussels, Belgium; [Fripiat, Francois; Sigman, Daniel M.] Princeton Univ, Dept Geosci, Princeton, NJ 08544 USA; [Masse, Guillaume] Univ Laval, CNRS, UMI3376 Takuvik, Quebec City, PQ G1K 7P4, Canada; [Masse, Guillaume] Univ Paris 06, Sorbonne Univ, UPMC, CNRS IRD MNHN,LOCEAN Lab, Paris, France</t>
  </si>
  <si>
    <t>Universite Libre de Bruxelles; Princeton University; Laval University; Institut de Recherche pour le Developpement (IRD); Museum National d'Histoire Naturelle (MNHN); Sorbonne Universite</t>
  </si>
  <si>
    <t>Fripiat, F (corresponding author), Univ Libre Bruxelles, Dept Earth &amp; Environm Sci, Brussels, Belgium.</t>
  </si>
  <si>
    <t>ffripiat@ulb.ac.be</t>
  </si>
  <si>
    <t>Sigman, Daniel M./A-2649-2008; Sigman, Daniel M./IYJ-2613-2023; Fripiat, François/ABB-8918-2021; Tison, Jean-Louis/F-4065-2015</t>
  </si>
  <si>
    <t>Sigman, Daniel M./0000-0002-7923-1973; Fripiat, Francois/0000-0002-2591-6301; Tison, Jean-Louis/0000-0002-9758-3454</t>
  </si>
  <si>
    <t>ICELIPIDS project [1010]; Belgian Science policy (BIGSOUTH network) [SD/CA/05A]; U.S. NSF [OPP-0453680, OPP-0612198, OCE-0992345-, PLR-1401489]; Grand Challenges Program at Princeton University</t>
  </si>
  <si>
    <t>ICELIPIDS project; Belgian Science policy (BIGSOUTH network); U.S. NSF(National Science Foundation (NSF)); Grand Challenges Program at Princeton University(Princeton University)</t>
  </si>
  <si>
    <t>Data are available as in supporting information Table S1. Our warm thanks go to the crews of the French station Dumont d'Urville'' and to the French Polar Institute (IPEV) for the logistic supports through the ICELIPIDS project (project 1010; lead by G. Masse). We are also grateful to C. Robineau for the sampling; to M. A. Weigand and S. Oleynik for the management of the GC-IRMS laboratory at Princeton University; and to S. El Amri for her help in the management of the glaciology unit of ULB. This research was supported by the Belgian Science policy (BIGSOUTH network, SD/CA/05A of SPSDIII, Support Plan for Sustainable Development), the U.S. NSF through grants OPP-0453680, OPP-0612198, OCE-0992345-, and PLR-1401489, and by the Grand Challenges Program at Princeton University. Francois Fripiat was and is a postdoctoral fellow with the Fonds National de la Recherche Scientifique (FNRS, Belgium) and Fonds Wetenschappelijk Onderzoek (FWO, Belgium).</t>
  </si>
  <si>
    <t>10.1002/2014JC010583</t>
  </si>
  <si>
    <t>WOS:000354417200041</t>
  </si>
  <si>
    <t>Herraiz-Borreguero, L; Coleman, R; Allison, I; Rintoul, SR; Craven, M; Williams, GD</t>
  </si>
  <si>
    <t>Herraiz-Borreguero, Laura; Coleman, Richard; Allison, Ian; Rintoul, Stephen R.; Craven, Mike; Williams, Guy D.</t>
  </si>
  <si>
    <t>Circulation of modified Circumpolar Deep Water and basal melt beneath the Amery Ice Shelf, East Antarctica</t>
  </si>
  <si>
    <t>mCDW; Amery Ice Shelf; basal melt</t>
  </si>
  <si>
    <t>OCEAN INTERACTION; RONNE; MODEL</t>
  </si>
  <si>
    <t>Antarctic ice sheet mass loss has been linked to an increase in oceanic heat supply, which enhances basal melt and thinning of ice shelves. Here we detail the interaction of modified Circumpolar Deep Water (mCDW) with the Amery Ice Shelf, the largest ice shelf in East Antarctica, and provide the first estimates of basal melting due to mCDW. We use subice shelf ocean observations from a borehole site (AM02) situated approximate to 70 km inshore of the ice shelf front, together with open ocean observations in Prydz Bay. We find that mCDW transport into the cavity is about 0.220.06 Sv (1 Sv=10(6) m(3) s(-1)). The inflow of mCDW drives a net basal melt rate of up to 20.5 m yr(-1) during 2001 (23.96.52 Gt yr(-1) from under about 12,800 km(2) of the north-eastern flank of the ice shelf). The heat content flux by mCDW at AM02 shows high intra-annual variability (up to 40%). Our results suggest two main modes of subice shelf circulation and basal melt regimes: (1) the ice pump/high salinity shelf water circulation, on the western flank and (2) the mCDW meltwater-driven circulation in conjunction with the ice pump, on the eastern flank. These results highlight the sensitivity of the Amery's basal melting to changes in mCDW inflow. Improved understanding of such ice shelf-ocean interaction is crucial to refining projections of mass loss and associated sea level rise.</t>
  </si>
  <si>
    <t>[Herraiz-Borreguero, Laura] Univ Copenhagen, Niels Bohr Inst, Ctr Ice &amp; Climate, DK-2100 Copenhagen, Denmark; [Herraiz-Borreguero, Laura; Coleman, Richard; Allison, Ian; Rintoul, Stephen R.; Craven, Mike; Williams, Guy D.] Univ Tasmania, Antarctic Climate &amp; Ecosyst Cooperat Res Ctr, Hobart, Tas 7001, Australia; [Coleman, Richard; Rintoul, Stephen R.; Williams, Guy D.] Univ Tasmania, Inst Marine &amp; Antarctic Studies, Hobart, Tas 7001, Australia; [Rintoul, Stephen R.] CSIRO, Flagship &amp; Ctr Australian Weather &amp; Climate Res A, CSIRO Wealth Oceans Natl Res, Hobart, Tas, Australia; [Rintoul, Stephen R.] Bur Meteorol, Hobart, Tas, Australia</t>
  </si>
  <si>
    <t>University of Copenhagen; Niels Bohr Institute; University of Tasmania; Antarctic Climate &amp; Ecosystems Cooperative Research Centre (ACE CRC); University of Tasmania; Commonwealth Scientific &amp; Industrial Research Organisation (CSIRO); Bureau of Meteorology - Australia</t>
  </si>
  <si>
    <t>Herraiz-Borreguero, L (corresponding author), Univ Copenhagen, Niels Bohr Inst, Ctr Ice &amp; Climate, Blegdamsvej 17, DK-2100 Copenhagen, Denmark.</t>
  </si>
  <si>
    <t>lherraiz@nbi.ku.dk</t>
  </si>
  <si>
    <t>Rintoul, Stephen R/A-1471-2012; Allison, Ian F/I-4477-2015; Herraiz-Borreguero, Laura/D-5795-2015; Coleman, Richard/H-4425-2012</t>
  </si>
  <si>
    <t>Rintoul, Stephen R/0000-0002-7055-9876; Allison, Ian F/0000-0001-9599-0251; Herraiz-Borreguero, Laura/0000-0002-4455-801X; Coleman, Richard/0000-0002-9731-7498</t>
  </si>
  <si>
    <t>Australian Government's Cooperative Research Centre Program through the Antarctic Climate and Ecosystems Cooperative Research Centre (ACE CRC); Australian Department of Environment; CSIRO; Bureau of Meteorology through the Australian Climate Change Science Program</t>
  </si>
  <si>
    <t>Australian Government's Cooperative Research Centre Program through the Antarctic Climate and Ecosystems Cooperative Research Centre (ACE CRC)(Australian GovernmentDepartment of Industry, Innovation and ScienceCooperative Research Centres (CRC) Programme); Australian Department of Environment(Australian Government); CSIRO(Commonwealth Scientific &amp; Industrial Research Organisation (CSIRO)); Bureau of Meteorology through the Australian Climate Change Science Program</t>
  </si>
  <si>
    <t>This work was supported by the Australian Government's Cooperative Research Centre Program through the Antarctic Climate and Ecosystems Cooperative Research Centre (ACE CRC) and by the Australian Department of Environment, CSIRO, and the Bureau of Meteorology through the Australian Climate Change Science Program. We acknowledge logistical support from the Australian Antarctic Division and the valuable input from the many people who have contributed to the AIS Ocean Research (AMISOR) ASAC1164 program. We thank Robin Muench and Alex Orsi for their valuable comments and discussions. Data from the boreholes and along the ice shelf front are available through the Australian Antarctic Data Centre (https://www1.data.antarctica.gov.au). The hydrographic data retrieved by the elephant seals are available from http://dx.doi.org/10/srk [Roquet et al., 2014].</t>
  </si>
  <si>
    <t>10.1002/2015JC010697</t>
  </si>
  <si>
    <t>WOS:000354417200042</t>
  </si>
  <si>
    <t>Zhan, JG; Wang, Y; Shi, HL; Chai, H; Zhu, CD</t>
  </si>
  <si>
    <t>Zhan Jin-Gang; Wang Yong; Shi Hong-Ling; Chai Hua; Zhu Chuan-Dong</t>
  </si>
  <si>
    <t>Removing correlative errors in GRACE data by the smoothness priors method</t>
  </si>
  <si>
    <t>GRACE time variable gravity; Smoothness priors method; Correlated errors</t>
  </si>
  <si>
    <t>WATER STORAGE CHANGES; GRAVITY-FIELD; TEMPORAL GRAVITY; SEA-LEVEL; MODELS; LAND</t>
  </si>
  <si>
    <t>The errors, which are present in short wavelength components of time-variable gravity solutions produced by the Gravity Recovery and Climate Experiment (GRACE) satellite, manifest themselves in maps of gravity change as long, linear features generally trending in north-south (i.e., stripes). Thus, filtering is needed to remove them before using the GRACE time-variable gravity solutions. Here, we introduce a smoothness priors method to remove such stripe errors with application to a synthetic mass change model and show significant effects. The method used in this paper is based on the smoothness priors approach and operates like a time-varying finite impulse response high-pass filter. In this paper, the correlative errors in maps of GRACE mass variation are regard as the high frequency signals varying with longitude reserved when the data is filtered, then we subtract them from the original data to get the filtering result. In order to examine the effect of the filter, we generate a model consisting of two parts: 'true' geophysical signals and stripe noise. First, following the approaches of Duan et al., we construct a numerical model of mass change trend composed of the NOAH GLDAS model between the latitudes of +/- 60 degrees, a surface mass change rate corresponding to the gravity variation of a PGR model based on the RF3L20 ice model over Canada and the GRACE mass variation trend over the Arctic and Antarctic areas (90 degrees S-60 degrees S, 60 degrees N-90 degrees N). We use this numerical model as the 'true' geophysical signal of mass change. In addition, we also need a north-south 'stripe' model similar to that in GRACE data to test the effect of the filter and its signal distortion. The stripe model is constructed using the difference between the GRACE monthly time-variable gravity solutions and the filtered field. Its amplitude is reduced to be comparable with that of the numerical mass change trend model. The filtered field is computed using the algorithms of Swenson and Wahr and an isotropic Gaussian filter of radii 300 km. Finally, we apply the smoothness priors method (SPM) to the model to test the effect of the filter. As a comparison, we use the filter of correlated errors (for A=30, K=10), the Gaussian filter of smoothing radius 300 km, the combination of above two methods, as well as the SPM filter to the synthetic model, respectively. To conform with the processing of GRACE data, we transform the mass change of the synthetic model into Stokes coefficients when applying the correlated error filter and Gaussian smoothing, then transform them back to mass change. Compared with other filtered results above mentioned, the result of SPM shows a better signal-to-noise ratio, though a few of slight stripes appearing in the Pacific Northwest. We find that our result has the advantages of less reducing the signal magnitudes, preserving more details of short wavelength components and less signal distortion. For example, the magnitude of the signals at high latitudes such as the positive signals in the Antarctic and southern Chile are not obviously reduced. Some short wavelength components such as the positive signal in middle America and the negative signal in the Jan Mayen Island are also preserved in the filtered result. The positive signal in eastern Brazil is also not distorted compared with the other results. The grid statistic results show that the minimum value and maximum value of the results using the method of Gaussian filtering and the combination method of Gaussian filtering and correlative errors filter are -6.78 cm, 11.06 cm, -6.53 cm and 11.10 cm, respectively. Compared with the 'true' values of -11.45 cm and 13.15 cm, this result shows that the magnitudes of the negative signal are sharply reduced when using the two kinds of filters. Their RMS values are also reduced from 1.448 cm to 1.231 cm and 1.196 cm, respectively. All these statistic data indicate that we have applied a stronger filter on the synthetic field. Compared with the results of the three methods above mentioned, the grid statistics of SPM approach shows a better result. Its minimum value, maximum value and the RMS of the grid statistics are -8.81 cm, 11.88 cm and 1.371 cm, respectively, which are most close to the true values among the filtered results. The smoothness priors method operates like a time-varying finite impulse response high-pass filter, and shows remarkable effect in removing the GRACE stripe noise. The advantage of this filter is that it has less reduction in magnitude of signals and preserves more details of short wavelength components in the filtered field. Another advantage of it is that the filter is flexible in use.</t>
  </si>
  <si>
    <t>[Zhan Jin-Gang; Wang Yong; Shi Hong-Ling; Chai Hua; Zhu Chuan-Dong] Chinese Acad Sci, State Key Lab Geodesy &amp; Earths Dynam, Inst Geodesy &amp; Geophys, Wuhan 430077, Peoples R China; [Zhu Chuan-Dong] Univ Chinese Acad Sci, Beijing 100049, Peoples R China</t>
  </si>
  <si>
    <t>Wang, Y (corresponding author), Chinese Acad Sci, State Key Lab Geodesy &amp; Earths Dynam, Inst Geodesy &amp; Geophys, Wuhan 430077, Peoples R China.</t>
  </si>
  <si>
    <t>zjg@whigg.ac.cn; yang@whigg.ac.cn</t>
  </si>
  <si>
    <t>zhu, chuandong/JSK-3835-2023</t>
  </si>
  <si>
    <t>10.6038/cjg20150404</t>
  </si>
  <si>
    <t>CG9TZ</t>
  </si>
  <si>
    <t>WOS:000353664300004</t>
  </si>
  <si>
    <t>Vivier, F; Park, YH; Sekma, H; Le Sommer, J</t>
  </si>
  <si>
    <t>Vivier, Frederic; Park, Young-Hyang; Sekma, Hela; Le Sommer, Julien</t>
  </si>
  <si>
    <t>Variability of the Antarctic Circumpolar Current transport through the Fawn Trough, Kerguelen Plateau</t>
  </si>
  <si>
    <t>Southern Ocean; ACC; Kerguelen Plateau; Fawn Trough; Altimetry; Jason; TOPEX-Poseidon; Volume transport</t>
  </si>
  <si>
    <t>SOUTHERN-OCEAN; VOLUME TRANSPORT; HEAT-FLUX; CIRCULATION; SECTION; FLOW</t>
  </si>
  <si>
    <t>The Kerguelen Plateau is a major topographic obstacle to the eastward flowing Antarctic Circumpolar Current (ACC). While approximately two-third of the ACC transport is diverted to the North, most of the remaining flow engulfs in the Fawn Trough, the only deep passage across the plateau. As part of the TRACK (TRansport ACross the Kerguelen plateau) project, three mooring lines of current meters were deployed in the Fawn Trough for one year in February 2009, underneath ground-track 94 of the Jason-2 satellite altimeter. Full depth CTD-LADCP casts carried out during the deployment cruise were previously analyzed to provide a comprehensive description of the regional circulation, featuring in particular a volume transport of similar to 43 Sv across the Fawn Trough (Park et al., 2009). Here we present a time series of the transport in the Fawn Trough estimated from current meter observations, featuring a mean eastward transport of 34 Sv (possibly biased low by at most 5 Sv) and a root mean squared variability of 6 Sv, consistent with LADCP estimates (43 Sv in February 2009 and 38 Sv in January 2010). In addition, we analyze to what extent the transport can be directly monitored from along-track satellite altimeter data, which would enable study of the variability of the Fawn Trough Current from a now 20-year long archive. The ability to reconstruct the flow from a limited set of moored instruments as well as from altimeter-derived surface geostrophic velocity is further assessed from synthetic data extracted from a high-resolution pen-Antarctic simulation. While a canonical method to derive transport from altimetry, previously applied to the Malvinas Current, gives here unsatisfactory comparisons with in situ estimates, an ad hoc approach using only the two northernmost mooring lines yields an estimate well correlated (similar to 0.8) with in situ transport at subseasonal time scales during the one year period of observations. At interannual time scales, however, both methods provide significantly correlated (0.7) transport estimates, suggesting that long-term transport fluctuations across the Kerguelen Plateau can be confidently estimated from altimetry. These consistently indicate a measurable impact of the outstanding 1997-1998 El Nifio Southern Oscillation (ENSO) event, yielding an increase of the annual mean transport of similar to 3 Sv, possibly with a one year lag. The transport estimate based on the ad hoc approach is significantly correlated (0.6) with the Southern Annular Mode (SAM) index at interannual time scales, suggesting that an intensification of the circumpolar winds drives an increase in the transport across the Kerguelen Plateau. (C) 2014 Elsevier Ltd. All rights reserved.</t>
  </si>
  <si>
    <t>[Vivier, Frederic] Univ Paris 06, CNRS, LOCEAN IPSL, F-75005 Paris, France; [Park, Young-Hyang; Sekma, Hela] Museum Natl Hist Nat, LOCEAN IPSL, F-75231 Paris, France; [Le Sommer, Julien] Univ Grenoble 1, CNRS, LEGI, Grenoble, France</t>
  </si>
  <si>
    <t>Museum National d'Histoire Naturelle (MNHN); Sorbonne Universite; Centre National de la Recherche Scientifique (CNRS); Sorbonne Universite; Museum National d'Histoire Naturelle (MNHN); Communaute Universite Grenoble Alpes; Institut National Polytechnique de Grenoble; Universite Grenoble Alpes (UGA); Centre National de la Recherche Scientifique (CNRS)</t>
  </si>
  <si>
    <t>Vivier, F (corresponding author), Univ Paris 06, CNRS, LOCEAN IPSL, 4 Pl Jussieu, F-75005 Paris, France.</t>
  </si>
  <si>
    <t>frederic.vivier@locean-ipsl.upmc.fr</t>
  </si>
  <si>
    <t>Le Sommer, Julien/ABG-8801-2021</t>
  </si>
  <si>
    <t>Le Sommer, Julien/0000-0002-6882-2938; Vivier, Frederic/0000-0003-2539-4133</t>
  </si>
  <si>
    <t>French Polar Institute (IPEV); National Center for Space Studies (CNES); Institute for Earth Sciences and Astronomy of the National Center for Scientific Research (CNRS/INSU); CNES OSTST program; French National Research Agency [ANR-08-JCJC-0777-01]; CNES through the BIOCOSM project</t>
  </si>
  <si>
    <t>French Polar Institute (IPEV); National Center for Space Studies (CNES); Institute for Earth Sciences and Astronomy of the National Center for Scientific Research (CNRS/INSU); CNES OSTST program; French National Research Agency(Agence Nationale de la Recherche (ANR)); CNES through the BIOCOSM project</t>
  </si>
  <si>
    <t>The TRACK project was funded by the French Polar Institute (IPEV), the National Center for Space Studies (CNES), and the Institute for Earth Sciences and Astronomy of the National Center for Scientific Research (CNRS/INSU). We thank H. Legoff, C. Rouault, E. Kestenare, F. Roquet, F. Perault, and P. Adams for their involvement in this project and in particular regarding mooring and CTD operations, as well as the crew and captain of R/V Marion Dufresne. FV and YHP acknowledge support from the CNES OSTST program. The GJM04 simulation from the PERIANT8 configuration was developed in the frame of the Southern Cross project funded by the French National Research Agency (project ANR-08-JCJC-0777-01) and ran on CINES computers. We thank Aurelie Albert for extracting the data. We also acknowledge support from CNES through the BIOCOSM project. Valuable comments from two anonymous reviewers and Associate Editor W. Weijer, as well as discussions with Jean-Baptiste Sallee greatly helped to improve this manuscript.</t>
  </si>
  <si>
    <t>10.1016/j.dsr2.2014.01.017</t>
  </si>
  <si>
    <t>CH9FV</t>
  </si>
  <si>
    <t>WOS:000354342300003</t>
  </si>
  <si>
    <t>Katsumata, K; Nakano, H; Kumamoto, Y</t>
  </si>
  <si>
    <t>Katsumata, Katsuro; Nakano, Hideyuki; Kumamoto, Yuichiro</t>
  </si>
  <si>
    <t>Dissolved oxygen change and freshening of Antarctic Bottom water along 62°S in the Australian-Antarctic Basin between 1995/1996 and 2012/2013</t>
  </si>
  <si>
    <t>Dissolved oxygen; Antarctic Bottom water; Adelie land bottom water; Ross sea bottom water; Freshening</t>
  </si>
  <si>
    <t>SEA-LEVEL RISE; SOUTHERN-OCEAN; PACIFIC-OCEAN; ROSS SEA; CLIMATE-CHANGE; INDIAN-OCEAN; GLOBAL HEAT; ABYSSAL; WESTERN; CIRCULATION</t>
  </si>
  <si>
    <t>Significant warming and freshening signals observed in the world's deep oceans are generally stronger southward. In the Australian-Antarctic Basin along 62 degrees S - near the southern edge of the western Pacific and Indian oceans - we compared water properties of Antarctic Bottom Water observed in 1995/1996 and 2012/2013. The basin collects newly ventilated dense water from the Western Pacific sector of the Antarctic coast and the Ross Sea. Compared on pressure surfaces, freshening of more than 0.003 g/kg in Absolute Salinity (0.003 in Practical Salinity Scale 1978 or PSS-78) was found below 3000 dbar. The freshening was stronger (0.02 g/kg or 0.02 in PSS-78) eastward and towards the bottom, suggesting that it originated from the regions of new bottom water production. We also detected warming ( &gt; 0.2 degrees C) on pressure surfaces below the surface layer. Freshening of similar magnitudes were observed on density surfaces (neutral densities &gt; 1028.1 kg/m(3)). Adiabatic southward migration of water masses, observed by satellite altimetry, can explain the warming but not the freshening. A notable increase in dissolved oxygen on density surfaces was found near the bottom. The increase appears due to density decrease of near-bottom water, which can be explained by a change in the mixing ratio of bottom water from near the Adelie Depression (Adelie Land Bottom Water (ALBW), higher oxygen) with that from the more distant Ross Sea (Ross Sea Bottom Water (RSBW), lower oxygen): an increased contribution of ALBW and a decreased contribution of RSBW. This change might be associated with a decrease in the RSBW supply following an earlier ice-calving event in the polynya region. Oxygen rich (&gt;242 mu mol/kg) and dense (&gt;1028.35 kg/m(3)) bottom water observed in 1995/1996 in troughs near 130 degrees E disappeared in 2012/2013, which also might reflect changes in bottom water production along the coast, possibly in Mertz and Dibble Polynyas. (C) 2014 Elsevier Ltd. All rights reserved.</t>
  </si>
  <si>
    <t>[Katsumata, Katsuro; Kumamoto, Yuichiro] JAMSTEC, Res Inst Global Change, Yokosuka, Kanagawa, Japan</t>
  </si>
  <si>
    <t>Japan Agency for Marine-Earth Science &amp; Technology (JAMSTEC)</t>
  </si>
  <si>
    <t>Katsumata, K (corresponding author), JAMSTEC, Res Inst Global Change, Yokosuka, Kanagawa, Japan.</t>
  </si>
  <si>
    <t>k.katsumata@jamstec.go.jp</t>
  </si>
  <si>
    <t>Katsumata, Katsuro/AAR-5034-2020</t>
  </si>
  <si>
    <t>Katsumata, Katsuro/0000-0002-4683-7610</t>
  </si>
  <si>
    <t>Cnes</t>
  </si>
  <si>
    <t>Cnes(Centre National D'etudes Spatiales)</t>
  </si>
  <si>
    <t>The altimeter products were produced by Ssalto/Duacs and distributed by Aviso, with support from Cnes (http://www.aviso.oceanobs.com/duacs/). We thank Drs. G.D. Williams and S. Nihashi for comments and discussions. Comments from two anonymous reviewers are greatly appreciated.</t>
  </si>
  <si>
    <t>10.1016/j.dsr2.2014.05.016</t>
  </si>
  <si>
    <t>WOS:000354342300004</t>
  </si>
  <si>
    <t>Munro, DR; Lovenduski, NS; Stephens, BB; Newberger, T; Arrigo, KR; Takahashi, T; Quay, PD; Sprintall, J; Freeman, NM; Sweeney, C</t>
  </si>
  <si>
    <t>Munro, David R.; Lovenduski, Nicole S.; Stephens, Britton B.; Newberger, Timothy; Arrigo, Kevin R.; Takahashi, Taro; Quay, Paul D.; Sprintall, Janet; Freeman, Natalie M.; Sweeney, Colm</t>
  </si>
  <si>
    <t>Estimates of net community production in the Southern Ocean determined from time series observations (2002-2011) of nutrients, dissolved inorganic carbon, and surface ocean pCO2 in Drake Passage</t>
  </si>
  <si>
    <t>MARINE PRIMARY PRODUCTION; ANTARCTIC POLAR FRONT; BIOLOGICAL PRODUCTION; EXPORT PRODUCTION; GAS-EXCHANGE; SEA; TEMPERATURE; CO2; VARIABILITY; SEAWATER</t>
  </si>
  <si>
    <t>In remote regions such as the open Southern Ocean, satellite observations often provide the only available tool with which to evaluate large-scale biogeochemical processes. However, these observations need to be carefully evaluated with in situ measurements. With an average of 20 crossings per year from 2002 to 2011, the Drake Passage Time-series (DP) represents one of the most complete datasets of biogeochemical measurements in the open Southern Ocean. This dataset offers a unique opportunity to validate satellite-based productivity algorithms and to improve understanding of the role of this region in the global carbon cycle. Net community production (NCP) was estimated using discrete measurements of total dissolved inorganic carbon (TCO2) and phosphate (PO43-), and high-frequency underway measurements of the partial pressure of carbon dioxide in the surface ocean (pCO2(surf)) from the DPT, combined with estimates of gas exchange, Elcman transport wind stress curl, and vertical entrainment We estimate annual NC!' using seasonal PO43- (NCPPO43-) and TCO2 (NCPTCO2,) budgets of 12 +/- 0.7 and 1.6 +/- 0.4 mol C m(-2) yr(-1), respectively. Budget terms for gas exchange, entrainment, and advective supply indicate that a closed system seasonal-drawdown approach that does not consider additional terms may underestimate NCP in this region by nearly 35%. NCP estimates are compared to satellite algorithms commonly used to estimate both net primary production (NPP) and organic carbon export Budget-based NCP approaches indicate high rates of NCP during austral spring with little additional NCP over austral summer. In contrast, satellite approaches suggest a more gradual increase and decline in NCP rates over the growing season with approximately 40% of NCP accumulating during austral summer. (C) 2015 Elsevier Ltd. All rights reserved.</t>
  </si>
  <si>
    <t>[Munro, David R.; Lovenduski, Nicole S.; Freeman, Natalie M.] Univ Colorado, Dept Atmospher &amp; Ocean Sci, Boulder, CO 80309 USA; [Munro, David R.; Lovenduski, Nicole S.; Freeman, Natalie M.] Univ Colorado, Inst Arct &amp; Alpine Res, Boulder, CO 80309 USA; [Stephens, Britton B.] Natl Ctr Atmospher Res, Boulder, CO 80307 USA; [Newberger, Timothy; Sweeney, Colm] Univ Colorado, Cooperat Inst Res Environm Sci, Boulder, CO 80309 USA; [Newberger, Timothy; Sweeney, Colm] NOAA, Earth Syst Res Lab, Boulder, CO USA; [Arrigo, Kevin R.] Stanford Univ, Dept Environm Earth Syst Sci, Stanford, CA 94305 USA; [Takahashi, Taro] Columbia Univ, Lamont Doherty Earth Observ, Palisades, NY USA; [Quay, Paul D.] Univ Washington, Sch Oceanog, Seattle, WA 98195 USA; [Sprintall, Janet] Univ Calif San Diego, Scripps Inst Oceanog, La Jolla, CA 92093 USA</t>
  </si>
  <si>
    <t>University of Colorado System; University of Colorado Boulder; University of Colorado System; University of Colorado Boulder; National Center Atmospheric Research (NCAR) - USA; University of Colorado System; University of Colorado Boulder; National Oceanic Atmospheric Admin (NOAA) - USA; Stanford University; Columbia University; University of Washington; University of Washington Seattle; University of California System; University of California San Diego; Scripps Institution of Oceanography</t>
  </si>
  <si>
    <t>Munro, DR (corresponding author), Univ Colorado, Dept Atmospher &amp; Ocean Sci, Boulder, CO 80309 USA.</t>
  </si>
  <si>
    <t>david.munro@colorado.edu</t>
  </si>
  <si>
    <t>Lovenduski, Nicole/V-4014-2019; Munro, David/ABA-2074-2020; Lovenduski, Nicole S/A-6226-2011; Newberger, Timothy/AAR-7103-2020; Sweeney, Colm/AAE-9291-2019; Stephens, Britton B/B-7962-2008; Freeman, Natalie/F-8672-2015</t>
  </si>
  <si>
    <t>Lovenduski, Nicole/0000-0001-5893-1009; Stephens, Britton B/0000-0002-1966-6182; Freeman, Natalie/0000-0002-4718-5650; Arrigo, Kevin/0000-0002-7364-876X; Sweeney, Colm/0000-0002-4517-0797</t>
  </si>
  <si>
    <t>National Science Foundation's Office of Polar Programs [AOAS0944761, AOAS0636975]; XBT/XCTD programs [ANT0943818]; National Science Foundation's Chemical Oceanography program [OCE1155240]; NOAA Climate Program Office [NA12OAR4310058]; National Science Foundation; Directorate For Geosciences; Office of Polar Programs (OPP) [1341425, 1341647] Funding Source: National Science Foundation; Division Of Ocean Sciences; Directorate For Geosciences [1155240] Funding Source: National Science Foundation; Office of Polar Programs (OPP); Directorate For Geosciences [0943818] Funding Source: National Science Foundation</t>
  </si>
  <si>
    <t>National Science Foundation's Office of Polar Programs(National Science Foundation (NSF)); XBT/XCTD programs; National Science Foundation's Chemical Oceanography program; NOAA Climate Program Office(National Oceanic Atmospheric Admin (NOAA) - USA); National Science Foundation(National Science Foundation (NSF)); Directorate For Geosciences; Office of Polar Programs (OPP)(National Science Foundation (NSF)NSF - Directorate for Geosciences (GEO)); Division Of Ocean Sciences; Directorate For Geosciences(National Science Foundation (NSF)NSF - Directorate for Geosciences (GEO)); Office of Polar Programs (OPP); Directorate For Geosciences(National Science Foundation (NSF)NSF - Directorate for Geosciences (GEO))</t>
  </si>
  <si>
    <t>This research was made possible by support from the National Science Foundation's Office of Polar Programs for the chemistry (AOAS0944761 and AOAS0636975) and XBT/XCTD (ANT0943818) programs. Additional support was provided by the National Science Foundation's Chemical Oceanography program (OCE1155240), as well as the NOAA Climate Program Office (NA12OAR4310058). The National Center for Atmospheric Research is sponsored by the National Science Foundation. We are also indebted to the marine and science support teams of the ARSV Laurence M. Gould who collected all discrete samples presented in this paper, helped monitor the underway pCO2 system and undertook the XBT/XCTD profiling; in particular we acknowledge Kevin Pedigo, Bruce Felix, and Andy Nunn. All nutrient analyses were performed at Chesapeake Biological Laboratory; TCO2 analyses were performed at Lamont-Doherty Earth Observatory by John G. Goddard; and delta13C analyses were performed at the University of Washington under the supervision of John Stutsman. We also thank Gordy Stephenson for providing mixed layer depth calculations.</t>
  </si>
  <si>
    <t>10.1016/j.dsr2.2014.12.014</t>
  </si>
  <si>
    <t>WOS:000354342300006</t>
  </si>
  <si>
    <t>Melbourne-Thomas, J; Wotherspoon, S; Corney, S; Molina-Balari, E; Marini, O; Constable, A</t>
  </si>
  <si>
    <t>Melbourne-Thomas, Jessica; Wotherspoon, Simon; Corney, Stuart; Molina-Balari, Ernesto; Marini, Olivier; Constable, Andrew</t>
  </si>
  <si>
    <t>Optimal control and system limitation in a Southern Ocean ecosystem model</t>
  </si>
  <si>
    <t>Optimal control; NPZD model; Biogeochemistry; Photosynthetic efficiency; Zooplankton grazing; Southern Ocean</t>
  </si>
  <si>
    <t>PARAMETER OPTIMIZATION; IRON-LIMITATION; NORTH-ATLANTIC; PHYTOPLANKTON COMMUNITY; LIGHT; PHOTOSYNTHESIS; SENSITIVITY; ANTARCTICA; BIOMASS; RATES</t>
  </si>
  <si>
    <t>Simple models of coupled nutrient-biological cycles are useful for understanding and evaluating biogeochemical processes in the marine environment. Indeed simple models offer advantages over more complex formulations in that they have fewer uncertain parameters. A common approach to calibrating such models is to optimise parameter values by minimising some measure of the difference between model outputs and observational data. Optimised parameters are usually invariant in a given simulation, but some recent implementations allow parameter values to vary as a function of time. These latter approaches are arguably more realistic in that they capture changes in key rate processes associated with changes in assemblage structure, such as seasonal succession in phytoplankton communities. We adopt an optimal control approach in which one model parameter is viewed as a time-varying function. By examining the conditions under which our 'controlled' model is able to realistically reproduce observed dynamics in remotely sensed surface chlorophyll, we gain insights into other critical parameters that influence model behaviour. This approach has advantages over conventional optimisation in which the relative importance of different modelled processes is potentially unclear. We find that zooplankton control of phytoplankton biomass through grazing is critical to our model's ability to realistically capture seasonal phytoplankton dynamics for two locations along a Southern Ocean transect at 140 degrees E; the middle of Sub-Antarctic Front (52 degrees S) and the middle of the Polar Front (58 degrees S). (C) 2013 Elsevier Ltd. All rights reserved.</t>
  </si>
  <si>
    <t>[Melbourne-Thomas, Jessica; Corney, Stuart; Constable, Andrew] Univ Tasmania, Antarctic Climate &amp; Ecosyst Cooperat Res Ctr, Hobart, Tas 7001, Australia; [Wotherspoon, Simon; Molina-Balari, Ernesto; Marini, Olivier] Univ Tasmania, Inst Marine &amp; Antarctic Studies, Hobart, Tas 7001, Australia; [Melbourne-Thomas, Jessica; Wotherspoon, Simon; Constable, Andrew] Australian Antarctic Div, Dept Sustainabil Environm Water Populat &amp; Commun, Kingston, Tas 7050, Australia</t>
  </si>
  <si>
    <t>University of Tasmania; Antarctic Climate &amp; Ecosystems Cooperative Research Centre (ACE CRC); University of Tasmania; Australian Antarctic Division</t>
  </si>
  <si>
    <t>Melbourne-Thomas, J (corresponding author), Univ Tasmania, Antarctic Climate &amp; Ecosyst Cooperat Res Ctr, Private Bag 80, Hobart, Tas 7001, Australia.</t>
  </si>
  <si>
    <t>jessica.MelboumeThomas@utas.edu.au</t>
  </si>
  <si>
    <t>Melbourne-Thomas, Jess/N-2437-2019; Wotherspoon, Simon J/B-2390-2013</t>
  </si>
  <si>
    <t>Melbourne-Thomas, Jess/0000-0001-6585-876X; Wotherspoon, Simon J/0000-0002-6947-4445</t>
  </si>
  <si>
    <t>Australian Government's Cooperative Research Centres Programme through the Antarctic Climate and Ecosystems Cooperative Research Centre (ACE CRC)</t>
  </si>
  <si>
    <t>Australian Government's Cooperative Research Centres Programme through the Antarctic Climate and Ecosystems Cooperative Research Centre (ACE CRC)(Australian GovernmentDepartment of Industry, Innovation and ScienceCooperative Research Centres (CRC) Programme)</t>
  </si>
  <si>
    <t>Thank you to Richard Matear and Simon Wright for helpful comments on model construction, analysis and interpretation. Thanks also to Jean-Baptiste Sallee for providing mixed layer depth estimates. Satellite chlorophyll data were kindly extracted by A/Prof Peter Strutton using NASA Goddard Space Flight Centre data; http://oceancolor.gsfc.nasa.gov/ (accessed 2012). We thank Robert Johnson for providing advice regarding these remotely sensed data. This work was supported by the Australian Government's Cooperative Research Centres Programme through the Antarctic Climate and Ecosystems Cooperative Research Centre (ACE CRC).</t>
  </si>
  <si>
    <t>10.1016/j.dsr2.2013.02.017</t>
  </si>
  <si>
    <t>WOS:000354342300007</t>
  </si>
  <si>
    <t>Wang, LZ; Xue, CH; Xue, Y; Wang, YM; Li, ZJ</t>
  </si>
  <si>
    <t>Wang, Ling-zhao; Xue, Chang-hu; Xue, Yong; Wang, Yu-ming; Li, Zhao-jie</t>
  </si>
  <si>
    <t>Optimization and evaluation of a novel technique for hydrolyzing Antarctic krill (Euphausia superba) proteins</t>
  </si>
  <si>
    <t>FOOD AND BIOPRODUCTS PROCESSING</t>
  </si>
  <si>
    <t>Euphausia superba; Antarctic krill; Endogenous protease; Autolysis; Hydrolysate; Amino acid nitrogen; Total nitrogen; Response surface methodology</t>
  </si>
  <si>
    <t>PEPTIDE-HYDROLASES; AMINO-ACIDS; PURIFICATION; POSTMORTEM; TASTE</t>
  </si>
  <si>
    <t>The endogenous proteases of Antarctic krill (Euphausia superba) were efficiently utilized to hydrolyze proteins by a novel technique called two-stage autolysis. The hydrolysates contained 0.951 g/100 ml amino acid nitrogen, which was sufficient to meet the special grade requirements of soy sauce according to the Chinese National Standard. Meanwhile, the recovery of total nitrogen was 75.33%. The second-stage autolysis exhibited a great positive effect on the improvement of nitrogen recovery. The optimal conditions for obtaining the highest amino acid nitrogen level during the second-stage autolysis were hydrolysate/krill ratio of 2.23, initial pH of 7.23, 40.94 degrees C, which were determined by response surface methodology. The dominant compositions of krill protein hydrolysates were peptides. Proline, glutamate, aspartate, glycine and valine were the dominant amino acids in the hydrolysates, accounting for 15.18, 14.03, 12.14, 10.78 and 10.16 mg/ml, respectively. The hydrolysates prepared by two-stage autolysis had high amino acid nitrogen level and high recovery of total nitrogen, which could be used in the preparation of high quality krill sauce. Crown Copyright (C) 2014 Published by Elsevier B.V. on behalf of The Institution of Chemical Engineers. All rights reserved.</t>
  </si>
  <si>
    <t>[Wang, Ling-zhao] Huaihai Inst Technol, Sch Marine Sci &amp; Technol, Lianyungang 222005, Jiangsu, Peoples R China; [Wang, Ling-zhao; Xue, Chang-hu; Xue, Yong; Wang, Yu-ming; Li, Zhao-jie] Ocean Univ China, Coll Food Sci &amp; Engn, Qingdao 266003, Peoples R China</t>
  </si>
  <si>
    <t>Jiangsu Ocean University; Ocean University of China</t>
  </si>
  <si>
    <t>Wang, LZ (corresponding author), Huaihai Inst Technol, Sch Marine Sci &amp; Technol, 59 Cangwu Rd, Lianyungang 222005, Jiangsu, Peoples R China.</t>
  </si>
  <si>
    <t>lingzhaowang@aliyun.com</t>
  </si>
  <si>
    <t>wangwangwang, yuanyaunyuan/HHN-6432-2022; Wang, Lingzhao/B-4999-2016; yuming, wang/K-8179-2012</t>
  </si>
  <si>
    <t>Wang, Lingzhao/0000-0003-4377-5941;</t>
  </si>
  <si>
    <t>Special Funds from the Central Finance to Support the Development of Local Universities [CXTD24]; Priority Academic Program Development of Jiangsu Higher Education Institutions; Ministry of Science and Technology of China [2011AA090801]</t>
  </si>
  <si>
    <t>Special Funds from the Central Finance to Support the Development of Local Universities; Priority Academic Program Development of Jiangsu Higher Education Institutions; Ministry of Science and Technology of China(Ministry of Science and Technology, China)</t>
  </si>
  <si>
    <t>Financial supports provided by a Special Funds from the Central Finance to Support the Development of Local Universities (Grant no. CXTD24), a Project Funded by the Priority Academic Program Development of Jiangsu Higher Education Institutions, and a High-Tech R&amp;D Plan (863 Plan) of the Ministry of Science and Technology of China (Grant no. 2011AA090801) are appreciated.</t>
  </si>
  <si>
    <t>0960-3085</t>
  </si>
  <si>
    <t>1744-3571</t>
  </si>
  <si>
    <t>FOOD BIOPROD PROCESS</t>
  </si>
  <si>
    <t>Food Bioprod. Process.</t>
  </si>
  <si>
    <t>10.1016/j.fbp.2014.08.010</t>
  </si>
  <si>
    <t>Biotechnology &amp; Applied Microbiology; Engineering, Chemical; Food Science &amp; Technology</t>
  </si>
  <si>
    <t>Biotechnology &amp; Applied Microbiology; Engineering; Food Science &amp; Technology</t>
  </si>
  <si>
    <t>CH6IO</t>
  </si>
  <si>
    <t>WOS:000354140500068</t>
  </si>
  <si>
    <t>Hermand, JP; Randall, J</t>
  </si>
  <si>
    <t>Hermand, Jean-Pierre; Randall, Jo</t>
  </si>
  <si>
    <t>A Monte Carlo experiment for measuring acoustic properties of macroalgae living tissue</t>
  </si>
  <si>
    <t>JOURNAL OF THE ACOUSTICAL SOCIETY OF AMERICA</t>
  </si>
  <si>
    <t>A methodology is developed to measure ex situ ultrasonic velocity of submerged aquatic vegetation tissue, in particular, macroalgae, in a nondestructive and efficient manner. An entire thallus is submerged in artificial seawater-filled tank through which many ultrasonic pulse-echo measurements are recorded while thallus parts are randomly displaced. Average sound speed of tissue is estimated from normal fit to extracted travel times given measured total volume fraction of tissue and travel time in water alone. For species Ecklonia radiata the resulting values for sound speed 1573.4 +/- 4.8 m s(-1) and adiabatic compressibility 3.134 x 10(-10) +/- 1.34 x 10(-11) Pa-1 at 18 degrees C agree with more laborious and destructive methods. (C) 2015 Acoustical Society of America</t>
  </si>
  <si>
    <t>[Hermand, Jean-Pierre; Randall, Jo] Univ Libre Bruxelles, Labs Image Signal Proc &amp; Acoust, Environm Hydroacoust Lab, B-1050 Brussels, Belgium; [Randall, Jo] Univ Tasmania, Inst Marine &amp; Antarctic Studies, Hobart, Tas 7001, Australia</t>
  </si>
  <si>
    <t>Universite Libre de Bruxelles; University of Tasmania</t>
  </si>
  <si>
    <t>Hermand, JP (corresponding author), Univ Libre Bruxelles, Labs Image Signal Proc &amp; Acoust, Environm Hydroacoust Lab, Ave Franklin Roosevelt 50,CP 165-57, B-1050 Brussels, Belgium.</t>
  </si>
  <si>
    <t>jhermand@ulb.ac.be; jrandall@ulb.ac.be</t>
  </si>
  <si>
    <t>Randall, Jo/I-6368-2015</t>
  </si>
  <si>
    <t>Randall, Jo/0000-0002-6671-9101</t>
  </si>
  <si>
    <t>Office of Naval Research [N62909-13-1-N106]; Australian National Network in Marine Science; M.-E. Ernould at Laborelec, Belgium</t>
  </si>
  <si>
    <t>Office of Naval Research(Office of Naval Research); Australian National Network in Marine Science; M.-E. Ernould at Laborelec, Belgium</t>
  </si>
  <si>
    <t>The authors acknowledge the support of the Office of Naval Research (Grant agreement No. N62909-13-1-N106), the Australian National Network in Marine Science, and M.-E. Ernould at Laborelec, Belgium.</t>
  </si>
  <si>
    <t>ACOUSTICAL SOC AMER AMER INST PHYSICS</t>
  </si>
  <si>
    <t>MELVILLE</t>
  </si>
  <si>
    <t>STE 1 NO 1, 2 HUNTINGTON QUADRANGLE, MELVILLE, NY 11747-4502 USA</t>
  </si>
  <si>
    <t>0001-4966</t>
  </si>
  <si>
    <t>1520-8524</t>
  </si>
  <si>
    <t>J ACOUST SOC AM</t>
  </si>
  <si>
    <t>J. Acoust. Soc. Am.</t>
  </si>
  <si>
    <t>EL314</t>
  </si>
  <si>
    <t>EL319</t>
  </si>
  <si>
    <t>10.1121/1.4916794</t>
  </si>
  <si>
    <t>Acoustics; Audiology &amp; Speech-Language Pathology</t>
  </si>
  <si>
    <t>CG9QV</t>
  </si>
  <si>
    <t>Green Published, Green Submitted, Green Accepted, Bronze</t>
  </si>
  <si>
    <t>WOS:000353653500013</t>
  </si>
  <si>
    <t>Gillard, M; Autin, J; Manatschal, G; Sauter, D; Munschy, M; Schaming, M</t>
  </si>
  <si>
    <t>Gillard, Morgane; Autin, Julia; Manatschal, Gianreto; Sauter, Daniel; Munschy, Marc; Schaming, Marc</t>
  </si>
  <si>
    <t>Tectonomagmatic evolution of the final stages of rifting along the deep conjugate Australian-Antarctic magma-poor rifted margins: Constraints from seismic observations</t>
  </si>
  <si>
    <t>TECTONICS</t>
  </si>
  <si>
    <t>Australian-Antarctic margins; tectonomagmatic evolution; crustal structure; detachment systems; mantle exhumation; sedimentary architecture</t>
  </si>
  <si>
    <t>OCEAN-CONTINENT TRANSITION; WILKES LAND; NATURALISTE PLATEAU; MAGNETIC-ANOMALIES; KERGUELEN PLATEAU; PASSIVE MARGIN; INDIAN-OCEAN; GALICIA BANK; UPPER-MANTLE; LOWER CRUST</t>
  </si>
  <si>
    <t>The processes related to hyperextension, exhumed mantle domains, lithospheric breakup, and formation of first unequivocal oceanic crust at magma-poor rifted margins are yet poorly understood. In this paper, we try to bring new constraints and new ideas about these latest deformation stages by studying the most distal Australian-Antarctic rifted margins. We propose a new interpretation, linking the sedimentary architectures to the nature and type of basement units, including hyperextended crust, exhumed mantle, embryonic, and steady state oceanic crusts. One major implication of our study is that terms like prerift, synrift, and postrift cannot be used in such polyphase settings, which also invalidates the concept of breakup unconformity. Integration and correlation of all available data, particular seismic and potential field data, allows us to propose a new model to explain the evolution of magma-poor distal rifted margins involving multiple and complex detachment systems. We propose that lithospheric breakup occurs after a phase of proto-oceanic crust formation, associated with a substantial magma supply. First steady state oceanic crust may therefore not have been emplaced before similar to 53.3Ma corresponding to magnetic anomaly C24. Observations of magma amount and its distribution along the margins highlight a close magma-fault relationship during the development of these margins.</t>
  </si>
  <si>
    <t>[Gillard, Morgane; Autin, Julia; Manatschal, Gianreto; Sauter, Daniel; Munschy, Marc; Schaming, Marc] Inst Phys Globe, F-67084 Strasbourg, France; [Gillard, Morgane; Autin, Julia; Manatschal, Gianreto; Sauter, Daniel; Munschy, Marc; Schaming, Marc] Univ Strasbourg, EOST, CNRS, UMR 7516, Strasbourg, France</t>
  </si>
  <si>
    <t>Universite Paris Cite; Universites de Strasbourg Etablissements Associes; Universite de Strasbourg; Universites de Strasbourg Etablissements Associes; Universite de Strasbourg; Centre National de la Recherche Scientifique (CNRS); CNRS - National Institute for Earth Sciences &amp; Astronomy (INSU)</t>
  </si>
  <si>
    <t>Gillard, M (corresponding author), Inst Phys Globe, F-67084 Strasbourg, France.</t>
  </si>
  <si>
    <t>mgillard@unistra.fr</t>
  </si>
  <si>
    <t>Autin, Julia/GXG-5741-2022; sauter, daniel/Q-5519-2019; sauter, daniel/K-6532-2014; Munschy, Marc/F-1221-2017</t>
  </si>
  <si>
    <t>sauter, daniel/0000-0003-3651-8090; sauter, daniel/0000-0003-3651-8090; Autin, Julia/0000-0003-2875-5766; Munschy, Marc/0000-0003-1239-3326</t>
  </si>
  <si>
    <t>0278-7407</t>
  </si>
  <si>
    <t>1944-9194</t>
  </si>
  <si>
    <t>Tectonics</t>
  </si>
  <si>
    <t>10.1002/2015TC003850</t>
  </si>
  <si>
    <t>CH8WR</t>
  </si>
  <si>
    <t>WOS:000354317400008</t>
  </si>
  <si>
    <t>Hong, SB; Lee, K; Hur, SD; Hong, S; Soyol-Erdene, TO; Kim, SM; Chung, JW; Jun, SJ; Kang, CH</t>
  </si>
  <si>
    <t>Hong, Sang-Bum; Lee, Khanghyun; Hur, Soon-Do; Hong, Sungmin; Soyol-Erdene, Tseren-Ochir; Kim, Sun-Mee; Chung, Ji-Woong; Jun, Seong-Joon; Kang, Chang-Hee</t>
  </si>
  <si>
    <t>Development of Melting System for Measurement of Trace Elements and Ions in Ice Core</t>
  </si>
  <si>
    <t>BULLETIN OF THE KOREAN CHEMICAL SOCIETY</t>
  </si>
  <si>
    <t>Ice core; Melting system; Performance tests; Titanium melting head</t>
  </si>
  <si>
    <t>CONTINUOUS-FLOW ANALYSIS; MT. QOMOLANGMA EVEREST; HIGH-RESOLUTION; MASS-SPECTROMETRY; STABLE-ISOTOPE; ANTARCTIC ICE; CENTRAL-ASIA; LEAD; CHROMATOGRAPHY; ATMOSPHERE</t>
  </si>
  <si>
    <t>We present a titanium (Ti) melting head divided into three zones as an improved melting system for decontaminating ice-core samples. This system was subjected to performance tests using short ice-core samples (4 x 4 cm(2), similar to 5 cm long). The procedural blanks (PBs) and detection limits of ionic species, with the exception of NO3-, were comparable with published values, but for elements the experimental procedures should be refined to obtain valid Zn concentrations due to the PB of similar to 90.0 +/- 16.2 ng/L. The improved melting system efficiently decontaminated the samples, as verified by the concentration profiles of elements and ions in the melted samples from the three melting-head zones. The recovery of trace elements in ice-core samples was similar to 70-120% at similar to 100 ng/L in artificial ice cores. Because of the memory effects between ice-core samples melted in series, the melting system should be rinsed at least 5-6 times (in a total volume of similar to 2.5 mL deionized water) after each melting procedure. Finally, as an application of this technique, trace elements were measured in ice-core samples recovered from the East Rongbuk Glacier, Mount Everest, (28 degrees 03'N, 86 degrees 96'E, 6518 m a.s.l.), and the concentrations of trace elements following mechanical chiseling and the melting method were compared.</t>
  </si>
  <si>
    <t>[Hong, Sang-Bum; Lee, Khanghyun; Hur, Soon-Do; Soyol-Erdene, Tseren-Ochir; Kim, Sun-Mee; Chung, Ji-Woong; Jun, Seong-Joon] KIOST, Korea Polar Res Inst, Inchon 406840, South Korea; [Hong, Sungmin] Inha Univ, Dept Ocean Sci, Inchon 402751, South Korea; [Kang, Chang-Hee] Jeju Natl Univ, Dept Chem, Jeju Si 690756, South Korea; [Kang, Chang-Hee] Jeju Natl Univ, Res Inst Basic Sci, Jeju Si 690756, South Korea</t>
  </si>
  <si>
    <t>Korea Polar Research Institute (KOPRI); Korea Institute of Ocean Science &amp; Technology (KIOST); Inha University; Jeju National University; Jeju National University</t>
  </si>
  <si>
    <t>Hong, SB (corresponding author), KIOST, Korea Polar Res Inst, Inchon 406840, South Korea.</t>
  </si>
  <si>
    <t>hong909@kopri.re.kr</t>
  </si>
  <si>
    <t>Tseren-Ochir, Soyol-Erdene/P-9364-2015</t>
  </si>
  <si>
    <t>Tseren-Ochir, Soyol-Erdene/0000-0002-6356-1361</t>
  </si>
  <si>
    <t>Korean Polar Research Institute [PE11090, PE15010]; Basic Science Research Program through the National Research Foundation of Korea (NRF) - Ministry of Education, Science and Technology [2012R1A1A2001832]</t>
  </si>
  <si>
    <t>Korean Polar Research Institute; Basic Science Research Program through the National Research Foundation of Korea (NRF) - Ministry of Education, Science and Technology</t>
  </si>
  <si>
    <t>This work was supported by research grants (PE11090 and PE15010) from the Korean Polar Research Institute. This research was also partly supported by the Basic Science Research Program through the National Research Foundation of Korea (NRF) funded by the Ministry of Education, Science and Technology (2012R1A1A2001832).</t>
  </si>
  <si>
    <t>0253-2964</t>
  </si>
  <si>
    <t>1229-5949</t>
  </si>
  <si>
    <t>B KOREAN CHEM SOC</t>
  </si>
  <si>
    <t>Bull. Korean Chem. Soc.</t>
  </si>
  <si>
    <t>10.1002/bkcs.10198</t>
  </si>
  <si>
    <t>CG8RJ</t>
  </si>
  <si>
    <t>WOS:000353577900003</t>
  </si>
  <si>
    <t>Chang, KY; Chen, CS; Wang, HY; Kuo, CL; Chiu, TS</t>
  </si>
  <si>
    <t>Chang, Ke-Yang; Chen, Chih-Shin; Wang, Hui-Yu; Kuo, Chin-Lau; Chiu, Tai-Sheng</t>
  </si>
  <si>
    <t>The Antarctic Oscillation index as an environmental parameter for predicting catches of the Argentine shortfin squid (Illex argentinus) (Cephalopoda: Ommastrephidae) in southwest Atlantic waters</t>
  </si>
  <si>
    <t>FISHERY BULLETIN</t>
  </si>
  <si>
    <t>SHORT-FINNED SQUID; JAPANESE COMMON SQUID; TODARODES-PACIFICUS; ABUNDANCE; FISHERY; OCEANOGRAPHY; RECRUITMENT; PRECIPITATION; VARIABILITY; ANOMALIES</t>
  </si>
  <si>
    <t>With data from Taiwanese jiggers that targeted the Argentine shortfin squid (Illex argentinus) in the southwest Atlantic between 1986 and 2010, we used log-transformed catch per unit of effort (logU) as an index of the abundance of this squid to explore squid recruitment strength in response to environmental conditions. The logU was negatively correlated with sub-surface seawater temperature (at a depth of 5 m) observed during February and April on the southern Patagonian shelf during the fishing season. The logU was also correlated with the Antarctic Oscillation (AAO), positively correlated in December of the fishing season and in March and May of the previous 2 years, and negatively correlated in November and December of the previous 2 years. A generalized linear model selected 4 environmental variables as predictors of annual catches that accounted for 83% catch variation: AAOs in November and March of the previous 2 years and subsurface seawater temperatures in March of the current and previous year in the southern location. The AAO would not directly affect the squid abundance more than 1 year later and biotic and abiotic linkages between atmospheric circulation patterns and stock fluctuations are not understood.</t>
  </si>
  <si>
    <t>[Chang, Ke-Yang; Chiu, Tai-Sheng] Natl Taiwan Univ, Dept Life Sci, Taipei 106, Taiwan; [Chang, Ke-Yang; Kuo, Chin-Lau] Fisheries Res Inst, Keelung 202, Taiwan; [Chen, Chih-Shin] Natl Taiwan Ocean Univ, Inst Marine Affairs &amp; Resource Management, Keelung 202, Taiwan; [Wang, Hui-Yu] Natl Taiwan Univ, Inst Oceanog, Taipei 106, Taiwan</t>
  </si>
  <si>
    <t>National Taiwan University; Taiwan Fish Research Institute; National Taiwan Ocean University; National Taiwan University</t>
  </si>
  <si>
    <t>Chiu, TS (corresponding author), Natl Taiwan Univ, Dept Life Sci, Taipei 106, Taiwan.</t>
  </si>
  <si>
    <t>tschiu@ntu.edu.tw</t>
  </si>
  <si>
    <t>Chen, Chih-Shin/ABE-2293-2020; Zhang, Lanyue/JNS-8209-2023; Chen, Chih-Shin/ABE-3760-2020</t>
  </si>
  <si>
    <t>Chen, Chih-Shin/0000-0003-2002-0933; Chen, Chih-Shin/0000-0003-2002-0933; WANG, HUI-YU/0000-0002-9100-321X</t>
  </si>
  <si>
    <t>Fishery Agency, Council of Agriculture, Republic of China</t>
  </si>
  <si>
    <t>The authors are indebted to the Overseas Fisheries Development Council of the Republic of China for the collection and maintenance of logbook data. We thank C. Hsieh of National Taiwan University for providing valuable comments on this manuscript. Financial support was provided in part through a project from the Fishery Agency, Council of Agriculture, Republic of China. Appreciation also is extended to an assistant, K Chang, at National Taiwan University for help in conducting the project.</t>
  </si>
  <si>
    <t>NATL MARINE FISHERIES SERVICE SCIENTIFIC PUBL OFFICE</t>
  </si>
  <si>
    <t>SEATTLE</t>
  </si>
  <si>
    <t>7600 SAND POINT WAY NE BIN C15700, SEATTLE, WA 98115 USA</t>
  </si>
  <si>
    <t>0090-0656</t>
  </si>
  <si>
    <t>1937-4518</t>
  </si>
  <si>
    <t>FISH B-NOAA</t>
  </si>
  <si>
    <t>Fish. Bull.</t>
  </si>
  <si>
    <t>10.7755/FB.113.2.8</t>
  </si>
  <si>
    <t>CH2HE</t>
  </si>
  <si>
    <t>WOS:000353845500008</t>
  </si>
  <si>
    <t>Ventura, T; Fitzgibbon, Q; Battaglene, S; Sagi, A; Elizur, A</t>
  </si>
  <si>
    <t>Ventura, Tomer; Fitzgibbon, Quinn; Battaglene, Stephen; Sagi, Amir; Elizur, Abigail</t>
  </si>
  <si>
    <t>Identification and characterization of androgenic gland specific insulin-like peptide-encoding transcripts in two spiny lobster species: Sagmariasus verreauxi and Jasus edwardsii</t>
  </si>
  <si>
    <t>GENERAL AND COMPARATIVE ENDOCRINOLOGY</t>
  </si>
  <si>
    <t>Spiny lobster; Sagmariasus verreauxi; Jasus edwardsii; Androgenic gland; Insulin-like androgenic gland hormone</t>
  </si>
  <si>
    <t>EXPRESSION ANALYSIS; TERRESTRIAL ISOPOD; MOLECULAR-CLONING; STAGE PHYLLOSOMA; HORMONE; GENE; PRAWN; POPULATIONS; GENDER; MARKER</t>
  </si>
  <si>
    <t>In this study we describe, for the first time in spiny lobsters, the androgenic gland and its putative hormone. The androgenic gland in crustaceans is the key regulator of crustacean masculinity. The transcript encoding the insulin-like androgenic gland specific factor has recently been identified and characterized in a number of decapod crustacean species including commercially important crabs, crayfish, prawns and shrimps. This insulin-like factor has proven to be the androgenic gland masculinizing hormone, and is absent in females. While the androgenic gland and its putative hormone have been identified in all other commercially valuable groups, none had been identified in lobsters. We identified and characterized the androgenic glands of two spiny lobster species (Sagmariasus verreauxi and Jasus edwardsii) and conducted a transcriptomic analysis of the S. verreauxi androgenic gland. Bioinformatics analysis led to the discovery and characterization of the insulin-like androgenic gland specific factors in both species studied. Changes in androgenic gland cell size and quantity between sub-adult and sexually mature males were evident. The transcriptomic database established for the S. verreauxi androgenic gland might enable to elucidate the mechanisms through which the insulin-like factor is secreted, transported to the target cells and how it triggers the physiological effects of sexual differentiation towards maleness and maintenance of the male gonad. Crown Copyright (C) 2014 Published by Elsevier Inc. All rights reserved.</t>
  </si>
  <si>
    <t>[Ventura, Tomer; Elizur, Abigail] Univ Sunshine Coast, GeneCol Res Ctr, Fac Sci Hlth Educ &amp; Engn, Maroochydore, Qld 4558, Australia; [Fitzgibbon, Quinn; Battaglene, Stephen] Univ Tasmania, Inst Marine &amp; Antarctic Studies, Hobart, Tas 7001, Australia; [Sagi, Amir] Ben Gurion Univ Negev, Dept Life Sci, Natl Inst Biotechnol Negev, IL-84105 Beer Sheva, Israel</t>
  </si>
  <si>
    <t>University of the Sunshine Coast; University of Tasmania; Ben Gurion University</t>
  </si>
  <si>
    <t>Ventura, T (corresponding author), Univ Sunshine Coast, GeneCol Res Ctr, Fac Sci Hlth Educ &amp; Engn, 4 Locked Bag, Maroochydore, Qld 4558, Australia.</t>
  </si>
  <si>
    <t>tventura@usc.edu.au</t>
  </si>
  <si>
    <t>Ventura, T./H-9832-2019; Battaglene, Stephen C/H-9683-2014; Elizur, Abigail/B-7708-2012</t>
  </si>
  <si>
    <t>Ventura, T./0000-0002-0777-2367; Sagi, Amir/0000-0002-4229-1059; Fitzgibbon, Quinn/0000-0002-1104-3052; Elizur, Abigail/0000-0002-2960-302X</t>
  </si>
  <si>
    <t>Australian Research Council (ARC) [DE130101089]; ARC Industrial Transformation Research Hub grant (ITRH) [IH120100032]; Australian Research Council [DE130101089, IH120100032] Funding Source: Australian Research Council</t>
  </si>
  <si>
    <t>Australian Research Council (ARC)(Australian Research Council); ARC Industrial Transformation Research Hub grant (ITRH)(Australian Research Council); Australian Research Council(Australian Research Council)</t>
  </si>
  <si>
    <t>We thank Karl van Drunen and Melanie Evan for the maintenance of lobsters. This study was supported in part by a Discovery Early Career Research Award granted to Tomer Ventura (DECRA, Grant No. DE130101089) by the Australian Research Council (ARC, http://www.arc.gov.au/) and an ARC Industrial Transformation Research Hub grant (ITRH, Grant No. IH120100032) to Stephen Battaglene and Quinn Fitzgibbon.</t>
  </si>
  <si>
    <t>0016-6480</t>
  </si>
  <si>
    <t>1095-6840</t>
  </si>
  <si>
    <t>GEN COMP ENDOCR</t>
  </si>
  <si>
    <t>Gen. Comp. Endocrinol.</t>
  </si>
  <si>
    <t>APR 1</t>
  </si>
  <si>
    <t>10.1016/j.ygcen.2014.06.027</t>
  </si>
  <si>
    <t>Endocrinology &amp; Metabolism; Zoology</t>
  </si>
  <si>
    <t>CH2GS</t>
  </si>
  <si>
    <t>WOS:000353844300016</t>
  </si>
  <si>
    <t>Varsani, A; Porzig, EL; Jennings, S; Kraberger, S; Farkas, K; Julian, L; Masaro, M; Ballard, G; Ainley, DG</t>
  </si>
  <si>
    <t>Varsani, Arvind; Porzig, Elizabeth L.; Jennings, Scott; Kraberger, Simona; Farkas, Kata; Julian, Laurel; Masaro, Melanie; Ballard, Grant; Ainley, David G.</t>
  </si>
  <si>
    <t>Identification of an avian'polyomavirus associated with Adelie penguins (Pygoscelis adeliae)</t>
  </si>
  <si>
    <t>JOURNAL OF GENERAL VIROLOGY</t>
  </si>
  <si>
    <t>FEATHER-LOSS DISORDER; MAGELLANIC PENGUINS; ANTARCTIC PENGUINS; GENOME ANALYSIS; VIRUS; POLYOMAVIRUSES; BIRDS; ALIGNMENT; SEQUENCE; PARAMYXOVIRUSES</t>
  </si>
  <si>
    <t>Little is known about viruses associated with Antarctic animals, although they are probably widespread. We recovered a novel polyomavirus from Adelie penguin (Pygoscelis adeliae) faecal matter sampled in a subcolony at Cape Royds, Ross Island, Antarctica. The 4988 nt Adelie penguin polyomavirus (AdPyV) has a typical polyomavirus genome organization with three ORFs that encoded capsid proteins on the one strand and two non-structural protein-coding ORFs on the complementary strand. The genome of AdPyV shared similar to 60% pairwise identity with all avipolyomaviruses. Maximum-likelihood phylogenetic analysis of the large T-antigen (T-Ag) amino acid sequences showed that the T-Ag of AdPyV clustered with those of avipolyomaviruses, sharing between 48 and 52% identities. Only three viruses associated with Adelie penguins have been identified at a genomic level, avian influenza virus subtype H11N2 from the Antarctic Peninsula and, respectively, Pygoscelis adeliae papillomavirus and AdPyV from capes Crozier and Royds on Ross Island.</t>
  </si>
  <si>
    <t>[Varsani, Arvind; Kraberger, Simona; Farkas, Kata; Julian, Laurel] Univ Canterbury, Sch Biol Sci, Christchurch 8140, New Zealand; [Varsani, Arvind; Kraberger, Simona; Farkas, Kata; Julian, Laurel] Univ Canterbury, Biomol Interact Ctr, Christchurch 8140, New Zealand; [Varsani, Arvind] Univ Florida, Dept Plant Pathol, Gainesville, FL 32611 USA; [Varsani, Arvind] Univ Florida, Emerging Pathogens Inst, Gainesville, FL 32611 USA; [Varsani, Arvind] Univ Cape Town, Electron Microscope Unit, Div Med Biochem, Dept Clin Lab Sci, ZA-7700 Observatory, South Africa; [Porzig, Elizabeth L.; Ballard, Grant] Point Blue Conservat Sci, Petaluma, CA USA; [Jennings, Scott] Oregon State Univ, Dept Fisheries &amp; Wildlife, Oregon Cooperat Fish &amp; Wildlife Res Unit, US Geol Survey, Corvallis, OR 97331 USA; [Masaro, Melanie] Charles Sturt Univ, Sch Environm Sci, Albury, NSW, Australia; [Ainley, David G.] HT Harvey &amp; Associates, Los Gatos, CA USA</t>
  </si>
  <si>
    <t>University of Canterbury; University of Canterbury; State University System of Florida; University of Florida; State University System of Florida; University of Florida; University of Cape Town; United States Department of the Interior; United States Geological Survey; Oregon State University; Charles Sturt University</t>
  </si>
  <si>
    <t>Varsani, A (corresponding author), Univ Canterbury, Sch Biol Sci, Private Bag 4800, Christchurch 8140, New Zealand.</t>
  </si>
  <si>
    <t>arvind.varsani@canterbury.ac.nz</t>
  </si>
  <si>
    <t>Varsani, Arvind/JOZ-5299-2023; Farkas, Kata/H-3665-2019; Massaro, Melanie/P-4791-2017</t>
  </si>
  <si>
    <t>Varsani, Arvind/0000-0003-4111-2415; Farkas, Kata/0000-0002-7068-3228; Kraberger, Simona/0000-0002-7037-9242; Massaro, Melanie/0000-0001-9039-1268</t>
  </si>
  <si>
    <t>US National Science Foundation (NSF) [ANT-0944411]; Office of Polar Programs (OPP); Directorate For Geosciences [0944141, 0944411] Funding Source: National Science Foundation</t>
  </si>
  <si>
    <t>US National Science Foundation (NSF)(National Science Foundation (NSF)); Office of Polar Programs (OPP); Directorate For Geosciences(National Science Foundation (NSF)NSF - Directorate for Geosciences (GEO))</t>
  </si>
  <si>
    <t>The field work for this study was supported by the US National Science Foundation (NSF) under grant ANT-0944411, with logistics supplied by the US Antarctic Program. The field work was conducted under Animal Care and Use Permit #4130 through Oregon State University, Corvallis, OR, USA, and Antarctic Conservation Act Permit #2006-010 from NSF.</t>
  </si>
  <si>
    <t>CHARLES DARWIN HOUSE, 12 ROGER ST, LONDON WC1N 2JU, ERKS, ENGLAND</t>
  </si>
  <si>
    <t>0022-1317</t>
  </si>
  <si>
    <t>1465-2099</t>
  </si>
  <si>
    <t>J GEN VIROL</t>
  </si>
  <si>
    <t>J. Gen. Virol.</t>
  </si>
  <si>
    <t>10.1099/vir.0.000038</t>
  </si>
  <si>
    <t>Biotechnology &amp; Applied Microbiology; Virology</t>
  </si>
  <si>
    <t>CG9CE</t>
  </si>
  <si>
    <t>WOS:000353611200014</t>
  </si>
  <si>
    <t>Meylan, MH; Bennetts, LG; Cavaliere, C; Alberello, A; Toffoli, A</t>
  </si>
  <si>
    <t>Meylan, M. H.; Bennetts, L. G.; Cavaliere, C.; Alberello, A.; Toffoli, A.</t>
  </si>
  <si>
    <t>Experimental and theoretical models of wave-induced flexure of a sea ice floe</t>
  </si>
  <si>
    <t>PHYSICS OF FLUIDS</t>
  </si>
  <si>
    <t>FLOATING ELASTIC DISCS; OCEAN WAVES; HYDROELASTIC RESPONSE; GEOMETRY</t>
  </si>
  <si>
    <t>An experimental model is used to validate a theoretical model of a sea ice floe's flexural motion, induced by ocean waves. A thin plastic plate models the ice floe in the experiments. Rigid and compliant plastics and two different thicknesses are tested. Regular incident waves are used, with wavelengths less than, equal to, and greater than the floe length, and steepnesses ranging from gently sloping to storm-like. Results show the models agree well, despite the overwash phenomenon occurring in the experiments, which the theoretical model neglects. (C) 2015 AIP Publishing LLC.</t>
  </si>
  <si>
    <t>[Meylan, M. H.] Univ Newcastle, Sch Math &amp; Phys Sci, Callaghan, NSW 2308, Australia; [Bennetts, L. G.] Univ Adelaide, Sch Math Sci, Adelaide, SA 5005, Australia; [Cavaliere, C.] Polytech Univ Milan, I-20133 Milan, Italy; [Alberello, A.; Toffoli, A.] Swinburne Univ Technol, Ctr Ocean Engn Sci &amp; Technol, Melbourne, Vic 3122, Australia</t>
  </si>
  <si>
    <t>University of Newcastle; University of Adelaide; Polytechnic University of Milan; Melbourne Genomics Health Alliance; Swinburne University of Technology</t>
  </si>
  <si>
    <t>Meylan, MH (corresponding author), Univ Newcastle, Sch Math &amp; Phys Sci, Callaghan, NSW 2308, Australia.</t>
  </si>
  <si>
    <t>Bennetts, Luke/N-1448-2019; Meylan, Michael/A-7341-2010</t>
  </si>
  <si>
    <t>Bennetts, Luke/0000-0001-9386-7882; Meylan, Michael/0000-0002-3164-1367; Toffoli, Alessandro/0000-0003-3112-6856; Alberello, Alberto/0000-0001-7957-4012</t>
  </si>
  <si>
    <t>Office of Naval Research; Australian Research Council [DE130101571]; Australian Antarctic Science Program [4123]; Australian Research Council [DE130101571] Funding Source: Australian Research Council</t>
  </si>
  <si>
    <t>Office of Naval Research(Office of Naval Research); Australian Research Council(Australian Research Council); Australian Antarctic Science Program; Australian Research Council(Australian Research Council)</t>
  </si>
  <si>
    <t>Plymouth University funded the experiments. Peter Arber provided technical support during the experiments. M.H.M. acknowledges the support of the Office of Naval Research. L.G.B. acknowledges funding support from the Australian Research Council (DE130101571) and the Australian Antarctic Science Program (Project 4123).</t>
  </si>
  <si>
    <t>AMER INST PHYSICS</t>
  </si>
  <si>
    <t>1305 WALT WHITMAN RD, STE 300, MELVILLE, NY 11747-4501 USA</t>
  </si>
  <si>
    <t>1070-6631</t>
  </si>
  <si>
    <t>1089-7666</t>
  </si>
  <si>
    <t>PHYS FLUIDS</t>
  </si>
  <si>
    <t>Phys. Fluids</t>
  </si>
  <si>
    <t>10.1063/1.4916573</t>
  </si>
  <si>
    <t>Mechanics; Physics, Fluids &amp; Plasmas</t>
  </si>
  <si>
    <t>Mechanics; Physics</t>
  </si>
  <si>
    <t>CH2DM</t>
  </si>
  <si>
    <t>WOS:000353835700004</t>
  </si>
  <si>
    <t>Graham, S</t>
  </si>
  <si>
    <t>Graham, Stephen</t>
  </si>
  <si>
    <t>'KATHRYN AND PETER PLAY THE RECORDER': MICHAEL WOLTERS. The Voyage; She stays; My own step-song; Seven Shakespeare Songs; German Folk Tunes; Antarctica duet: Kathryn und Peter durchqueren die Antarktis BRC002 (Kathryn and Peter cross the Antarctic). (K Bennetts, P Bowman, S Purkis, Decibel)</t>
  </si>
  <si>
    <t>TEMPO</t>
  </si>
  <si>
    <t>Record Review</t>
  </si>
  <si>
    <t>Graham, S (corresponding author), Univ London Goldsmiths Coll, London SE14 6NW, England.</t>
  </si>
  <si>
    <t>32 AVENUE OF THE AMERICAS, NEW YORK, NY 10013-2473 USA</t>
  </si>
  <si>
    <t>0040-2982</t>
  </si>
  <si>
    <t>1478-2286</t>
  </si>
  <si>
    <t>TEMPO-UK</t>
  </si>
  <si>
    <t>Tempo</t>
  </si>
  <si>
    <t>Music</t>
  </si>
  <si>
    <t>CG3XE</t>
  </si>
  <si>
    <t>WOS:000353212100024</t>
  </si>
  <si>
    <t>Havird, JC; Kocot, KM; Brannock, PM; Cannon, JT; Waits, DS; Weese, DA; Santos, SR; Halanych, KM</t>
  </si>
  <si>
    <t>Havird, Justin C.; Kocot, Kevin M.; Brannock, Pamela M.; Cannon, Johanna T.; Waits, Damien S.; Weese, David A.; Santos, Scott R.; Halanych, Kenneth M.</t>
  </si>
  <si>
    <t>Reconstruction of Cyclooxygenase Evolution in Animals Suggests Variable, Lineage-Specific Duplications, and Homologs with Low Sequence Identity</t>
  </si>
  <si>
    <t>JOURNAL OF MOLECULAR EVOLUTION</t>
  </si>
  <si>
    <t>Prostaglandin synthesis; Transcriptomics; Phylogenetics; Metazoa; Gene duplication and loss; Annelida</t>
  </si>
  <si>
    <t>PROSTAGLANDIN SYNTHESIS; PLEXAURA-HOMOMALLA; MOLECULAR-CLONING; GENOME; EXPRESSION; TELEOST; CORAL; GENE; EICOSANOIDS; ALGORITHM</t>
  </si>
  <si>
    <t>Cyclooxygenase (COX) enzymatically converts arachidonic acid into prostaglandin G/H in animals and has importance during pregnancy, digestion, and other physiological functions in mammals. COX genes have mainly been described from vertebrates, where gene duplications are common, but few studies have examined COX in invertebrates. Given the increasing ease in generating genomic data, as well as recent, although incomplete descriptions of potential COX sequences in Mollusca, Crustacea, and Insecta, assessing COX evolution across Metazoa is now possible. Here, we recover 40 putative COX orthologs by searching publicly available genomic resources as well as similar to 250 novel invertebrate transcriptomic datasets. Results suggest the common ancestor of Cnidaria and Bilateria possessed a COX homolog similar to those of vertebrates, although such homologs were not found in poriferan and ctenophore genomes. COX was found in most crustaceans and the majority of molluscs examined, but only specific taxa/lineages within Cnidaria and Annelida. For example, all octocorallians appear to have COX, while no COX homologs were found in hexacorallian datasets. Most species examined had a single homolog, although species-specific COX duplications were found in members of Annelida, Mollusca, and Cnidaria. Additionally, COX genes were not found in Hemichordata, Echinodermata, or Platyhelminthes, and the few previously described COX genes in Insecta lacked appreciable sequence homology (although structural analyses suggest these may still be functional COX enzymes). This analysis provides a benchmark for identifying COX homologs in future genomic and transcriptomic datasets, and identifies lineages for future studies of COX.</t>
  </si>
  <si>
    <t>[Havird, Justin C.; Kocot, Kevin M.; Brannock, Pamela M.; Cannon, Johanna T.; Waits, Damien S.; Weese, David A.; Santos, Scott R.; Halanych, Kenneth M.] Auburn Univ, Dept Biol Sci, Auburn, AL 36849 USA; [Havird, Justin C.; Kocot, Kevin M.; Brannock, Pamela M.; Cannon, Johanna T.; Waits, Damien S.; Weese, David A.; Santos, Scott R.; Halanych, Kenneth M.] Auburn Univ, Molette Biol Lab Environm &amp; Climate Change Studie, Auburn, AL 36849 USA</t>
  </si>
  <si>
    <t>Auburn University System; Auburn University; Auburn University System; Auburn University</t>
  </si>
  <si>
    <t>Havird, JC (corresponding author), Colorado State Univ, Dept Biol, Ft Collins, CO 80523 USA.</t>
  </si>
  <si>
    <t>justin.havird@colostate.edu</t>
  </si>
  <si>
    <t>Santos, Scott R/A-7472-2009; Kocot, Kevin/K-9087-2016; Halanych, Ken M/A-9480-2009; Havird, Justin C/C-3034-2013; Weese, David A/A-6879-2012; Cannon, Johanna/V-3842-2019</t>
  </si>
  <si>
    <t>Cannon, Johanna/0000-0002-3920-7741; Waits, Damien/0000-0003-0973-8629; Havird, Justin/0000-0002-8692-6503; Brannock, Pamela/0000-0003-1677-453X</t>
  </si>
  <si>
    <t>National Science Foundation grants Assembling the Tree of Life (DEB) [1036537]; Antarctic Organisms and Ecosystems (ANT) [1043745]; National Aeronautics and Space Administration [NNX13AJ31G]; Direct For Biological Sciences; Division Of Environmental Biology [1036537] Funding Source: National Science Foundation</t>
  </si>
  <si>
    <t>National Science Foundation grants Assembling the Tree of Life (DEB); Antarctic Organisms and Ecosystems (ANT); National Aeronautics and Space Administration(National Aeronautics &amp; Space Administration (NASA)); Direct For Biological Sciences; Division Of Environmental Biology(National Science Foundation (NSF)NSF - Directorate for Biological Sciences (BIO))</t>
  </si>
  <si>
    <t>This work was supported by National Science Foundation grants Assembling the Tree of Life (DEB #1036537) and Antarctic Organisms and Ecosystems (ANT#1043745) to K.M.H. and S.R.S. and National Aeronautics and Space Administration grant NNX13AJ31G to K.M.H. and K.M.K. This represents contributions #127 and #32 to the Auburn University (AU) Marine Biology Program and Molette Biology Laboratory for Environmental and Climate Change Studies, respectively.</t>
  </si>
  <si>
    <t>0022-2844</t>
  </si>
  <si>
    <t>1432-1432</t>
  </si>
  <si>
    <t>J MOL EVOL</t>
  </si>
  <si>
    <t>J. Mol. Evol.</t>
  </si>
  <si>
    <t>10.1007/s00239-015-9670-3</t>
  </si>
  <si>
    <t>Biochemistry &amp; Molecular Biology; Evolutionary Biology; Genetics &amp; Heredity</t>
  </si>
  <si>
    <t>CG5SM</t>
  </si>
  <si>
    <t>WOS:000353354700007</t>
  </si>
  <si>
    <t>Rippert, N; Baumann, KH; Pätzold, J</t>
  </si>
  <si>
    <t>Rippert, Nadine; Baumann, Karl-Heinz; Paetzold, Juergen</t>
  </si>
  <si>
    <t>Thermocline fluctuations in the western tropical Indian Ocean during the past 35 ka</t>
  </si>
  <si>
    <t>Indian Ocean; Mg; Ca; planktonic foraminifera; stratification; thermocline variations</t>
  </si>
  <si>
    <t>INTERMEDIATE WATER CIRCULATION; RADIOCARBON AGE CALIBRATION; SEA-SURFACE TEMPERATURES; PLANKTONIC-FORAMINIFERA; ARABIAN SEA; HEMISPHERE CONTROLS; MONSOON; PACIFIC; VARIABILITY; VENTILATION</t>
  </si>
  <si>
    <t>To reconstruct the still poorly understood thermocline fluctuations in the western tropical Indian Ocean, a sediment core located off Tanzania (GeoB12610-2; 04 degrees 49.00S, 39 degrees 25.42E, 399m water depth) covering the last 35 ka was analysed. Mg/Ca-derived temperatures from the planktonic foraminifera Globigerinoides ruber (white) and Neogloboquadrina dutertrei indicate that the last glacial was approximate to 2.5 degrees C colder in the surface waters and approximate to 3.5 degrees C colder in the thermocline compared with the present day. The depth of the thermocline and thus the stratification of the water column were shallower during glacial periods and deepened during the deglaciation and Holocene. The increased inflow of Southern Ocean Intermediate Waters via ocean tunnels' appears to cool the thermocline from below, leading to a similarity between the thermocline record of GeoB12610-2 with the Antarctic EDML temperature curve during the glacial. With rising sea level and the corresponding greater inflow of Red Sea Waters and Indonesian Intermediate Waters, the proportion of Southern Ocean Intermediate Water within the South Equatorial Current is reduced and, by Holocene time, the correlation to Antarctica is barely traceable. Comparison with the eastern Indian Ocean reveals that the thermocline depth reverses from the last glacial to present.</t>
  </si>
  <si>
    <t>[Rippert, Nadine] Alfred Wegener Inst Polar &amp; Marine Res, Helmholtz Ctr Polar &amp; Marine Res, D-27568 Bremerhaven, Germany; [Baumann, Karl-Heinz; Paetzold, Juergen] Univ Bremen, Fac Geosci, D-28359 Bremen, Germany; [Paetzold, Juergen] Univ Bremen, MARUM Ctr Marine Environm Sci, D-28359 Bremen, Germany</t>
  </si>
  <si>
    <t>Helmholtz Association; Alfred Wegener Institute, Helmholtz Centre for Polar &amp; Marine Research; University of Bremen; University of Bremen</t>
  </si>
  <si>
    <t>Rippert, N (corresponding author), Alfred Wegener Inst Polar &amp; Marine Res, Helmholtz Ctr Polar &amp; Marine Res, D-27568 Bremerhaven, Germany.</t>
  </si>
  <si>
    <t>nadine.rippert@awi.de</t>
  </si>
  <si>
    <t>Rippert, Nadine/N-4820-2017; Patzold, Jurgen/D-5111-2017</t>
  </si>
  <si>
    <t>Rippert, Nadine/0000-0003-1189-9464; Patzold, Jurgen/0000-0001-8074-4103</t>
  </si>
  <si>
    <t>DFG-Research Center/Cluster of Excellence 'The Ocean in the Earth System'</t>
  </si>
  <si>
    <t>DFG-Research Center/Cluster of Excellence 'The Ocean in the Earth System'(German Research Foundation (DFG))</t>
  </si>
  <si>
    <t>We thank the captain, crew and participants of R/V Meteor cruise M75/2 for retrieving the studied material. Monika Segl and Mahyar Mohtadi are acknowledged for their assistance in stable isotope and radiocarbon dating. We are grateful to Stephan Steinke, Jeroen Groeneveld and Cornelia Kwiatkowski for their help with the Mg/Ca preparation, error analysis and valuable discussions on early versions of the manuscript. We thank Matthias Prange and Andrea Klus for their assistance with RAMPFIT. Walter Hale is thanked for proofreading. This work was funded through DFG-Research Center/Cluster of Excellence 'The Ocean in the Earth System'. We thank the editor Antony Long and two anonymous reviewers for their help in improving the quality of the manuscript.</t>
  </si>
  <si>
    <t>10.1002/jqs.2767</t>
  </si>
  <si>
    <t>CG6IS</t>
  </si>
  <si>
    <t>WOS:000353403800002</t>
  </si>
  <si>
    <t>Chumakov, NM</t>
  </si>
  <si>
    <t>Chumakov, N. M.</t>
  </si>
  <si>
    <t>The role of glaciations in the biosphere</t>
  </si>
  <si>
    <t>RUSSIAN GEOLOGY AND GEOPHYSICS</t>
  </si>
  <si>
    <t>glacioeras; glacioperiods; ecologic crises; extinction; stagnation; bionovation</t>
  </si>
  <si>
    <t>PALEOZOIC ICE-AGE; SOUTH-AUSTRALIA; SNOWBALL EARTH; EXTINCTION; EVENTS; ORIGINATION; CONSTRAINTS; DEPOSITS; TILLITE; AFRICA</t>
  </si>
  <si>
    <t>Glaciations took place in five long intervals of the geologic history, called glacioeras: Kaapvaal (Late Archean), Huronian (Early Proterozoic), African (Late Proterozoic), Gondwanan (Paleozoic), and unfinished Antarctic (Late Cenozoic). The glacioeras were similar in structure, duration, and dynamics of evolution. They consisted of three to six glacioperiods including several discrete glacio-epochs. The glacioeras lasted similar to 200 Myr. They started with small regional glaciations, which expanded, reached intercontinental sizes, and then quickly degraded. There were serious differences between the Precambrian and Phanerozoic glacioeras. A series of ecologic crises related to numerous glacial events led first to abiotic and then to biotic factors. Glaciations caused extinction and stagnation of the Earth's biota, the appearance of bionovations and new biota, and acceleration of evolution processes. Thus, the glacioeras were the turning intervals of the biosphere evolution. (C) 2015, V.S. Sobolev IGM, Siberian Branch of the RAS. Published by Elsevier B.V. All rights reserved.</t>
  </si>
  <si>
    <t>Russian Acad Sci, Inst Geol, Moscow 119017, Russia</t>
  </si>
  <si>
    <t>Russian Academy of Sciences; Geological Institute, Russian Academy of Sciences</t>
  </si>
  <si>
    <t>Chumakov, NM (corresponding author), Russian Acad Sci, Inst Geol, Pyzhevskii 7, Moscow 119017, Russia.</t>
  </si>
  <si>
    <t>chumakov@ginras.ru</t>
  </si>
  <si>
    <t>RUSSIAN ACAD SCIENCES, SIBERIAN BRANCH, VS SOBOLEV INST GEOL &amp; MINEROL</t>
  </si>
  <si>
    <t>NOVOSIBIRSK</t>
  </si>
  <si>
    <t>PR-KT AK. KOPTYUGA, 3, NOVOSIBIRSK, 630090, RUSSIA</t>
  </si>
  <si>
    <t>1068-7971</t>
  </si>
  <si>
    <t>1878-030X</t>
  </si>
  <si>
    <t>RUSS GEOL GEOPHYS+</t>
  </si>
  <si>
    <t>Russ. Geol. Geophys.</t>
  </si>
  <si>
    <t>10.1016/j.rgg.2015.03.006</t>
  </si>
  <si>
    <t>CG3XD</t>
  </si>
  <si>
    <t>WOS:000353212000006</t>
  </si>
  <si>
    <t>Inoue, M; Fraser, AD; Adams, N; Carpentier, S; Phillips, HE</t>
  </si>
  <si>
    <t>Inoue, Mana; Fraser, Alexander D.; Adams, Neil; Carpentier, Scott; Phillips, Helen E.</t>
  </si>
  <si>
    <t>An Assessment of Numerical Weather Prediction-Derived Low-Cloud-Base Height Forecasts</t>
  </si>
  <si>
    <t>WEATHER AND FORECASTING</t>
  </si>
  <si>
    <t>Antarctica; Forecast verification; skill; Forecasting techniques; Numerical weather prediction; forecasting</t>
  </si>
  <si>
    <t>SUBVISUAL CIRRUS CLOUDS; MODEL PERFORMANCE; HUMIDITY</t>
  </si>
  <si>
    <t>As demand for flight operations in Antarctica grows, accurate weather forecasting of cloud properties such as extent, cloud base, and cloud-top altitude becomes essential. The primary aims of this work are to ascertain relationships between numerical weather prediction (NWP) model output variables and surface-observed cloud properties and to develop low-cloud-base (&lt;2000 m) height prediction algorithms for use across Antarctica to assist in low-cloud forecasting for aircraft operations. NWP output and radiosonde data are assessed against surface observations, and the relationship between the relative humidity RH profile and the height of the observed low-cloud base is investigated. The ability of NWP-derived RH and ice-water cloud optical depth profiles to represent the observed low-cloud conditions around each of the three Australian stations in East Antarctica is assessed. NWP-derived RH is drier than that reported by radiosonde from ground level up to similar to 2000 m. This trend reverses in the higher troposphere, and the largest positive difference is observed at similar to 10 000 m. A consequence is very low RH thresholds are needed for low-cloud-base height prediction using NWP RH profiles. RH and optical depth-based threshold techniques all show skill in reproducing the observed cloud-base height at all Australian Antarctic stations, but the radiosonde-derived RH technique is superior in all cases. This comparison of three low-cloud-base height retrieval techniques provides the first documented assessment of the relative efficacy of each technique in Antarctica.</t>
  </si>
  <si>
    <t>[Inoue, Mana; Phillips, Helen E.] Univ Tasmania, Inst Marine &amp; Antarctic Studies, Hobart, Tas 7001, Australia; [Inoue, Mana; Fraser, Alexander D.] Univ Tasmania, Antarctic Climate &amp; Ecosyst Cooperat Res Ctr, Hobart, Tas 7001, Australia; [Fraser, Alexander D.] Hokkaido Univ, Inst Low Temp Sci, Sapporo, Hokkaido 060, Japan; [Adams, Neil; Carpentier, Scott] Australian Bur Meteorol, Hobart, Tas, Australia</t>
  </si>
  <si>
    <t>University of Tasmania; Antarctic Climate &amp; Ecosystems Cooperative Research Centre (ACE CRC); University of Tasmania; Hokkaido University; Bureau of Meteorology - Australia</t>
  </si>
  <si>
    <t>Inoue, M (corresponding author), Univ Tasmania, Antarctic Climate &amp; Ecosyst Cooperat Res Ctr, Inst Marine &amp; Antarctic Studies, Private Bag 129, Hobart, Tas 7001, Australia.</t>
  </si>
  <si>
    <t>mana.inoue@utas.edu.au</t>
  </si>
  <si>
    <t>Fraser, Alexander/AFO-7186-2022; Phillips, Helen/I-3761-2013</t>
  </si>
  <si>
    <t>Fraser, Alexander/0000-0003-1924-0015; Phillips, Helen/0000-0002-2941-7577</t>
  </si>
  <si>
    <t>Australian Government Cooperative Research Centres Programme through the Australian Bureau of Meteorology; Antarctic Climate &amp; Ecosystems Cooperative Research Centre (ACE CRC); Japan Society for the Promotion of Science (JSPS) KAKENHI [25.03748]; Grants-in-Aid for Scientific Research [13F03748] Funding Source: KAKEN</t>
  </si>
  <si>
    <t>Australian Government Cooperative Research Centres Programme through the Australian Bureau of Meteorology(Australian GovernmentDepartment of Industry, Innovation and ScienceCooperative Research Centres (CRC) Programme); Antarctic Climate &amp; Ecosystems Cooperative Research Centre (ACE CRC)(Australian GovernmentDepartment of Industry, Innovation and ScienceCooperative Research Centres (CRC) Programme); Japan Society for the Promotion of Science (JSPS) KAKENHI(Ministry of Education, Culture, Sports, Science and Technology, Japan (MEXT)Japan Society for the Promotion of ScienceGrants-in-Aid for Scientific Research (KAKENHI)); Grants-in-Aid for Scientific Research(Ministry of Education, Culture, Sports, Science and Technology, Japan (MEXT)Japan Society for the Promotion of ScienceGrants-in-Aid for Scientific Research (KAKENHI))</t>
  </si>
  <si>
    <t>This work was carried out with the support of the Australian Government Cooperative Research Centres Programme through the Australian Bureau of Meteorology and the Antarctic Climate &amp; Ecosystems Cooperative Research Centre (ACE CRC), and was supported by Japan Society for the Promotion of Science (JSPS) KAKENHI Grant 25.03748.</t>
  </si>
  <si>
    <t>0882-8156</t>
  </si>
  <si>
    <t>1520-0434</t>
  </si>
  <si>
    <t>WEATHER FORECAST</t>
  </si>
  <si>
    <t>Weather Forecast.</t>
  </si>
  <si>
    <t>10.1175/WAF-D-14-00052.1</t>
  </si>
  <si>
    <t>CG2KN</t>
  </si>
  <si>
    <t>WOS:000353103600015</t>
  </si>
  <si>
    <t>Makhalanyane, TP; Valverde, A; Velázquez, D; Gunnigle, E; Van Goethem, MW; Quesada, A; Cowan, DA</t>
  </si>
  <si>
    <t>Makhalanyane, Thulani P.; Valverde, Angel; Velazquez, David; Gunnigle, Eoin; Van Goethem, Marc W.; Quesada, Antonio; Cowan, Don A.</t>
  </si>
  <si>
    <t>Ecology and biogeochemistry of cyanobacteria in soils, permafrost, aquatic and cryptic polar habitats</t>
  </si>
  <si>
    <t>Cyanobacteria; Antarctica; Arctic; Soil; Aquatic; Cryptic niches biogeochemistry</t>
  </si>
  <si>
    <t>MCMURDO DRY VALLEYS; HYPOLITHIC MICROBIAL COMMUNITIES; ICE SHELF; CLIMATE-CHANGE; TAYLOR VALLEY; BACTERIAL DIVERSITY; CRYOCONITE HOLES; MAT COMMUNITIES; MELTWATER PONDS; BYERS PENINSULA</t>
  </si>
  <si>
    <t>Polar Regions (continental Antarctica and the Arctic) are characterized by a range of extreme environmental conditions, which impose severe pressures on biological life. Polar cold-active cyanobacteria are uniquely adapted to withstand the environmental conditions of the high latitudes. These adaptations include high ultra-violet radiation and desiccation tolerance, and mechanisms to protect cells from freeze-thaw damage. As the most widely distributed photoautotrophs in these regions, cyanobacteria are likely the dominant contributors of critically essential ecosystem services, particularly carbon and nitrogen turnover in terrestrial polar habitats. These habitats include soils, permafrost, cryptic niches (including biological soil crusts, hypoliths and endoliths), ice and snow, and a range of aquatic habitats. Here we review current literature on the ecology, and the functional role played by cyanobacteria in various Arctic and Antarctic environments. We focus on the ecological importance of cyanobacterial communities in Polar Regions and assess what is known regarding the toxins they produce. We also review the responses and adaptations of cyanobacteria to extreme environments.</t>
  </si>
  <si>
    <t>[Makhalanyane, Thulani P.; Valverde, Angel; Gunnigle, Eoin; Van Goethem, Marc W.; Cowan, Don A.] Univ Pretoria, Dept Genet, Ctr Microbial Ecol &amp; Genom, ZA-0028 Pretoria, South Africa; [Velazquez, David; Quesada, Antonio] Univ Autonoma Madrid, Dept Biol, E-28049 Madrid, Spain</t>
  </si>
  <si>
    <t>University of Pretoria; Autonomous University of Madrid</t>
  </si>
  <si>
    <t>Cowan, DA (corresponding author), Univ Pretoria, Dept Genet, Ctr Microbial Ecol &amp; Genom, ZA-0028 Pretoria, South Africa.</t>
  </si>
  <si>
    <t>Van Goethem, Marc Warwick/HNC-2411-2023; Van Goethem, Marc/AAV-3022-2020; Cowan, Donald A/E-3991-2012; Makhalanyane, Thulani P./C-6815-2012; Van Goethem, Marc/IZE-2222-2023; Quesada, Antonio/L-2430-2013; Valverde, Angel/C-1308-2009; Velazquez, David/M-2309-2017</t>
  </si>
  <si>
    <t>Van Goethem, Marc Warwick/0000-0001-8688-3323; Cowan, Donald A/0000-0001-8059-861X; Makhalanyane, Thulani P./0000-0002-8173-1678; Quesada, Antonio/0000-0002-8913-5993; Valverde, Angel/0000-0003-0439-9605; Velazquez, David/0000-0002-4127-8370</t>
  </si>
  <si>
    <t>University of Pretoria Research Development Program; Genomics Research Institute; The National Research Foundation (NRF) of South Africa's National Antarctic Program (SANAP program); Ministerio de Economia y Competitividad (Spain) [CTM 2011-28736]</t>
  </si>
  <si>
    <t>University of Pretoria Research Development Program; Genomics Research Institute; The National Research Foundation (NRF) of South Africa's National Antarctic Program (SANAP program); Ministerio de Economia y Competitividad (Spain)</t>
  </si>
  <si>
    <t>We wish to gratefully acknowledge the University of Pretoria Research Development Program (TPM), Genomics Research Institute, The National Research Foundation (NRF) of South Africa's National Antarctic Program (SANAP program) (TPM, AV, EG. MWVG, DAC) and Ministerio de Economia y Competitividad (Spain): Grant ref CTM 2011-28736 (DV, AQ) for funding. We also wish to express our gratitude to Antarctica New Zealand for providing logistics support for our Antarctic research and Prof Craig Cary (University of Waikato NZTABS program) for facilitating access to Antarctica.</t>
  </si>
  <si>
    <t>10.1007/s10531-015-0902-z</t>
  </si>
  <si>
    <t>CF7FA</t>
  </si>
  <si>
    <t>WOS:000352720400007</t>
  </si>
  <si>
    <t>de los Ríos, A; Ascaso, C; Wierzchos, J; Vincent, WF; Quesada, A</t>
  </si>
  <si>
    <t>de los Rios, Asuncion; Ascaso, Carmen; Wierzchos, Jacek; Vincent, Warwick F.; Quesada, Antonio</t>
  </si>
  <si>
    <t>Microstructure and cyanobacterial composition of microbial mats from the High Arctic</t>
  </si>
  <si>
    <t>Cyanobacteria; Habitat stability; Microbial ecology; Polar regions; Water availability</t>
  </si>
  <si>
    <t>MCMURDO ICE SHELF; EXOPOLYMERIC SUBSTANCES; ANTARCTIC CYANOBACTERIA; CARBONATE PRECIPITATION; PIGMENT STRUCTURE; HYPERSALINE LAKE; SEA-ICE; COMMUNITIES; DIVERSITY; ISLAND</t>
  </si>
  <si>
    <t>Arctic lakes, ponds and streams contain benthic microbial mats that are dominated by cyanobacteria, and these communities often account for a large proportion of the total ecosystem biomass and productivity. The vertical structure and composition of mats from two different aquatic habitats in the Canadian High Arctic, Ward Hunt Lake and a polar desert stream were analyzed in detail by microscopy techniques. Two distinct layers were identified in each mat: a surface layer with a high density of cells and associated extracellular polymeric substances (EPS), and a less cohesive bottom layer with an accumulation of mineral particles. The matrix formed by the cyanobacterial filaments and EPS produced the complex microstructure of all three mats, and likely favoured different microenvironments where specialized microbial interactions and biomineralization processes could take place. Structural and compositional differences were found among the mats. The lake mat had a surface layer of Dichothrix, and contained abundant particles of calcium carbonate, while Tychonema-like and Tolypothrix-like appeared mainly in the stream mats, along with a higher diversity of Chroococcales. A black microbial mat from one of the stream sites had markedly lower diversity than the other mat types. The observed differences in cyanobacterial composition and physical structure may be related to habitat stability and the availability of liquid water.</t>
  </si>
  <si>
    <t>[de los Rios, Asuncion; Ascaso, Carmen; Wierzchos, Jacek] CSIC, Museo Nacl Ciencias Nat, E-28006 Madrid, Spain; [Vincent, Warwick F.] Univ Laval, CEN, Quebec City, PQ G1V 0A6, Canada; [Vincent, Warwick F.] Univ Laval, Dept Biol, Quebec City, PQ G1V 0A6, Canada; [Quesada, Antonio] Univ Autonoma Madrid, Dpt Biol, E-28049 Madrid, Spain</t>
  </si>
  <si>
    <t>Consejo Superior de Investigaciones Cientificas (CSIC); CSIC - Museo Nacional de Ciencias Naturales (MNCN); Laval University; Laval University; Autonomous University of Madrid</t>
  </si>
  <si>
    <t>de los Ríos, A (corresponding author), CSIC, Museo Nacl Ciencias Nat, Serrano 115 Dpdo, E-28006 Madrid, Spain.</t>
  </si>
  <si>
    <t>arios@mncn.csic.es</t>
  </si>
  <si>
    <t>de los Rios, Asuncion/L-3694-2014; Vincent, Warwick/AAH-6152-2019; Quesada, Antonio/L-2430-2013; Wierzchos, Jacek/F-7036-2011; Ascaso, Carmen/F-5369-2011</t>
  </si>
  <si>
    <t>de los Rios, Asuncion/0000-0002-0266-3516; Vincent, Warwick/0000-0001-9055-1938; Quesada, Antonio/0000-0002-8913-5993; Wierzchos, Jacek/0000-0003-3084-3837; Ascaso, Carmen/0000-0001-9665-193X</t>
  </si>
  <si>
    <t>Spanish Ministry of Economy and Competitiveness [REN2000-0435, CGL2005-06549, POL2006-06635, CTM2011-28736]; [CTM2012-38222-C02-02]; [CGL2013-42509]</t>
  </si>
  <si>
    <t>Spanish Ministry of Economy and Competitiveness(Spanish Government); ;</t>
  </si>
  <si>
    <t>We are grateful to PCPS for the logistic support to the High Arctic and Parks Canada for access to their facilities in Quttinirpaaq National Park. This project was funded by the Grants REN2000-0435, CGL2005-06549, POL2006-06635 and CTM2011-28736 from Spanish Ministry of Economy and Competitiveness, with funding of the microscopy studies through grants CTM2012-38222-C02-02 and CGL2013-42509. Additional support was provided by the Natural Sciences and Engineering Research Council of Canada and the Canada Research Chair program. The authors would like to thank to ICA and the MNCN (CSIC) microscopy services staff for technical assistance.</t>
  </si>
  <si>
    <t>10.1007/s10531-015-0907-7</t>
  </si>
  <si>
    <t>WOS:000352720400008</t>
  </si>
  <si>
    <t>Lu, FSH; Bruheim, I; Ale, MT; Jacobsen, C</t>
  </si>
  <si>
    <t>Lu, Fung Sieng Henna; Bruheim, Inge; Ale, Marcel Tutor; Jacobsen, Charlotte</t>
  </si>
  <si>
    <t>The effect of thermal treatment on the quality changes of Antartic krill meal during the manufacturing process: High processing temperatures decrease product quality</t>
  </si>
  <si>
    <t>EUROPEAN JOURNAL OF LIPID SCIENCE AND TECHNOLOGY</t>
  </si>
  <si>
    <t>Krill; Lipid oxidation; Non-enzymatic browning; Pyrrole formation; Strecker degradation</t>
  </si>
  <si>
    <t>NONENZYMATIC BROWNING REACTIONS; VOLATILE COMPOUNDS; ANTARCTIC KRILL; OXIDATIVE-DEGRADATION; LIPID OXIDATION; AMINO-ACIDS; OIL; GLUCOSAMINE</t>
  </si>
  <si>
    <t>The quality of krill products is influenced by their manufacturing process and could be evaluated by their degradation products from lipid oxidation and non-enzymatic browning reactions. The main objectives of this study were: (i) to investigate the effect of thermal treatment on these two reactions in krill products during their manufacturing process; and (ii) to understand and postulate the possible mechanisms for non-enzymatic browning reactions in krill products. Characterisation of krill products at different stages was obtained by determination of their lipid composition (lipid classes and phospholipids), antioxidant (-tocopherol and astaxanthin esters) and volatile profiles (degradation products from lipid oxidation and Strecker degradation). The use of thermal treatment resulted in lipid oxidation and subsequently led to the development of non-enzymatic browning reactions in krill products during their manufacturing process. It is hypothesized that non-enzymatic browning reactions in krill products might occur through Maillard reaction or lipid peroxidation pathways. Practical applications: The quality of krill products is influenced by the temperature used during their manufacturing process, and the occurrence of their degradative reactions is influenced by the chemical composition and matrix of krill products. This work provides information about the possible mechanisms of the two most commonly found reactions in the food system namely, lipid oxidation and non-enzymatic browning reactions. This information is not only applicable to krill products but also to other food matrices containing lipid, protein, sugar, etc.</t>
  </si>
  <si>
    <t>[Lu, Fung Sieng Henna; Jacobsen, Charlotte] Tech Univ Denmark, Div Ind Food Res, DK-2800 Lyngby, Denmark; [Bruheim, Inge] Olymp Seafood AS, Fosnavaag, Norway; [Ale, Marcel Tutor] Tech Univ Denmark, Dept Chem &amp; Biochem Engn, DK-2800 Lyngby, Denmark</t>
  </si>
  <si>
    <t>Technical University of Denmark; Technical University of Denmark</t>
  </si>
  <si>
    <t>Lu, FSH (corresponding author), Tech Univ Denmark, Div Ind Food Res, Bldg 221, DK-2800 Lyngby, Denmark.</t>
  </si>
  <si>
    <t>lfshenna@gmail.com</t>
  </si>
  <si>
    <t>; Jacobsen, Charlotte/C-3678-2008</t>
  </si>
  <si>
    <t>Ale, Marcel Tutor/0000-0001-6417-0891; Jacobsen, Charlotte/0000-0003-3540-9669</t>
  </si>
  <si>
    <t>Norwegian Research Council</t>
  </si>
  <si>
    <t>Norwegian Research Council(Research Council of Norway)</t>
  </si>
  <si>
    <t>The authors wish to acknowledge the financial support from Norwegian Research Council. Furthermore, we would like to thank Olympic Seafood AS (Fosnavaag, Norway) for krill based products taken at different stages during their manufacturing process and Bjorn Ole Haugsgjerd for the help in analyzing the lipid classes and astaxanthin ester of krill samples.</t>
  </si>
  <si>
    <t>1438-7697</t>
  </si>
  <si>
    <t>1438-9312</t>
  </si>
  <si>
    <t>EUR J LIPID SCI TECH</t>
  </si>
  <si>
    <t>Eur. J. Lipid Sci. Technol.</t>
  </si>
  <si>
    <t>10.1002/ejlt.201400280</t>
  </si>
  <si>
    <t>Food Science &amp; Technology; Nutrition &amp; Dietetics</t>
  </si>
  <si>
    <t>CF5CK</t>
  </si>
  <si>
    <t>WOS:000352572800001</t>
  </si>
  <si>
    <t>Guo, WB; Cui, PF; Chen, XH</t>
  </si>
  <si>
    <t>Guo, Wenbin; Cui, Pengfei; Chen, Xinhua</t>
  </si>
  <si>
    <t>Complete genome of Bacillus sp Pc3 isolated from the Antarctic seawater with antimicrobial activity</t>
  </si>
  <si>
    <t>MARINE GENOMICS</t>
  </si>
  <si>
    <t>Bacillus; Antarctic seawater; Antimicrobial activity; Complete genome</t>
  </si>
  <si>
    <t>RNA GENES; DATABASE; PROGRAM</t>
  </si>
  <si>
    <t>Bacillus sp. Pc3 was isolated from the Antarctic seawater with strong antifungal activity against several plant pathogenic fungi. Here, we report the complete sequence of the 3.9-Mbp genome of this strain. The genome sequence may provide fundamental molecular information on elucidating the metabolic pathway of antimicrobial compounds in this strain. (C) 2015 Elsevier B.V. All rights reserved.</t>
  </si>
  <si>
    <t>[Guo, Wenbin; Cui, Pengfei; Chen, Xinhua] State Ocean Adm, Inst Oceanog 3, Key Lab Marine Biogenet Resources, Xiamen 361005, Fujian, Peoples R China</t>
  </si>
  <si>
    <t>Third Institute of Oceanography, Ministry of Natural Resources</t>
  </si>
  <si>
    <t>Chen, XH (corresponding author), State Ocean Adm, Inst Oceanog 3, Key Lab Marine Biogenet Resources, Xiamen 361005, Fujian, Peoples R China.</t>
  </si>
  <si>
    <t>chenxinhua@tio.org.cn</t>
  </si>
  <si>
    <t>Guo, Wenbin/0000-0001-7197-6260</t>
  </si>
  <si>
    <t>Natural Science Foundation of China [41306166]; Scientific Research Project of the Marine Public Welfare Industry of China [201205020]; National Key Basic Research Program of China [2015CB755903]; China Polar Environment Comprehensive Investigation and Assessment Program [CHINARE2015-01-06]; Xiamen South Ocean Research Center [13GZP002NF08]</t>
  </si>
  <si>
    <t>Natural Science Foundation of China(National Natural Science Foundation of China (NSFC)); Scientific Research Project of the Marine Public Welfare Industry of China; National Key Basic Research Program of China(National Basic Research Program of China); China Polar Environment Comprehensive Investigation and Assessment Program; Xiamen South Ocean Research Center</t>
  </si>
  <si>
    <t>The study was financially supported by grants from the Natural Science Foundation of China (41306166), Scientific Research Project of the Marine Public Welfare Industry of China (201205020), National Key Basic Research Program of China (2015CB755903), China Polar Environment Comprehensive Investigation and Assessment Program (CHINARE2015-01-06), and Xiamen South Ocean Research Center (13GZP002NF08).</t>
  </si>
  <si>
    <t>1874-7787</t>
  </si>
  <si>
    <t>1876-7478</t>
  </si>
  <si>
    <t>MAR GENOM</t>
  </si>
  <si>
    <t>Mar. Genom.</t>
  </si>
  <si>
    <t>10.1016/j.margen.2015.01.004</t>
  </si>
  <si>
    <t>Genetics &amp; Heredity; Marine &amp; Freshwater Biology</t>
  </si>
  <si>
    <t>CF6KS</t>
  </si>
  <si>
    <t>WOS:000352666200001</t>
  </si>
  <si>
    <t>Gerdol, M; Buonocore, F; Scapigliati, G; Pallavicini, A</t>
  </si>
  <si>
    <t>Gerdol, Marco; Buonocore, Francesco; Scapigliati, Giuseppe; Pallavicini, Alberto</t>
  </si>
  <si>
    <t>Analysis and characterization of the head kidney transcriptome from the Antarctic fish Trematomus bernacchii (Teleostea, Notothenioidea): A source for immune relevant genes</t>
  </si>
  <si>
    <t>RNA-seq; Transcriptome; Notothenioid; Immunity; Head kidney</t>
  </si>
  <si>
    <t>EXPRESSION; SEQUENCE; CELLS; COLD</t>
  </si>
  <si>
    <t>In this study we describe the de novo assembled head kidney transcriptome of the Antarctic notothenioid fish Trematomus bernacchii, an important model species for biochemical, environmental and immunological studies. RNA-seq data was generated using Illumina paired-end sequencing, obtaining similar to 7 Gbp of sequence data, which were assembled into 96,641 contigs and annotated with the Trinotate pipeline. Since this sequence collection is expected to contain a relevant number of immunity-related transcripts, it will be used as a reference for future immunological studies in this species. (C) 2015 Elsevier B.V All rights reserved.</t>
  </si>
  <si>
    <t>[Gerdol, Marco; Pallavicini, Alberto] Univ Trieste, Dept Life Sci, I-34127 Trieste, TS, Italy; [Buonocore, Francesco; Scapigliati, Giuseppe] Univ Tuscia, Dept Innovat Biol Agrofood &amp; Forest Syst, Viterbo, VT, Italy</t>
  </si>
  <si>
    <t>University of Trieste; Tuscia University</t>
  </si>
  <si>
    <t>Pallavicini, A (corresponding author), Univ Trieste, Dept Life Sci, Via Giorgieri 5, I-34127 Trieste, TS, Italy.</t>
  </si>
  <si>
    <t>mgerdol@units.it; fbuono@unitus.it; scapigg@unitus.it; pallavic@units.it</t>
  </si>
  <si>
    <t>Buonocore, Francesco/AAA-5236-2020; Gerdol, Marco/D-2115-2013; Pallavicini, Alberto/H-9281-2019</t>
  </si>
  <si>
    <t>Gerdol, Marco/0000-0001-6411-0813; Pallavicini, Alberto/0000-0001-7174-4603; scapigliati, giuseppe/0000-0001-9730-9394; Buonocore, Francesco/0000-0001-8045-5651</t>
  </si>
  <si>
    <t>Italian Program of Antarctic Research [PROGDEF09_118]</t>
  </si>
  <si>
    <t>Italian Program of Antarctic Research</t>
  </si>
  <si>
    <t>This work was supported by the Italian Program of Antarctic Research (Project PROGDEF09_118) which allowed fish collection. We are grateful to the reviewers for the useful suggestions provided during the peer review process.</t>
  </si>
  <si>
    <t>10.1016/j.margen.2014.12.005</t>
  </si>
  <si>
    <t>WOS:000352666200005</t>
  </si>
  <si>
    <t>Goodrich, CA; Hartmann, WK; O'Brien, DP; Weidenschilling, SJ; Wilson, L; Michel, P; Jutzi, M</t>
  </si>
  <si>
    <t>Goodrich, Cyrena Anne; Hartmann, William K.; O'Brien, David P.; Weidenschilling, Stuart J.; Wilson, Lionel; Michel, Patrick; Jutzi, Martin</t>
  </si>
  <si>
    <t>Origin and history of ureilitic material in the solar system: The view from asteroid 2008 TC3 and the Almahata Sitta meteorite</t>
  </si>
  <si>
    <t>METEORITICS &amp; PLANETARY SCIENCE</t>
  </si>
  <si>
    <t>OXYGEN-ISOTOPE COMPOSITION; PARENT BODIES; ENSTATITE CHONDRITES; CARBONACEOUS CHONDRITES; CATASTROPHIC DISRUPTION; VELOCITY DISTRIBUTIONS; PRIMORDIAL EXCITATION; ANTARCTIC UREILITES; IMPACT EXPERIMENTS; POLYMICT BRECCIA</t>
  </si>
  <si>
    <t>Asteroid 2008 TC3 (approximately 4m diameter) was tracked and studied in space for approximately 19h before it impacted Earth's atmosphere, shattering at 44-36km altitude. The recovered samples (&gt;680 individual rocks) comprise the meteorite Almahata Sitta (AhS). Approximately 50-70% of these are ureilites (ultramafic achondrites). The rest are chondrites, mainly enstatite, ordinary, and Rumuruti types. The goal of this work is to understand how fragments of so many different types of parent bodies became mixed in the same asteroid. Almahata Sitta has been classified as a polymict ureilite with an anomalously high component of foreign clasts. However, we calculate that the mass of fallen material was 0.1% of the pre-atmospheric mass of the asteroid. Based on published data for the reflectance spectrum of the asteroid and laboratory spectra of the samples, we infer that the lost material was mostly ureilitic. Therefore, 2008 TC3 probably contained only a few percent nonureilitic materials, similar to other polymict ureilites except less well consolidated. From available data for the AhS meteorite fragments, we conclude that 2008 TC3 samples essentially the same range of types of ureilitic and nonureilitic materials as other polymict ureilites. We therefore suggest that the immediate parent of 2008 TC3 was the immediate parent of all ureilitic material sampled on Earth. We trace critical stages in the evolution of that material through solar system history. Based on various types of new modeling and re-evaluation of published data, we propose the following scenario. (1) The ureilite parent body (UPB) accreted 0.5-0.6Ma after formation of calcium-aluminum-rich inclusions (CAI), beyond the ice line (outer asteroid belt). Differentiation began approximately 1Ma after CAI. (2) The UPB was catastrophically disrupted by a major impact approximately 5Ma after CAI, with selective subsets of the fragments reassembling into daughter bodies. (3) Either the UPB (before breakup), or one of its daughters (after breakup), migrated to the inner belt due to scattering by massive embryos. (4) One daughter (after forming in or migrating to the inner belt) became the parent of 2008 TC3. It developed a regolith, mostly 3.8Ga ago. Clasts of enstatite, ordinary, and Rumuruti-type chondrites were implanted by low-velocity collisions. (5) Recently, the daughter was disrupted. Fragments were injected or drifted into Earth-crossing orbits. 2008 TC3 comes from outer layers of regolith, other polymict ureilites from deeper regolith, and main group ureilites from the interior of this body. In contrast to other models that have been proposed, this model invokes a stochastic history to explain the unique diversity of foreign materials in 2008 TC3 and other polymict ureilites.</t>
  </si>
  <si>
    <t>[Goodrich, Cyrena Anne; Hartmann, William K.; O'Brien, David P.] Planetary Sci Inst, Tucson, AZ 85719 USA; [Weidenschilling, Stuart J.; Wilson, Lionel] Univ Lancaster, Lancaster Environm Ctr, Lancaster LA1 4YQ, England; [Michel, Patrick] CNRS, Observ Cote Azur, UMR Cassiopee 6202, F-06304 Nice 4, France; [Jutzi, Martin] Univ Bern, Inst Phys, Ctr Space &amp; Habitabil, Space Res &amp; Planetary Sci, Bern, Switzerland</t>
  </si>
  <si>
    <t>Lancaster University; Universite Cote d'Azur; Observatoire de la Cote d'Azur; Centre National de la Recherche Scientifique (CNRS); University of Bern</t>
  </si>
  <si>
    <t>Goodrich, CA (corresponding author), Planetary Sci Inst, 1700 E Ft Lowell, Tucson, AZ 85719 USA.</t>
  </si>
  <si>
    <t>cgoodrich@psi.edu</t>
  </si>
  <si>
    <t>Michel, Patrick/P-8339-2018</t>
  </si>
  <si>
    <t>Michel, Patrick/0000-0002-0884-1993; Jutzi, Martin/0000-0002-1800-2974; O'Brien, David/0000-0002-9262-5168</t>
  </si>
  <si>
    <t>NASA OSS [NNX12AI84G]; NASA [NNX12AH74G]; French space agency CNES; Natural Environment Research Council [ceh010010] Funding Source: researchfish; NASA [19756, NNX12AH74G] Funding Source: Federal RePORTER</t>
  </si>
  <si>
    <t>NASA OSS; NASA(National Aeronautics &amp; Space Administration (NASA)); French space agency CNES(Centre National D'etudes Spatiales); Natural Environment Research Council(UK Research &amp; Innovation (UKRI)Natural Environment Research Council (NERC)); NASA(National Aeronautics &amp; Space Administration (NASA))</t>
  </si>
  <si>
    <t>We thank Addi Bischoff, Peter Jenniskens, Noriko Kita, Susanne Schwenzer, and Mike Zolensky for interesting and helpful discussions. The first author is indebted to Michael J. Drake for many years of support, encouragement, and interest in ureilites. We are grateful to reviewers Edward Scott, Allan Treiman, and the associate editor John Jones for their helpful comments and suggestions, which led to significant improvement of this manuscript. This work was supported by NASA OSS grant #NNX12AI84G and NASA Cosmochemistry grant #NNX12AH74G. P.M. acknowledges support from the French space agency CNES.</t>
  </si>
  <si>
    <t>1086-9379</t>
  </si>
  <si>
    <t>1945-5100</t>
  </si>
  <si>
    <t>METEORIT PLANET SCI</t>
  </si>
  <si>
    <t>Meteorit. Planet. Sci.</t>
  </si>
  <si>
    <t>10.1111/maps.12401</t>
  </si>
  <si>
    <t>CF5VL</t>
  </si>
  <si>
    <t>WOS:000352625200016</t>
  </si>
  <si>
    <t>Alexander, CMO; Bowden, R; Fogel, ML; Howard, KT</t>
  </si>
  <si>
    <t>Alexander, C. M. O'D.; Bowden, R.; Fogel, M. L.; Howard, K. T.</t>
  </si>
  <si>
    <t>Carbonate abundances and isotopic compositions in chondrites</t>
  </si>
  <si>
    <t>INSOLUBLE ORGANIC-MATTER; MOLAL THERMODYNAMIC PROPERTIES; AQUEOUS ALTERATION; OXYGEN-ISOTOPE; TAGISH LAKE; SPECTROSCOPIC SURVEY; CM CHONDRITES; CI CHONDRITES; PARENT BODIES; WATER ICE</t>
  </si>
  <si>
    <t>We report the bulk C abundances, and C and O isotopic compositions of carbonates in 64 CM chondrites, 14 CR chondrites, 2 CI chondrites, LEW 85332 (C2), Kaba (CV3), and Semarkona (LL3.0). For the unheated CMs, the total ranges of carbonate isotopic compositions are C-13 approximate to 25-75 parts per thousand and O-18 approximate to 15-35 parts per thousand, and bulk carbonate C contents range from 0.03 to 0.60wt%. There is no simple correlation between carbonate abundance and isotopic composition, or between either of these parameters and the extent of alteration. Unless accretion was very heterogeneous, the uncorrelated variations in extent of alteration and carbonate abundance suggests that there was a period of open system behavior in the CM parent body, probably prior to or at the start of aqueous alteration. Most of the ranges in CM carbonate isotopic compositions can be explained by their formation at different temperatures (0-130 degrees C) from a single fluid in which the carbonate O isotopes were controlled by equilibrium with water (O-18 approximate to 5 parts per thousand)</t>
  </si>
  <si>
    <t>[Alexander, C. M. O'D.] Carnegie Inst Sci, DTM, Washington, DC 20015 USA; [Bowden, R.; Fogel, M. L.] Carnegie Inst Sci, GL, Washington, DC 20015 USA; [Howard, K. T.] CUNY, Kingsborough Community Coll, Brooklyn, NY 11235 USA</t>
  </si>
  <si>
    <t>Carnegie Institution for Science; Carnegie Institution for Science; City University of New York (CUNY) System</t>
  </si>
  <si>
    <t>Alexander, CMO (corresponding author), Carnegie Inst Sci, DTM, 5241 Broad Branch Rd, Washington, DC 20015 USA.</t>
  </si>
  <si>
    <t>alexander@dtm.ciw.edu</t>
  </si>
  <si>
    <t>Fogel, Marilyn L/M-2395-2015; Alexander, Conel M. O'D./N-7533-2013</t>
  </si>
  <si>
    <t>Alexander, Conel M. O'D./0000-0002-8558-1427</t>
  </si>
  <si>
    <t>NASA Astrobiology grant [NNA09DA81A]; NASA Cosmochemistry grant [NNX11AG67G, NNX11AG27G]; NSF; NASA</t>
  </si>
  <si>
    <t>NASA Astrobiology grant; NASA Cosmochemistry grant; NSF(National Science Foundation (NSF)); NASA(National Aeronautics &amp; Space Administration (NASA))</t>
  </si>
  <si>
    <t>Alexander Krot and Michail Petaev provided constructive reviews that significantly improved this paper. The authors are grateful to Dionysis Foustoukos for help with calculating calcite solubilities and for insightful discussions about fluid chemistry during serpentinization. CA, RB, and MLF were partially supported by NASA Astrobiology grant NNA09DA81A. CA was also partially supported by NASA Cosmochemistry grant NNX11AG67G. KH was partially supported by NASA Cosmochemistry grant NNX11AG27G. For supplying the many samples that were necessary for this work, the authors would like to thank: the members of the Meteorite Working Group, Cecilia Satterwhite and Kevin Righter (NASA, Johnson Space Center), Tim McCoy and Linda Welzenbach (Smithsonian Museum for Natural History), Laurence Garvie (Arizona State University), Sara Russell, Caroline Smith, and Deborah Cassey (Natural History Museum, London). U.S. Antarctic meteorite samples are recovered by the Antarctic Search for Meteorites (ANSMET) program, which has been funded by NSF and NASA, and characterized and curated by the Department of Mineral Sciences of the Smithsonian Institution and Astromaterials Curation Office at NASA Johnson Space Center.</t>
  </si>
  <si>
    <t>10.1111/maps.12410</t>
  </si>
  <si>
    <t>WOS:000352625200017</t>
  </si>
  <si>
    <t>Stoklosa, J; Daly, C; Foster, SD; Ashcroft, MB; Warton, DI</t>
  </si>
  <si>
    <t>Stoklosa, Jakub; Daly, Christopher; Foster, Scott D.; Ashcroft, Michael B.; Warton, David I.</t>
  </si>
  <si>
    <t>A climate of uncertainty: accounting for error in climate variables for species distribution models</t>
  </si>
  <si>
    <t>METHODS IN ECOLOGY AND EVOLUTION</t>
  </si>
  <si>
    <t>climate maps; errors-in-variables; hierarchical statistical models; measurement error; prediction error; PRISM; SIMEX</t>
  </si>
  <si>
    <t>PRECIPITATION; TEMPERATURE; RESOLUTION; REGRESSION; MAXENT</t>
  </si>
  <si>
    <t>Spatial climate variables are routinely used in species distribution models (SDMs) without accounting for the fact that they have been predicted with uncertainty, which can lead to biased estimates, erroneous inference and poor performances when predicting to new settings - for example under climate change scenarios. We show how information on uncertainty associated with spatial climate variables can be obtained from climate data models. We then explain different types of uncertainty (i.e. classical and Berkson error) and use two statistical methods that incorporate uncertainty in climate variables into SDMs by means of (i) hierarchical modelling and (ii) simulation-extrapolation. We used simulation to study the consequences of failure to account for measurement error. When uncertainty in explanatory variables was not accounted for, we found that coefficient estimates were biased and the SDM had a loss of statistical power. Further, this bias led to biased predictions when projecting change in distribution under climate change scenarios. The proposed errors-in-variables methods were less sensitive to these issues. We also fit the proposed models to real data (presence/absence data on the Carolina wren, Thryothorus ludovicianus), as a function of temperature variables. The proposed framework allows for many possible extensions and improvements to SDMs. If information on the uncertainty of spatial climate variables is available to researchers, we recommend the following: (i) first identify the type of uncertainty; (ii) consider whether any spatial autocorrelation or independence assumptions are required; and (iii) attempt to incorporate the uncertainty into the SDM through established statistical methods and their extensions.</t>
  </si>
  <si>
    <t>[Stoklosa, Jakub; Warton, David I.] Univ New S Wales, Sch Math &amp; Stat, Evolut &amp; Ecol Res Ctr, Sydney, NSW 2052, Australia; [Daly, Christopher] Oregon State Univ, Coll Engn, PRISM Climate Grp, Corvallis, OR 97331 USA; [Foster, Scott D.] CSIROs Wealth Oceans Flagship, CSIROs Div Computat Informat, Hobart, Tas 7001, Australia; [Ashcroft, Michael B.] Australian Museum, Sydney, NSW 2010, Australia</t>
  </si>
  <si>
    <t>University of New South Wales Sydney; Oregon State University; Commonwealth Scientific &amp; Industrial Research Organisation (CSIRO); Australian Museum</t>
  </si>
  <si>
    <t>Stoklosa, J (corresponding author), Univ New S Wales, Sch Math &amp; Stat, Evolut &amp; Ecol Res Ctr, Sydney, NSW 2052, Australia.</t>
  </si>
  <si>
    <t>j.stoklosa@unsw.edu.au</t>
  </si>
  <si>
    <t>Warton, David/B-5791-2009; Foster, Scott/E-9311-2010</t>
  </si>
  <si>
    <t>Warton, David/0000-0001-9441-6645; Ashcroft, Michael/0000-0003-2157-5965; Foster, Scott/0000-0002-6719-8002</t>
  </si>
  <si>
    <t>US National Science Foundation; Australian Research Council Discovery Project [DP0985886, DP130102131]; Future Fellow [FT120100501]; Marine Biodiversity Hub; Australian Government's National Environmental Research Programme (NERP); Institute for Marine and Antarctic Studies, University of Tasmania; Oceans National Flagship; Geoscience Australia; Australian Institute of Marine Science; Museum Victoria; Charles Darwin University; University of Western Australia; Australian Research Council [DP0985886] Funding Source: Australian Research Council; Division Of Environmental Biology; Direct For Biological Sciences [1257906] Funding Source: National Science Foundation</t>
  </si>
  <si>
    <t>US National Science Foundation(National Science Foundation (NSF)); Australian Research Council Discovery Project(Australian Research Council); Future Fellow; Marine Biodiversity Hub; Australian Government's National Environmental Research Programme (NERP)(Australian Government); Institute for Marine and Antarctic Studies, University of Tasmania; Oceans National Flagship; Geoscience Australia; Australian Institute of Marine Science; Museum Victoria; Charles Darwin University; University of Western Australia; Australian Research Council(Australian Research Council); Division Of Environmental Biology; Direct For Biological Sciences(National Science Foundation (NSF)NSF - Directorate for Biological Sciences (BIO))</t>
  </si>
  <si>
    <t>We would like to thank Robert O'Hara, Trevor Hefley and an anonymous referee for providing some helpful suggestions and feedback. We would also like to thank Noel Cressie for his helpful comments and Aritra Sengupta for providing some useful R-code. This project is a product of QUEST (Quantifying Uncertainty in Ecosystem Studies) Research Coordination Network (http://www.quantifyinguncertainty.org/), which is funded by the US National Science Foundation. JS and DIW work was supported by the Australian Research Council Discovery Project (project no. DP0985886, DP130102131), and DIW was supported by Future Fellow (project no. FT120100501). SDF was supported by Marine Biodiversity Hub, a collaborative partnership supported through funding from the Australian Government's National Environmental Research Programme (NERP). NERP Marine Biodiversity Hub partners include the Institute for Marine and Antarctic Studies, University of Tasmania; CSIRO Wealth from Oceans National Flagship, Geoscience Australia, Australian Institute of Marine Science, Museum Victoria, Charles Darwin University and the University of Western Australia.</t>
  </si>
  <si>
    <t>2041-210X</t>
  </si>
  <si>
    <t>2041-2096</t>
  </si>
  <si>
    <t>METHODS ECOL EVOL</t>
  </si>
  <si>
    <t>Methods Ecol. Evol.</t>
  </si>
  <si>
    <t>10.1111/2041-210X.12217</t>
  </si>
  <si>
    <t>CF8GL</t>
  </si>
  <si>
    <t>hybrid, Green Published, Green Accepted</t>
  </si>
  <si>
    <t>WOS:000352794100006</t>
  </si>
  <si>
    <t>Palmer, JG; Turney, CSM; Hogg, AG; Lorrey, AM; Jones, RJ</t>
  </si>
  <si>
    <t>Palmer, J. G.; Turney, C. S. M.; Hogg, A. G.; Lorrey, A. M.; Jones, R. J.</t>
  </si>
  <si>
    <t>Progress in refining the global radiocarbon calibration curve using New Zealand kauri (Agathis australis) tree-ring series from Oxygen Isotope Stage 3</t>
  </si>
  <si>
    <t>QUATERNARY GEOCHRONOLOGY</t>
  </si>
  <si>
    <t>Southern Hemisphere radiocarbon (C-14) calibration; Tree-ring (wood) pretreatment; Bayesian wiggle matching; Abrupt and extreme climate change; Lake Suigetsu; IntCal13; Cariaco Basin</t>
  </si>
  <si>
    <t>CAL BP; RECORD; ICE; VARIABILITY; CHRONOLOGY; GREENLAND; HOLOCENE; INTCAL13; EUROPE; DATES</t>
  </si>
  <si>
    <t>Ancient kauri (Agathis australis) buried in bogs across Northland, New Zealand, provide potential for a continuous high-precision radiocarbon calibration curve that extends to the full chronologic range of the dating method. Here we report four new tree-ring series which in addition to previous work represent some 5312 years across Oxygen Isotope Stage 3, a period during which human evolution, migration and extinction took place against a backdrop of extreme and abrupt global climate and environmental change. We compare our radiocarbon-dated series against three different calibration datasets and find considerable differences in the wiggle-matched solutions, demonstrating the difficulty in undertaking high-precision correlation between ice, marine and terrestrial sequences. One way around the apparent impasse is the use of Be-10 in the Greenland and Antarctic ice cores to precisely link to kauri C-14 from which a decadally/bidecadally-resolved floating 'calibration' dataset can be generated. Crown Copyright (C) 2015 Published by Elsevier B.V. All rights reserved.</t>
  </si>
  <si>
    <t>[Palmer, J. G.; Turney, C. S. M.] Univ New S Wales, Sch Biol Earth &amp; Environm Sci, Climate Change Res Ctr, Sydney, NSW 2052, Australia; [Hogg, A. G.] Univ Waikato, Waikato Radiocarbon Dating Lab, Hamilton, New Zealand; [Lorrey, A. M.] Natl Inst Water &amp; Atmospher Res, Auckland 1010, New Zealand; [Jones, R. J.] Univ Exeter, Dept Geog, Exeter EX4 4RJ, Devon, England</t>
  </si>
  <si>
    <t>University of New South Wales Sydney; University of Waikato; National Institute of Water &amp; Atmospheric Research (NIWA) - New Zealand; University of Exeter</t>
  </si>
  <si>
    <t>Palmer, JG (corresponding author), Univ New S Wales, Sch Biol Earth &amp; Environm Sci, Climate Change Res Ctr, Sydney, NSW 2052, Australia.</t>
  </si>
  <si>
    <t>j.palmer@unsw.edu.au</t>
  </si>
  <si>
    <t>Hogg, Alan G/M-8427-2014; Palmer, Jonathan/J-7834-2012; Turney, Chris/P-8701-2018</t>
  </si>
  <si>
    <t>Palmer, Jonathan/0000-0002-6665-4483; Lorrey, Andrew/0000-0002-3923-3181; Turney, Chris/0000-0001-6733-0993</t>
  </si>
  <si>
    <t>Australian Research Council [FL100100195]; Kauri Museum, Matakohe; NIWA; Australian Research Council [FL100100195] Funding Source: Australian Research Council</t>
  </si>
  <si>
    <t>Australian Research Council(Australian Research Council); Kauri Museum, Matakohe; NIWA; Australian Research Council(Australian Research Council)</t>
  </si>
  <si>
    <t>This work was funded through the Australian Research Council as part of CSMT's Laureate Fellowship (FL100100195). We thank Nelson Parker of Nelson's Kauri Souvenirs and The Kauri Museum, Matakohe, for their help and support. AML was supported by the NIWA core-funded project Climate Present and Past. We wish to also thank Richard Staff and another reviewer for helpful comments about an earlier version of this paper.</t>
  </si>
  <si>
    <t>1871-1014</t>
  </si>
  <si>
    <t>1878-0350</t>
  </si>
  <si>
    <t>QUAT GEOCHRONOL</t>
  </si>
  <si>
    <t>Quat. Geochronol.</t>
  </si>
  <si>
    <t>10.1016/j.quageo.2015.02.028</t>
  </si>
  <si>
    <t>CG2BQ</t>
  </si>
  <si>
    <t>WOS:000353080300013</t>
  </si>
  <si>
    <t>Roop, HA; Dunbar, GB; Levy, R; Vandergoes, MJ; Forrest, AL; Walker, SL; Purdie, J; Upton, P; Whinney, J</t>
  </si>
  <si>
    <t>Roop, Heidi A.; Dunbar, Gavin B.; Levy, Richard; Vandergoes, Marcus J.; Forrest, Alexander L.; Walker, Sharon L.; Purdie, Jennifer; Upton, Phaedra; Whinney, James</t>
  </si>
  <si>
    <t>Seasonal controls on sediment transport and deposition in Lake Ohau, South Island, New Zealand: Implications for a high-resolution Holocene palaeoclimate reconstruction</t>
  </si>
  <si>
    <t>SEDIMENTOLOGY</t>
  </si>
  <si>
    <t>Grain size; modern process; palaeoclimate; sediment deposition; varves</t>
  </si>
  <si>
    <t>LAST GLACIAL MAXIMUM; BRITISH-COLUMBIA; LILLOOET LAKE; VARVED SEDIMENTS; RECORD; CANADA; PRECIPITATION; CLIMATE; ALPS; SIZE</t>
  </si>
  <si>
    <t>Laminated sediments in Lake Ohau, Mackenzie Basin, New Zealand, offer a potential high-resolution climate record for the past 17 kyr. Such records are particularly important due to the relative paucity of detailed palaeoclimate data from the Southern Hemisphere mid-latitudes. This paper presents outcomes of a study of the sedimentation processes of this temperate lake setting. Hydrometeorological, limnological and sedimentological data were collected over a 14 month period between 2011 and 2013. These data indicate that seasonality in the hydrometeorological system in combination with internal lake dynamics drives a distinct seasonal pattern of sediment dispersal and deposition on a basin-wide scale. Sedimentary layers that accumulate proximal to the lake inflow at the northern end of the lake form in response to discrete inflow events throughout the year and display an event stratigraphy. In contrast, seasonal change in the lake system controls accumulation of light (winter) and dark (summer) laminations at the distal end of the lake, resulting in the preservation of varves. This study documents the key processes influencing sediment deposition throughout Lake Ohau and provides fundamental data for generating a high-resolution palaeoclimate record from this temperate lake.</t>
  </si>
  <si>
    <t>[Roop, Heidi A.; Levy, Richard; Vandergoes, Marcus J.; Upton, Phaedra] GNS Sci, Lower Hutt 5040, New Zealand; [Roop, Heidi A.; Dunbar, Gavin B.] Victoria Univ Wellington, Antarctic Res Ctr, Wellington 6140, New Zealand; [Forrest, Alexander L.] Univ Tasmania, Australia Maritime Coll, Launceston, Tas 7250, Australia; [Forrest, Alexander L.] Univ Calif Davis, Tahoe Environm Res Ctr, Incline Village, NV 89451 USA; [Walker, Sharon L.] NOAA, Pacific Marine Environm Lab, Seattle, WA 98115 USA; [Purdie, Jennifer] Meridian Energy Ltd, Christchurch, New Zealand; [Whinney, James] James Cook Univ, Dept Phys, Townsville, Qld 4811, Australia</t>
  </si>
  <si>
    <t>GNS Science - New Zealand; Victoria University Wellington; University of Tasmania; Australian Maritime College; National Oceanic Atmospheric Admin (NOAA) - USA; James Cook University</t>
  </si>
  <si>
    <t>Roop, HA (corresponding author), GNS Sci, POB 30368, Lower Hutt 5040, New Zealand.</t>
  </si>
  <si>
    <t>h.roop@gns.cri.nz</t>
  </si>
  <si>
    <t>Forrest, Alexander L/C-3765-2014; Levy, Richard H/E-2477-2011</t>
  </si>
  <si>
    <t>Levy, Richard/0000-0002-8783-0167; Upton, Phaedra/0000-0003-4052-301X</t>
  </si>
  <si>
    <t>GNS Science Global Change through Time program; Sarah Beanland Memorial Scholarship; ANZICE program [VICX0704]; PMEL [4122]; Eggers fund; National Science Foundation East Asia; Pacific Summer Institute</t>
  </si>
  <si>
    <t>GNS Science Global Change through Time program; Sarah Beanland Memorial Scholarship; ANZICE program; PMEL(National Oceanic Atmospheric Admin (NOAA) - USA); Eggers fund; National Science Foundation East Asia; Pacific Summer Institute</t>
  </si>
  <si>
    <t>The GNS Science Global Change through Time program, the Sarah Beanland Memorial Scholarship, and the ANZICE program (VICX0704), PMEL Contribution Number 4122, and the Eggers fund supported this work financially. We would like to thank Gary Wilson and the Marine Sciences Department, University of Otago for logistical support. Thank you to Sean Fitzsimons at the University of Otago and Jamie Howarth at GNS Science for their help with core collection and initial core characterization. Thank you to Geoff Schladow and Paul Stumpner at the University of California Davis and the United States Geological Survey and Remo Cossu at the University of Tasmania for their contribution to this work. The National Science Foundation East Asia and Pacific Summer Institute supported Paul Stumpner. We would also like to thank Peter Ridd at James Cook University for providing nephelometers and plentiful advice, the staff at Meridian Energy Ltd. for logistical support, Chris and Rae Spiers for their hospitality and large workspace at the Killin Barn, and the Inkersell family at Lake Ohau Station for land access and ongoing support. Thoughtful reviews by R. Gilbert and M. De Batist significantly improved this paper.</t>
  </si>
  <si>
    <t>0037-0746</t>
  </si>
  <si>
    <t>1365-3091</t>
  </si>
  <si>
    <t>Sedimentology</t>
  </si>
  <si>
    <t>10.1111/sed.12162</t>
  </si>
  <si>
    <t>CF4TT</t>
  </si>
  <si>
    <t>WOS:000352545500009</t>
  </si>
  <si>
    <t>Saïagh, K; Cottin, H; Aleian, A; Fray, N</t>
  </si>
  <si>
    <t>Saiagh, Kafila; Cottin, Herve; Aleian, Aicha; Fray, Nicolas</t>
  </si>
  <si>
    <t>VUV and Mid-UV Photoabsorption Cross Sections of Thin Films of Guanine and Uracil: Application on Their Photochemistry in the Solar System</t>
  </si>
  <si>
    <t>ASTROBIOLOGY</t>
  </si>
  <si>
    <t>NUCLEIC-ACID BASES; COMET HALLEY DUST; ULTRACARBONACEOUS ANTARCTIC MICROMETEORITES; PRIMITIVE EARTH CONDITIONS; VIBRATIONAL-SPECTRA; EXTRATERRESTRIAL NUCLEOBASES; CARBONACEOUS METEORITES; HETEROCYCLIC-COMPOUNDS; PREBIOTIC SYNTHESIS; MASS-SPECTROMETER</t>
  </si>
  <si>
    <t>We present a photostability study of two nucleobases, guanine and uracil. For the first time, the photoabsorption cross-section spectra of these molecules in the solid phase were measured in the VUV and mid-UV domain (115 &lt;=lambda &lt;= 300 nm). They show a quite similar absorption level throughout this wavelength range, highlighting the importance of considering the whole VUV and UV domain during photolysis experiments in the laboratory. Their photolysis constant (J) can be estimated from those measurements as follows: 2.2x10(-2) s(-1)+/- 11% for guanine and 5.3x10(-2) s(-1)+/- 14% for uracil. This work shows that (i) measuring kinetic constants from a direct and traditional photolysis of a thin sample in the laboratory suffers strong limitations and (ii) achieving this measurement requires comprehensive modeling of the radiative transfer that occurs in any sample not optically thin (i.e.,&lt;= 2 nm). Moreover, this work has provided other data of interest: the refractive index of solid guanine and of uracil at 650 nm are 1.52 (+/- 0.01) and 1.39 (+/- 0.02), respectively, and the integrated IR band strengths (A) of solid guanine between 3700 and 2120 cm(-1) (3.4x10(-16) cm center dot molecule(-1)+/- 13%) and of solid uracil between 3400 and 1890 cm(-1) (2.1x10(-16) cm center dot molecule(-1)+/- 21%). Key words: Nucleobases-Photochemistry-VUV spectrometry-Absorption cross sections-Astrobiology. Astrobiology 15, 268-282.</t>
  </si>
  <si>
    <t>[Saiagh, Kafila] Univ Paris Est Creteil, UMR CNRS 7583, LISA, F-94010 Creteil, France; [Saiagh, Kafila] Univ Paris Diderot, Inst Pierre Simon Laplace, F-94010 Creteil, France</t>
  </si>
  <si>
    <t>Universite Paris Cite; Universite Paris-Est-Creteil-Val-de-Marne (UPEC); Universite Paris Saclay; Universite Paris Cite</t>
  </si>
  <si>
    <t>Saïagh, K (corresponding author), Univ Paris Est Creteil, UMR CNRS 7583, LISA, 61 Ave Gen De Gaulle, F-94010 Creteil, France.</t>
  </si>
  <si>
    <t>kafila.saiagh@lisa.u-pec.fr</t>
  </si>
  <si>
    <t>Cottin, Hervé/H-5654-2013; Cottin, Hervé/M-6154-2019</t>
  </si>
  <si>
    <t>Cottin, Hervé/0000-0001-9170-5265; Cottin, Hervé/0000-0001-9170-5265; Fray, Nicolas/0000-0002-9140-5462</t>
  </si>
  <si>
    <t>CNES (Centre National d'Etudes Spatiales, French space agency); Region Ile de France. Cyril Gorny (ENSAM, Paris)</t>
  </si>
  <si>
    <t>CNES (Centre National d'Etudes Spatiales, French space agency); Region Ile de France. Cyril Gorny (ENSAM, Paris)(Region Ile-de-France)</t>
  </si>
  <si>
    <t>This work has been supported by CNES (Centre National d'Etudes Spatiales, French space agency) in the frame of the EXPOSE International Space Station program, IPSL and LISA. K.S. was supported by a grant from the Region Ile de France. Cyril Gorny (ENSAM, Paris) provided a useful support for surface stylus profilometer.</t>
  </si>
  <si>
    <t>MARY ANN LIEBERT, INC</t>
  </si>
  <si>
    <t>NEW ROCHELLE</t>
  </si>
  <si>
    <t>140 HUGUENOT STREET, 3RD FL, NEW ROCHELLE, NY 10801 USA</t>
  </si>
  <si>
    <t>1531-1074</t>
  </si>
  <si>
    <t>1557-8070</t>
  </si>
  <si>
    <t>Astrobiology</t>
  </si>
  <si>
    <t>10.1089/ast.2014.1196</t>
  </si>
  <si>
    <t>Astronomy &amp; Astrophysics; Biology; Geosciences, Multidisciplinary</t>
  </si>
  <si>
    <t>Astronomy &amp; Astrophysics; Life Sciences &amp; Biomedicine - Other Topics; Geology</t>
  </si>
  <si>
    <t>CF5XI</t>
  </si>
  <si>
    <t>WOS:000352630200002</t>
  </si>
  <si>
    <t>Deal, ME; Smith, KE; Aronson, RB; Amsler, MO; Mcclintock, JB</t>
  </si>
  <si>
    <t>Deal, M. E.; Smith, K. E.; Aronson, R. B.; Amsler, M. O.; Mcclintock, J. B.</t>
  </si>
  <si>
    <t>Distribution and abundance of benthopelagic hydromedusae in deep water off Anvers Island, western Antarctic Peninsula</t>
  </si>
  <si>
    <t>INTEGRATIVE AND COMPARATIVE BIOLOGY</t>
  </si>
  <si>
    <t>Annual Meeting of the Society-for-Integrative-and-Comparative-Biology (SICB)</t>
  </si>
  <si>
    <t>JAN 03-07, 2015</t>
  </si>
  <si>
    <t>West Palm Beach, FL</t>
  </si>
  <si>
    <t>Florida Inst Technol, Melbourne, FL USA; Univ Alabama Birmingham, Birmingham, AL USA</t>
  </si>
  <si>
    <t>Florida Institute of Technology; University of Alabama System; University of Alabama Birmingham</t>
  </si>
  <si>
    <t>mdeal2011@my.fit.edu</t>
  </si>
  <si>
    <t>Smith, Kathryn/G-5257-2014</t>
  </si>
  <si>
    <t>Smith, Kathryn/0000-0002-7240-1490</t>
  </si>
  <si>
    <t>1540-7063</t>
  </si>
  <si>
    <t>1557-7023</t>
  </si>
  <si>
    <t>INTEGR COMP BIOL</t>
  </si>
  <si>
    <t>Integr. Comp. Biol.</t>
  </si>
  <si>
    <t>P1.39</t>
  </si>
  <si>
    <t>E244</t>
  </si>
  <si>
    <t>CF6HS</t>
  </si>
  <si>
    <t>WOS:000352658401257</t>
  </si>
  <si>
    <t>Galaska, MP; Mahon, AR; Sands, CJ; Halanych, KM</t>
  </si>
  <si>
    <t>Galaska, M. P.; Mahon, A. R.; Sands, C. J.; Halanych, K. M.</t>
  </si>
  <si>
    <t>Genetic Connectivity of Antarctic Circumpolar Brittle Stars Ophionotus victoraie and Astrotoma agassizii</t>
  </si>
  <si>
    <t>Auburn Univ, Auburn, AL 36849 USA; Cent Michigan Univ, Mt Pleasant, MI USA; British Antarctic Survey, Cambridge, England</t>
  </si>
  <si>
    <t>Auburn University System; Auburn University; Central Michigan University; UK Research &amp; Innovation (UKRI); Natural Environment Research Council (NERC); NERC British Antarctic Survey</t>
  </si>
  <si>
    <t>mpg0009@auburn.edu</t>
  </si>
  <si>
    <t>Halanych, Ken M/A-9480-2009</t>
  </si>
  <si>
    <t>E62</t>
  </si>
  <si>
    <t>WOS:000352658400248</t>
  </si>
  <si>
    <t>Harder, AM; Halanych, KM; Mahon, AR</t>
  </si>
  <si>
    <t>Harder, A. M.; Halanych, K. M.; Mahon, A. R.</t>
  </si>
  <si>
    <t>Genetic diversity of Pallenopsis (Arthropoda: Pycnogonida) in the Western Antarctic</t>
  </si>
  <si>
    <t>Cent Michigan Univ, Mt Pleasant, MI USA; Auburn Univ, Auburn, AL 36849 USA</t>
  </si>
  <si>
    <t>Central Michigan University; Auburn University System; Auburn University</t>
  </si>
  <si>
    <t>harde3am@cmich.edu</t>
  </si>
  <si>
    <t>E74</t>
  </si>
  <si>
    <t>WOS:000352658400296</t>
  </si>
  <si>
    <t>Hu, Y; Detrich, HW; Albertson, RC</t>
  </si>
  <si>
    <t>Hu, Y.; Detrich, H. W.; Albertson, R. C.</t>
  </si>
  <si>
    <t>Morphological diversification in Antarctic notothenioids</t>
  </si>
  <si>
    <t>UMass Amherst, Amherst, MA USA; Northeastern Univ, Boston, MA USA</t>
  </si>
  <si>
    <t>University of Massachusetts System; University of Massachusetts Amherst; Northeastern University</t>
  </si>
  <si>
    <t>yinan@cns.umass.edu</t>
  </si>
  <si>
    <t>Hu, Yinan/I-5322-2019</t>
  </si>
  <si>
    <t>Hu, Yinan/0000-0002-9304-519X</t>
  </si>
  <si>
    <t>P3.195</t>
  </si>
  <si>
    <t>E276</t>
  </si>
  <si>
    <t>WOS:000352658401385</t>
  </si>
  <si>
    <t>Mahon, AR; Havird, JC; Santos, SR; Halanych, KM</t>
  </si>
  <si>
    <t>Mahon, A. R.; Havird, J. C.; Santos, S. R.; Halanych, K. M.</t>
  </si>
  <si>
    <t>Thermal adaptation and differential gene expression in Antarctic sea spiders (Pycnogonida)</t>
  </si>
  <si>
    <t>mahon2a@cmich.edu</t>
  </si>
  <si>
    <t>Havird, Justin C/C-3034-2013; Halanych, Ken M/A-9480-2009</t>
  </si>
  <si>
    <t>E117</t>
  </si>
  <si>
    <t>WOS:000352658400466</t>
  </si>
  <si>
    <t>Murphy, DW; Webster, DR; Kanagawa, M; Kawaguchi, S; King, R; Osborn, J; Yen, J</t>
  </si>
  <si>
    <t>Murphy, D. W.; Webster, D. R.; Kanagawa, M.; Kawaguchi, S.; King, R.; Osborn, J.; Yen, J.</t>
  </si>
  <si>
    <t>Aggregative behavior of Antarctic Krill: group interactions, multi-oar biomechanics, and hydrodynamic wake signature.</t>
  </si>
  <si>
    <t>Johns Hopkins, Baltimore, MD USA; Georgia Tech, Blacksburg, VA USA; Univ Tasmania, AAD, Hobart, Tas 7001, Australia</t>
  </si>
  <si>
    <t>Johns Hopkins University; University System of Georgia; Georgia Institute of Technology; Australian Antarctic Division; University of Tasmania</t>
  </si>
  <si>
    <t>jeannette.yen@biology.gatech.edu</t>
  </si>
  <si>
    <t>Osborn, Jon/0000-0003-2278-3766</t>
  </si>
  <si>
    <t>S7.6</t>
  </si>
  <si>
    <t>E130</t>
  </si>
  <si>
    <t>WOS:000352658400521</t>
  </si>
  <si>
    <t>Schram, JB; Amsler, MO; Amsler, CD; Schoenrock, KM; Mcclintock, JB; Angus, RA</t>
  </si>
  <si>
    <t>Schram, J. B.; Amsler, M. O.; Amsler, C. D.; Schoenrock, K. M.; Mcclintock, J. B.; Angus, R. A.</t>
  </si>
  <si>
    <t>Glimpses of assemblage resilience through an Antarctic ocean acidification mesocosm experiment</t>
  </si>
  <si>
    <t>[Schram, J. B.; Amsler, M. O.; Amsler, C. D.; Schoenrock, K. M.; Mcclintock, J. B.; Angus, R. A.] Univ Alabama Birmingham, Birmingham, AL USA</t>
  </si>
  <si>
    <t>University of Alabama System; University of Alabama Birmingham</t>
  </si>
  <si>
    <t>jbschram@uab.edu</t>
  </si>
  <si>
    <t>Schoenrock, Kathryn/B-9082-2018</t>
  </si>
  <si>
    <t>E163</t>
  </si>
  <si>
    <t>WOS:000352658400650</t>
  </si>
  <si>
    <t>Smith, KE; Aronson, RB; Thatje, S; Mcclintock, JB</t>
  </si>
  <si>
    <t>Smith, K. E.; Aronson, R. B.; Thatje, S.; Mcclintock, J. B.</t>
  </si>
  <si>
    <t>Current population status of king crabs and endemic benthic fauna off the western Antarctic Peninsula</t>
  </si>
  <si>
    <t>Florida Inst Technol, Melbourne, FL USA; Univ Southampton, Southampton SO9 5NH, Hants, England; Univ Alabama Birmingham, Birmingham, AL USA</t>
  </si>
  <si>
    <t>Florida Institute of Technology; University of Southampton; University of Alabama System; University of Alabama Birmingham</t>
  </si>
  <si>
    <t>kathryn@fit.edu</t>
  </si>
  <si>
    <t>E172</t>
  </si>
  <si>
    <t>WOS:000352658400686</t>
  </si>
  <si>
    <t>Twigg, RS; Kocot, KM; Brannock, PM; Mahon, AR; Halanych, KM</t>
  </si>
  <si>
    <t>Twigg, R. S.; Kocot, K. M.; Brannock, P. M.; Mahon, A. R.; Halanych, K. M.</t>
  </si>
  <si>
    <t>Phylogenetic Identification and Species Diversity of Antarctic Octopods</t>
  </si>
  <si>
    <t>Auburn Univ, Auburn, AL 36849 USA; Univ Queensland, Brisbane, Qld, Australia; Cent Michigan Univ, Mt Pleasant, MI 48859 USA</t>
  </si>
  <si>
    <t>Auburn University System; Auburn University; University of Queensland; Central Michigan University</t>
  </si>
  <si>
    <t>rst0004@auburn.edu</t>
  </si>
  <si>
    <t>Kocot, Kevin/K-9087-2016; Halanych, Ken M/A-9480-2009</t>
  </si>
  <si>
    <t>P1.41</t>
  </si>
  <si>
    <t>E345</t>
  </si>
  <si>
    <t>WOS:000352658401662</t>
  </si>
  <si>
    <t>Webster, KJ; Whelan, NV; Halanych, KM</t>
  </si>
  <si>
    <t>Webster, K. J.; Whelan, N., V; Halanych, K. M.</t>
  </si>
  <si>
    <t>A Molecular Investigation into the Biodiversity and Biogeography of Antarctic Thouarella (Cnidaria: Octocorallia: Primnoidae)</t>
  </si>
  <si>
    <t>[Webster, K. J.; Whelan, N., V; Halanych, K. M.] Auburn Univ, Auburn, AL 36849 USA</t>
  </si>
  <si>
    <t>Auburn University System; Auburn University</t>
  </si>
  <si>
    <t>kjw0018@auburn.edu</t>
  </si>
  <si>
    <t>P1.42</t>
  </si>
  <si>
    <t>E349</t>
  </si>
  <si>
    <t>WOS:000352658401676</t>
  </si>
  <si>
    <t>Wang, DS; Xu, D; Wang, YT; Fan, X; Ye, NH; Wang, WQ; Zhang, XW; Mou, SL; Guan, Z</t>
  </si>
  <si>
    <t>Wang, Dong S.; Xu, Dong; Wang, Yi T.; Fan, Xiao; Ye, Nai H.; Wang, Wen Q.; Zhang, Xiao W.; Mou, Shan L.; Guan, Zheng</t>
  </si>
  <si>
    <t>Adaptation involved in nitrogen metabolism in sea ice alga Chlamydomonas sp ICE-L to Antarctic extreme environments</t>
  </si>
  <si>
    <t>JOURNAL OF APPLIED PHYCOLOGY</t>
  </si>
  <si>
    <t>Chlamydomonas sp ICE-L; Chlorophyta; Ice algae; Nitrate reductase activity; nr expression; Photoperiod; Salinity</t>
  </si>
  <si>
    <t>NITRATE-REDUCTASE; CIRCADIAN CLOCK; AMMONIUM; EXPRESSION; LIGHT; ASSIMILATION; ACCLIMATION; RESPONSES; KINETICS; GENES</t>
  </si>
  <si>
    <t>There are several well-described acclimation mechanisms in sea ice-based algae, but little is known about their primary nitrogen metabolism. This study examined nitrogen uptake, nitrate reductase gene (nr) expression, and nitrate reductase activity (NRA) in an Antarctic microalga Chlamydomonas sp. ICE-L relative to altered photoperiod, nitrogen source, and salinity. Both nr expression and NRA varied diurnally over two 24-h light/dark cycles. nr expression reached maximum levels at the end of the light cycle and decreased during the dark period, and the peak in NRA occurred 12 h later than the peak in nr expression. After transfer to continuous light (LL) or continuous dark (DD), this periodicity was abolished, and both parameters were regulated by light availability. Chlamydomonas sp. ICE-L could assimilate both NO3-N and NH4-N as nitrogen sources, but the alga preferred NH4-N when both were present in culture media at the same concentration. The presence of NH4 (+) suppressed nr expression and NRA. Consistent with the regulation of nr expression, the highest NRA was also observed in cells grown in media supplemented with KNO3. Salinity significantly (P &lt; 0.05) affected nr expression and NRA. Both of these parameters were down-regulated with an increase in salinity from 32 to 160 parts per thousand.</t>
  </si>
  <si>
    <t>[Wang, Dong S.; Wang, Yi T.; Wang, Wen Q.] Qingdao Agr Univ, Marine Sci &amp; Engn Coll, Qingdao, Peoples R China; [Xu, Dong; Fan, Xiao; Ye, Nai H.; Zhang, Xiao W.; Mou, Shan L.] Chinese Acad Fishery Sci, Yellow Sea Fisheries Res Inst, Qingdao, Peoples R China; [Guan, Zheng] Shanghai Ocean Univ, Coll Fisheries &amp; Life Sci, Shanghai, Peoples R China</t>
  </si>
  <si>
    <t>Qingdao Agricultural University; Chinese Academy of Fishery Sciences; Yellow Sea Fisheries Research Institute, CAFS; Shanghai Ocean University</t>
  </si>
  <si>
    <t>Wang, WQ (corresponding author), Qingdao Agr Univ, Marine Sci &amp; Engn Coll, Qingdao, Peoples R China.</t>
  </si>
  <si>
    <t>yenh@ysfri.ac.cn; wenqiwang@qau.edu.cn</t>
  </si>
  <si>
    <t>National Natural Science Foundation of China [41306179, 41176153, 31200187]; Special Scientific Research Funds for Central Non-profit Institutes; Yellow Sea Fisheries Research Institutes [20603022012004]; Science and Technology Commission of Qingdao Shinan District [2012-5-008-SW]; Shandong Key Laboratory of Marine Ecological Restoration; Shandong Marine Fisheries Research Institute Grant [201213]; Shandong Science and Technology plan project [2011GHY11528]; Hi-Tech Research and Development Program (863) of China [2012AA052103]; Qingdao Municipal Science and Technology plan project [12-6-1-3-hy]</t>
  </si>
  <si>
    <t>National Natural Science Foundation of China(National Natural Science Foundation of China (NSFC)); Special Scientific Research Funds for Central Non-profit Institutes; Yellow Sea Fisheries Research Institutes; Science and Technology Commission of Qingdao Shinan District; Shandong Key Laboratory of Marine Ecological Restoration; Shandong Marine Fisheries Research Institute Grant; Shandong Science and Technology plan project; Hi-Tech Research and Development Program (863) of China(National High Technology Research and Development Program of China); Qingdao Municipal Science and Technology plan project</t>
  </si>
  <si>
    <t>This work was supported by National Natural Science Foundation of China (41306179), Special Scientific Research Funds for Central Non-profit Institutes, Yellow Sea Fisheries Research Institutes (20603022012004), a project from Science and Technology Commission of Qingdao Shinan District (2012-5-008-SW), Shandong Key Laboratory of Marine Ecological Restoration, Shandong Marine Fisheries Research Institute Grant (201213), Shandong Science and Technology plan project (2011GHY11528), the Hi-Tech Research and Development Program (863) of China (2012AA052103), National Natural Science Foundation of China (41176153, 31200187), and Qingdao Municipal Science and Technology plan project (12-6-1-3-hy).</t>
  </si>
  <si>
    <t>0921-8971</t>
  </si>
  <si>
    <t>1573-5176</t>
  </si>
  <si>
    <t>J APPL PHYCOL</t>
  </si>
  <si>
    <t>J. Appl. Phycol.</t>
  </si>
  <si>
    <t>10.1007/s10811-014-0372-9</t>
  </si>
  <si>
    <t>Biotechnology &amp; Applied Microbiology; Marine &amp; Freshwater Biology</t>
  </si>
  <si>
    <t>CF3KA</t>
  </si>
  <si>
    <t>WOS:000352446200016</t>
  </si>
  <si>
    <t>Hadley, S; Wild-Allen, K; Johnson, C; Macleod, C</t>
  </si>
  <si>
    <t>Hadley, Scott; Wild-Allen, Karen; Johnson, Craig; Macleod, Catriona</t>
  </si>
  <si>
    <t>Modeling macroalgae growth and nutrient dynamics for integrated multi-trophic aquaculture</t>
  </si>
  <si>
    <t>IMTA; Macrocystis; Ulva; Porphyra; Bioremediation; Temperate estuary; Management</t>
  </si>
  <si>
    <t>FISH FARM; ESTUARINE MACROALGAE; DISSOLVED NUTRIENTS; SEAWEED CULTIVATION; LIGHT-ABSORPTION; MACROCYSTIS; NITROGEN; BIOREMEDIATION; BIOFILTERS; AUSTRALIA</t>
  </si>
  <si>
    <t>Integrated multi-trophic aquaculture (IMTA) is being explored on both economic and environmental grounds in many traditional aquaculture regions. To test a variety of suitable macroalgae species and management scenarios, a numerical model is developed to quantify the remediation of dissolved nutrients and production of macroalgae near a nutrient source. Differences in the morphological, physiological, and economic characteristics of different macroalgae species can provide flexibility when considering the cost and benefit of farming macroalgae. Results show that of the three species studied, Macrocystis pyrifera removed 75 % of dissolved inorganic nitrogen (DIN) input from a point source, while Porphyra umbilicalis and Ulva lactuca removed 5 %. Both M. pyrifera and P. umbilicalis have reduced bioremediation capacity at increasing flow rates. U. lactuca showed increased bioremediation potential as flow rate increased from low to moderate flows. Increasing the optical depth increased the bioremediation potential of M. pyrifera for moderate values of the light attenuation coefficient, whereas bioremediation was unaffected by optical depth for both U. lactuca and P. umbilicalis. Harvesting increased bioremediation capacity of all species by up to 25-fold dependent on the establishment phase and harvesting frequency. We conclude that the choice of macroalgae species greatly affects the success of IMTA and that both harvesting and farm arrangements can be used to greatly optimize bioremediation.</t>
  </si>
  <si>
    <t>[Hadley, Scott; Johnson, Craig; Macleod, Catriona] Univ Tasmania, Inst Marine &amp; Antarctic Studies, Hobart, Tas 7001, Australia; [Wild-Allen, Karen] CSIRO Marine &amp; Atmospher Res, Hobart, Tas 7001, Australia</t>
  </si>
  <si>
    <t>Hadley, S (corresponding author), Univ Tasmania, Inst Marine &amp; Antarctic Studies, Private Bag 129, Hobart, Tas 7001, Australia.</t>
  </si>
  <si>
    <t>scott.hadley@csiro.au</t>
  </si>
  <si>
    <t>Wild-Allen, Karen/D-9263-2018; Johnson, Craig/E-1788-2013; Macleod, Catriona/J-7176-2014</t>
  </si>
  <si>
    <t>Johnson, Craig/0000-0002-9511-905X; Macleod, Catriona/0000-0002-0539-6361</t>
  </si>
  <si>
    <t>FRDC</t>
  </si>
  <si>
    <t>We acknowledge Dr. Mark Baird for his generous assistance and valuable advice and the FRDC for funding part of this research.</t>
  </si>
  <si>
    <t>10.1007/s10811-014-0370-y</t>
  </si>
  <si>
    <t>WOS:000352446200027</t>
  </si>
  <si>
    <t>Nuncio, M; Yuan, XJ</t>
  </si>
  <si>
    <t>Nuncio, M.; Yuan, Xiaojun</t>
  </si>
  <si>
    <t>The Influence of the Indian Ocean Dipole on Antarctic Sea Ice</t>
  </si>
  <si>
    <t>MODE EVENTS; VARIABILITY; ENSO; IMPACTS; TEMPERATURE; WAVE</t>
  </si>
  <si>
    <t>This study explores the impact of the Indian Ocean dipole (IOD) on the Southern Hemisphere sea ice variability. Singular value decomposition (SVD) of September-November sea ice concentration and sea surface temperature (SST) anomalies reveals patterns of El Nino-Southern Oscillation (ENSO) in the Pacific and the IOD in the equatorial Indian Ocean. The relative importance of the IOD's impact on sea ice in the Pacific sector of Antarctica is difficult to assess for two reasons: 1) ENSO generates larger anomalies in the Pacific and Weddell Sea and 2) many of the positive (negative) IODs co-occur with El Nino (La Nina). West of the Ross Sea, sea ice growth can be attributed to the negative heat fluxes associated with cold meridional flow between high and low pressure cells generated by the effects of the IOD. However, the locations of these positive and negative pressure anomaly centers tend to appear north of the sea ice zone during combined ENSO-IOD events, reducing the influence of the IOD on sea ice. The IOD influence is at a maximum in the region west of the Ross Sea. When ENSO is removed, sea ice in the Indian Ocean (near 60 degrees E) increases because of cold outflows west of low pressure centers while sea ice near 90 degrees E decreases because of the warm advection west of a high pressure center located south of Australia.</t>
  </si>
  <si>
    <t>[Nuncio, M.] Natl Ctr Antarctic &amp; Ocean Res, Vasco Da Gama 403804, Goa, India; [Yuan, Xiaojun] Lamont Doherty Earth Observ, New York, NY USA</t>
  </si>
  <si>
    <t>Ministry of Earth Sciences (MoES) - India; National Centre for Polar and Ocean Research (NCPOR); Columbia University</t>
  </si>
  <si>
    <t>Nuncio, M (corresponding author), Natl Ctr Antarctic &amp; Ocean Res, Vasco Da Gama 403804, Goa, India.</t>
  </si>
  <si>
    <t>nuncio@ncaor.gov.in</t>
  </si>
  <si>
    <t>Yuan, Xiaojun/AAI-7770-2020</t>
  </si>
  <si>
    <t>Yuan, Xiaojun/0000-0002-6530-1619</t>
  </si>
  <si>
    <t>Scientific Committee on Antarctic Research (SCAR); U.S. NSF OPP Grant [ANT10-43669]</t>
  </si>
  <si>
    <t>Scientific Committee on Antarctic Research (SCAR); U.S. NSF OPP Grant</t>
  </si>
  <si>
    <t>The authors thank the director of NCAOR for his keen interest and encouragement for this study. This work was carried out under a fellowship awarded by the Scientific Committee on Antarctic Research (SCAR). We thank the anonymous reviewers for their suggestions. Yuan is supported by U.S. NSF OPP Grant ANT10-43669. NCEP reanalysis data were provided by the NOAA/OAR/ESRL PSD, Boulder, Colorado, USA, from their web site http://www.esrl.noaa.gov/psd/. SSTs were obtained from Met Office Hadley Centre web site http://hadobs.metoffice.com/hadisst/data/download.html and sea ice data were downloaded from NSIDC.</t>
  </si>
  <si>
    <t>45 BEACON ST, BOSTON, MA 02108-3693, UNITED STATES</t>
  </si>
  <si>
    <t>10.1175/JCLI-D-14-00390.1</t>
  </si>
  <si>
    <t>CE6IO</t>
  </si>
  <si>
    <t>WOS:000351940300011</t>
  </si>
  <si>
    <t>Angulo-Preckler, C; Cid, C; Oliva, F; Avila, C</t>
  </si>
  <si>
    <t>Angulo-Preckler, Carlos; Cid, Cristina; Oliva, Francesc; Avila, Conxita</t>
  </si>
  <si>
    <t>Antifouling activity in some benthic Antarctic invertebrates by in situ experiments at Deception Island, Antarctica</t>
  </si>
  <si>
    <t>MARINE ENVIRONMENTAL RESEARCH</t>
  </si>
  <si>
    <t>Biofouling; Antibacterial activity; Natural products; Confocal microscopy; Chemical defenses</t>
  </si>
  <si>
    <t>CHEMICAL ECOLOGY; SURFACE COLONIZATION; MARINE; EXTRACTS; BACTERIA; COMMUNITIES; DIVERSITY; BACTERIOPLANKTON; METABOLITES; ENVIRONMENT</t>
  </si>
  <si>
    <t>Competition for space is a remarkable ecological force, comparable to predation, producing a strong selective pressure on benthic invertebrates. Some invertebrates, thus, possess antimicrobial compounds to reduce surface bacterial growth. Antimicrobial inhibition is the first step in avoiding being overgrown by other organisms, which may have a negative impact in feeding, respiration, reproduction ... The in situ inhibition of bacterial biofilm was used here as an indicator of antifouling activity by testing hydrophilic extracts of twelve Antarctic invertebrates. Using two different approaches (genetics and confocal techniques) different levels of activity were found in the tested organisms. In fact, differences within body parts of the studied organisms were determined, in agreement with the Optimal Defense Theory. Eight out of 15 extracts tested had negative effects on fouling after 28 days submerged in Antarctic waters. Thus, although chemical defenses may be quite species-specific in their ecological roles, these results suggest that different chemical strategies exist to deal with space competition. (C) 2015 Elsevier Ltd. All rights reserved.</t>
  </si>
  <si>
    <t>[Angulo-Preckler, Carlos; Avila, Conxita] Univ Barcelona, Fac Biol, Dept Anim Biol Invertebrates, E-08028 Barcelona, Spain; [Angulo-Preckler, Carlos; Avila, Conxita] Biodivers Res Inst IrBIO, Barcelona 08028, Catalunya, Spain; [Cid, Cristina] Ctr Astrobiol CSIC INTA, Microbial Evolut Lab, Madrid 28850, Spain; [Oliva, Francesc] Univ Barcelona, Fac Biol, Dept Stat, E-08028 Barcelona, Spain</t>
  </si>
  <si>
    <t>University of Barcelona; Consejo Superior de Investigaciones Cientificas (CSIC); CSIC - Centro de Astrobiologia (INTA); University of Barcelona</t>
  </si>
  <si>
    <t>Angulo-Preckler, C (corresponding author), Univ Barcelona, Dept Anim Biol Invertebrates, Av Diagonal 643, E-08028 Barcelona, Spain.</t>
  </si>
  <si>
    <t>carlospreckler@hotmail.com; cidsc@cab.inta-csic.es; foliva@ub.edu; conxita.avila@ub.edu</t>
  </si>
  <si>
    <t>Cid, Cristina/R-6821-2018; Avila, Conxita/B-9466-2008; Angulo_Preckler, Carlos/A-6456-2011; Oliva, Francesc/M-1173-2014</t>
  </si>
  <si>
    <t>Cid, Cristina/0000-0001-5128-4558; Avila, Conxita/0000-0002-5489-8376; Angulo_Preckler, Carlos/0000-0001-9028-274X;</t>
  </si>
  <si>
    <t>FPU Program [AP2009-2081]; Spanish Government [CTM2010-17415/ANT, CTM2011-16003]</t>
  </si>
  <si>
    <t>FPU Program(Spanish Government); Spanish Government(Spanish Government)</t>
  </si>
  <si>
    <t>Thank are due to F.J. Cristobo, L Nunez-Pons, B. Figuerola, J. Moles, A. Riesgo and J. Vazquez for their support in the lab and in the Antarctic cruise. Thanks are also due to the crew of BAE Gabriel de Castilla for their logistic support during the dives, as well as to M. Postigo and E. Garcia-Lopez for their sequencing support, and Dr. Taboada for the maps. This work was made possible through funding to C. Angulo-Preckler by the FPU Program (AP2009-2081) as well as ACTIQUIM-II (CTM2010-17415/ANT) and POLAR-BIOSENSOR (CTM2011-16003) projects from the Spanish Government.</t>
  </si>
  <si>
    <t>0141-1136</t>
  </si>
  <si>
    <t>1879-0291</t>
  </si>
  <si>
    <t>MAR ENVIRON RES</t>
  </si>
  <si>
    <t>Mar. Environ. Res.</t>
  </si>
  <si>
    <t>10.1016/j.marenvres.2015.02.001</t>
  </si>
  <si>
    <t>Environmental Sciences; Marine &amp; Freshwater Biology; Toxicology</t>
  </si>
  <si>
    <t>Environmental Sciences &amp; Ecology; Marine &amp; Freshwater Biology; Toxicology</t>
  </si>
  <si>
    <t>CE7SQ</t>
  </si>
  <si>
    <t>WOS:000352042500004</t>
  </si>
  <si>
    <t>Yang, Y; Ren, RC; Ming, C; Rao, J</t>
  </si>
  <si>
    <t>Yang Yang; Ren Rongcai; Ming Cai; Rao Jian</t>
  </si>
  <si>
    <t>Attributing Analysis on the Model Bias in Surface Temperature in the Climate System Model FGOALS-s2 through a Process-Based Decomposition Method</t>
  </si>
  <si>
    <t>ADVANCES IN ATMOSPHERIC SCIENCES</t>
  </si>
  <si>
    <t>attribution; model bias; surface temperature; FGOALS-s2; CFRAM</t>
  </si>
  <si>
    <t>INDIVIDUAL FEEDBACK PROCESSES; IMPROVEMENTS; PERFORMANCE; SIMULATION; FRAMEWORK</t>
  </si>
  <si>
    <t>This study uses the coupled atmosphere-surface climate feedback-response analysis method (CFRAM) to analyze the surface temperature biases in the Flexible Global Ocean-Atmosphere-Land System model, spectral version 2 (FGOALS-s2) in January and July. The process-based decomposition of the surface temperature biases, defined as the difference between the model and ERA-Interim during 1979-2005, enables us to attribute the model surface temperature biases to individual radiative processes including ozone, water vapor, cloud, and surface albedo; and non-radiative processes including surface sensible and latent heat fluxes, and dynamic processes at the surface and in the atmosphere. The results show that significant model surface temperature biases are almost globally present, are generally larger over land than over oceans, and are relatively larger in summer than in winter. Relative to the model biases in non-radiative processes, which tend to dominate the surface temperature biases in most parts of the world, biases in radiative processes are much smaller, except in the sub-polar Antarctic region where the cold biases from the much overestimated surface albedo are compensated for by the warm biases from non-radiative processes. The larger biases in non-radiative processes mainly lie in surface heat fluxes and in surface dynamics, which are twice as large in the Southern Hemisphere as in the Northern Hemisphere and always tend to compensate for each other. In particular, the upward/downward heat fluxes are systematically underestimated/overestimated in most parts of the world, and are mainly compensated for by surface dynamic processes including the increased heat storage in deep oceans across the globe.</t>
  </si>
  <si>
    <t>[Yang Yang; Ren Rongcai; Rao Jian] Chinese Acad Sci, Inst Atmospher Phys, State Key Lab Numer Modeling Atmospher Sci &amp; Geop, Beijing 100029, Peoples R China; [Yang Yang; Rao Jian] Univ Chinese Acad Sci, Beijing 100049, Peoples R China; [Ming Cai] Florida State Univ, Dept Earth Ocean &amp; Atmospher Sci, Tallahassee, FL 32306 USA</t>
  </si>
  <si>
    <t>Chinese Academy of Sciences; Institute of Atmospheric Physics, CAS; Chinese Academy of Sciences; University of Chinese Academy of Sciences, CAS; State University System of Florida; Florida State University</t>
  </si>
  <si>
    <t>Ren, RC (corresponding author), Chinese Acad Sci, Inst Atmospher Phys, State Key Lab Numer Modeling Atmospher Sci &amp; Geop, Beijing 100029, Peoples R China.</t>
  </si>
  <si>
    <t>rrc@lasg.iap.ac.cn</t>
  </si>
  <si>
    <t>cai, ming/HPF-1404-2023; Rao, Jian/O-3392-2019; REN, R.-C./I-8656-2012; Cai, Ming/F-2133-2017</t>
  </si>
  <si>
    <t>Rao, Jian/0000-0001-5030-0288; REN, R.-C./0000-0003-2809-5462; Cai, Ming/0000-0002-1614-1102</t>
  </si>
  <si>
    <t>National Basic Key Project (973) [2010CB428603, 2010CB950400]; [XDA11010402]; [GYHY201406001]</t>
  </si>
  <si>
    <t>National Basic Key Project (973)(National Basic Research Program of China); ;</t>
  </si>
  <si>
    <t>This study was jointly supported by projects XDA11010402 GYHY201406001 and the National Basic Key Project (973) 2010CB428603 and 2010CB950400. The authors thank Dr. Sergio A. SEJAS from Florida State University for his comments on the manuscript.</t>
  </si>
  <si>
    <t>0256-1530</t>
  </si>
  <si>
    <t>1861-9533</t>
  </si>
  <si>
    <t>ADV ATMOS SCI</t>
  </si>
  <si>
    <t>Adv. Atmos. Sci.</t>
  </si>
  <si>
    <t>10.1007/s00376-014-4061-z</t>
  </si>
  <si>
    <t>CD9XH</t>
  </si>
  <si>
    <t>WOS:000351453200002</t>
  </si>
  <si>
    <t>Rojas-Contreras, JA; de la Rosa, APB; De León-Rodríguez, A</t>
  </si>
  <si>
    <t>Rojas-Contreras, Juan A.; Barba de la Rosa, Ana P.; De Leon-Rodriguez, Antonio</t>
  </si>
  <si>
    <t>Expression and Characterization of a Recombinant Psychrophilic Cu/Zn Superoxide Dismutase from Deschampsia antarctica E. Desv. [Poaceae]</t>
  </si>
  <si>
    <t>APPLIED BIOCHEMISTRY AND BIOTECHNOLOGY</t>
  </si>
  <si>
    <t>Antioxidant; Extremophile; Oxidative stress; Psychrophilic enzyme; Superoxide ion</t>
  </si>
  <si>
    <t>ASSAY</t>
  </si>
  <si>
    <t>We present here the structural modeling and biochemical characterization of a recombinant superoxide dismutase (SOD) from Deschampsia antarctica E. Desv. [Poaceae] produced in Escherichia coli. The recombinant protein was purified by affinity chromatography nickel-nitrilotriacetic acid (Ni-NTA), and its identity was demonstrated by immunoblotting and inhibition by H2O2 and KCN. Inductively coupled plasma optical emission spectroscopy (ICP-OES) analysis confirmed the presence of Cu and Zn. Modeling of the D. antarctica Cu/Zn-SOD (DaSOD) amino acid sequence using the SWISS-MODEL and 2Q2L_B monomer of the psychrophilic Cu/Zu-SOD from Potentilla atrosanguinea (PaSOD) as template produced a structure similar to that of the typical eukaryotic Cu/Zn-SODs. Activity assays using the p-nitro blue tetrazolium chloride (NBT) solution method showed that the purified DaSOD had a specific activity of 5818 U/mg at 25 A degrees C and pH 7.2 and that it was active in a pH interval of 5-8 and a temperature interval of 0-40 A degrees C. Furthermore, DaSOD was still active at -20 A degrees C as observed by a zymogram assay. We found 100 % activity when it was heated at 80 A degrees C for 60 min, indicating a high thermostability. DaSOD properties suggest that this enzyme could be useful for preventing the oxidation of refrigerated or frozen foods, as well as in the preparation of cosmetic and pharmaceutical products.</t>
  </si>
  <si>
    <t>[Rojas-Contreras, Juan A.; Barba de la Rosa, Ana P.; De Leon-Rodriguez, Antonio] Inst Potosino Invest Cient &amp; Tecnol AC IPICyT, Div Mol Biol, San Luis Potosi 78216, Mexico</t>
  </si>
  <si>
    <t>Instituto Potosino Investigacion Cientifica y Tecnologica</t>
  </si>
  <si>
    <t>De León-Rodríguez, A (corresponding author), Inst Potosino Invest Cient &amp; Tecnol AC IPICyT, Div Mol Biol, Camino Presa San Jose 2055,Lomas 4a Secc, San Luis Potosi 78216, Mexico.</t>
  </si>
  <si>
    <t>aleonr@ipicyt.edu.mx</t>
  </si>
  <si>
    <t>De Leon-Rodriguez, Antonio/AAO-4856-2020; Barba de la Rosa, ANA/IWE-1045-2023; De Leon Rodriguez, Antonio/AFV-3188-2022</t>
  </si>
  <si>
    <t>De Leon Rodriguez, Antonio/0000-0003-3347-3499; Rojas Contreras, Juan Antonio/0000-0002-9632-7555</t>
  </si>
  <si>
    <t>CONACyT-Basicas Grant [178988]; CONACyT [204213]</t>
  </si>
  <si>
    <t>CONACyT-Basicas Grant; CONACyT(Consejo Nacional de Ciencia y Tecnologia (CONACyT))</t>
  </si>
  <si>
    <t>This work was partially financed by CONACyT-Basicas Grant No. 178988. Juan Rojas thanks CONACyT for his scholarship No. 204213. The authors thank Leandro G. Ordonez for technical support and Jennifer Ecklerly for English correction. We thank the Chilean Antarctic Institute (INACH) for the logistic support during the stay in the Scientific Base Prof. Julio Escudero, King George Island, Antarctic.</t>
  </si>
  <si>
    <t>0273-2289</t>
  </si>
  <si>
    <t>1559-0291</t>
  </si>
  <si>
    <t>APPL BIOCHEM BIOTECH</t>
  </si>
  <si>
    <t>Appl. Biochem. Biotechnol.</t>
  </si>
  <si>
    <t>10.1007/s12010-015-1496-3</t>
  </si>
  <si>
    <t>Biochemistry &amp; Molecular Biology; Biotechnology &amp; Applied Microbiology</t>
  </si>
  <si>
    <t>CE3YY</t>
  </si>
  <si>
    <t>WOS:000351767200005</t>
  </si>
  <si>
    <t>Horn, M; Uenzelmann-Neben, G</t>
  </si>
  <si>
    <t>Horn, Michael; Uenzelmann-Neben, Gabriele</t>
  </si>
  <si>
    <t>The Deep Western Boundary Current at the Bounty Trough, east of New Zealand: Indications for its activity already before the opening of the Tasmanian Gateway</t>
  </si>
  <si>
    <t>Bounty Trough; Seismic stratigraphy; ODP Leg 181 Site 1122; Eastern New Zealand Oceanic Sedimentary System; ENZOSS; Deep Western Boundary Current; DWBC</t>
  </si>
  <si>
    <t>ANTARCTIC CIRCUMPOLAR CURRENT; SOUTHWEST PACIFIC; ICE-SHEET; SEDIMENTOLOGICAL EVIDENCE; CAMPBELL PLATEAU; EVOLUTION; OCEAN; CIRCULATION; INFLOW; MARGIN</t>
  </si>
  <si>
    <t>The Eastern New Zealand Oceanic Sedimentary System is influenced by the main deep cold-water inflow to the Pacific Ocean, the Deep Western Boundary Current (DWBC). ODP Leg 181 targeted this region. The two northern sites ODP 1123 and 1124 are mainly used for interpretation of DWBC flow. Newly acquired high-resolution seismic reflection profiles directly cross ODP Site 1122 in the Outer Bounty Trough area. We can decipher the first appearance of a branch of the DWBC meandering into the Bounty Trough as early as 20 to 16.7 Ma. We identified four different drift deposits of the DWBC in the Outer Bounty Trough area. The deepest two drifts were formed before the opening of the Tasmanian Gateway and thus provide the first evidence of a pre-Oligocene deep circulation at the eastern New Zealand margin. Additionally, migration of the drift crests to the west and to the east is interpreted to indicate modifications in core flow pathway of the DWBC due to response to climate changes (Eocene cooling, cooling due to West Antarctic Ice shield build-up), tectonic influence (opening of Tasmanian Gateway) and enhanced sediment input (first turbiditic deposits of Bounty Channel). (C) 2015 Elsevier B.V. All rights reserved.</t>
  </si>
  <si>
    <t>[Horn, Michael; Uenzelmann-Neben, Gabriele] Helmholtz Zentrum Polar &amp; Meeresforsch, Alfred Wegener Inst, D-27568 Bremerhaven, Germany</t>
  </si>
  <si>
    <t>Helmholtz Association; Alfred Wegener Institute, Helmholtz Centre for Polar &amp; Marine Research</t>
  </si>
  <si>
    <t>Horn, M (corresponding author), Helmholtz Zentrum Polar &amp; Meeresforsch, Alfred Wegener Inst, Alten Hafen 26, D-27568 Bremerhaven, Germany.</t>
  </si>
  <si>
    <t>michael.horn@awi.de</t>
  </si>
  <si>
    <t>Uenzelmann-Neben, Gabriele/AAI-8618-2020</t>
  </si>
  <si>
    <t>Uenzelmann-Neben, Gabriele/0000-0002-0115-5923</t>
  </si>
  <si>
    <t>Bundesministerium fur Bildung und Forschung [03G0213A]</t>
  </si>
  <si>
    <t>Bundesministerium fur Bildung und Forschung(Federal Ministry of Education &amp; Research (BMBF))</t>
  </si>
  <si>
    <t>We would like to thank Dr. Bryan Davy and a second anonymous reviewer for their helpful comments on improving this manuscript. We are grateful for the support of Captain O. Meyer and his crew, as well as Dr. Estella Weigelt, Dr. Jens Grazner and Dietmar Penshorn during cruise SO 213/2 aboard RV Sonne. The cruise was funded by the Bundesministerium fur Bildung und Forschung under contract number 03G0213A.</t>
  </si>
  <si>
    <t>10.1016/j.margeo.2015.01.011</t>
  </si>
  <si>
    <t>CE4NW</t>
  </si>
  <si>
    <t>WOS:000351808300005</t>
  </si>
  <si>
    <t>Devincenti, CV; Longo, MV; Castro, MG; Díaz, AO</t>
  </si>
  <si>
    <t>Devincenti, Clelia V.; Longo, Maria V.; Gonzalez Castro, Mariano; Diaz, Alcira O.</t>
  </si>
  <si>
    <t>Morphological and histochemical characterization of the pectoral fin muscle of the stripped weakfish, Cynoscion guatucupa</t>
  </si>
  <si>
    <t>ACTA ZOOLOGICA</t>
  </si>
  <si>
    <t>pectoral muscle; morphology; histochemistry; morphometry; Cynoscion; guatucupa</t>
  </si>
  <si>
    <t>ANTARCTIC NOTOTHENIOID FISHES; FIBER TYPES; LATERAL MUSCULATURE; SKELETAL-MUSCLE; TELEOST FISH; WHITE MUSCLE; SEA BREAM; GROWTH; TEMPERATURE; PHYSIOLOGY</t>
  </si>
  <si>
    <t>The fibres of superficial and deep abductor muscles of the pectoral fins of the stripped weakfish, Cynoscion guatucupa have been studied using histochemical techniques: succinic dehydrogenase (SDH) for mitochondria, periodic acid-Schiff (PAS) for glycogen, myosin-adenosintriphosphatase (mATPase) to identify different fibre types based on the contraction speed and modified ATPase to identify capillaries. The fibre diameters were measured, and the capillaries of the main fibre types - red, pink and white were counted. The two muscles showed both macroscopically and microscopically two well-differentiated zones with predominant white fibres. The area of insertion of muscles into the fin rays had red, pink and white fibres. The origin zone of the muscle into the bone was composed by white fibres only. Both zones of white muscle evidenced a mosaic of small, medium and large polygonal white fibres. Red, pink and white muscles showed a wide histochemical diversity of fibre subtypes. The area per peripheral capillary increased from the red to the white muscles. Due to the predominance of white fibres, the pectoral fins of C.guatucupa were mainly involved in rapid movements to stop/discontinue and stabilize the body during swimming.</t>
  </si>
  <si>
    <t>[Devincenti, Clelia V.; Longo, Maria V.; Diaz, Alcira O.] Univ Nacl Mar del Plata, CONICET, Fac Ciencias Exactas &amp; Nat, IIMyC,Dept Biol, RA-7600 Mar Del Plata, Buenos Aires, Argentina; [Gonzalez Castro, Mariano] Univ Nacl Mar del Plata, CONICET, Fac Ciencias Exactas &amp; Nat, IIMyC,Dept Ciencias Marinas, RA-7600 Mar Del Plata, Buenos Aires, Argentina</t>
  </si>
  <si>
    <t>National University of Mar del Plata; Consejo Nacional de Investigaciones Cientificas y Tecnicas (CONICET); National University of Mar del Plata; Consejo Nacional de Investigaciones Cientificas y Tecnicas (CONICET)</t>
  </si>
  <si>
    <t>Longo, MV (corresponding author), Univ Nacl Mar del Plata, Fac Ciencias Exactas &amp; Nat, Dept Biol, Funes 3250 3 Piso,B7602AYJ, Mar Del Plata, Buenos Aires, Argentina.</t>
  </si>
  <si>
    <t>mvlongo@mdp.edu.ar</t>
  </si>
  <si>
    <t>González-Castro, Mariano/AAG-8103-2019; Longo, María Victoria/AAJ-1240-2020</t>
  </si>
  <si>
    <t>Longo, Maria Victoria/0000-0001-9583-7847; Gonzalez-Castro, Mariano/0000-0003-2403-3168</t>
  </si>
  <si>
    <t>University of Mar del Plata, Argentina [EXA 578/12, 15/E526]</t>
  </si>
  <si>
    <t>University of Mar del Plata, Argentina</t>
  </si>
  <si>
    <t>This research was partially supported by a grant from the University of Mar del Plata, Argentina (EXA 578/12, 15/E526).</t>
  </si>
  <si>
    <t>0001-7272</t>
  </si>
  <si>
    <t>1463-6395</t>
  </si>
  <si>
    <t>ACTA ZOOL-STOCKHOLM</t>
  </si>
  <si>
    <t>Acta Zool.</t>
  </si>
  <si>
    <t>10.1111/azo.12067</t>
  </si>
  <si>
    <t>Anatomy &amp; Morphology; Zoology</t>
  </si>
  <si>
    <t>CD5YC</t>
  </si>
  <si>
    <t>WOS:000351163700009</t>
  </si>
  <si>
    <t>Llompart, F; Delpiani, M; Lattuca, E; Delpiani, G; Cruz-Jiménez, A; Orlando, P; Ceballos, S; De Astarloa, JMD; Vanella, F; Fernández, D</t>
  </si>
  <si>
    <t>Llompart, Facundo; Delpiani, Matias; Lattuca, Eugenia; Delpiani, Gabriela; Cruz-Jimenez, Adriana; Orlando, Paula; Ceballos, Santiago; Martin Diaz De Astarloa, Juan; Vanella, Fabian; Fernandez, Daniel</t>
  </si>
  <si>
    <t>Spatial patterns of summer demersal fish assemblages around the Antarctic Peninsula and South Shetland Islands</t>
  </si>
  <si>
    <t>ANTARCTIC SCIENCE</t>
  </si>
  <si>
    <t>Antarctica; depth; fish fauna; ichthyofaunistic areas; Nototheniidae</t>
  </si>
  <si>
    <t>SCOTIA ARC REGION; BELLINGSHAUSEN SEA; ROSS SEA; WEST ANTARCTICA; COMMUNITY STRUCTURE; RELATIVE ABUNDANCE; LOCALITY RECORDS; ELEPHANT ISLAND; DIVERSITY; ECOLOGY</t>
  </si>
  <si>
    <t>During the research programme conducted on the OV Puerto Deseado in the summers of 2011 and 2013, 36 stations were sampled using a demersal net at depths between 53-590m in the Antarctic Peninsula and South Shetland Islands. Atotal 3378 fish specimens belonging to 36 species were recorded. Notothenidae was the best-represented family in species number, with Lepidonotothen nudifrons, L. larseni and Trematomus scotti being the most numerous species. Of the fish assemblages, 20% of the species were considered as dominant, 10% as common, 13% as occasional and 57% as rare. Six groups (and two sub-groups) were obtained by the ordination diagram based on geographical location: group 1 = Gerlache Strait, group 2 = Deception Islands, group 3 = Biscoe Island, group 4 = between Elephant and King George islands, group 5 = northern Antarctic Peninsula, and group 6 = South Shetland Islands, with sub-groups 6a shallower South Shetland Islands and 6b deeper South Shetland Islands. Sampling depth and water temperature significantly explained the spatial pattern. A latitudinal pattern of decreasing abundance from north-east to south-west was found in L. larseni and the opposite in T. scotti. The predictability of fish composition in the assemblages' areas could be a useful tool for ecosystem-based management.</t>
  </si>
  <si>
    <t>[Llompart, Facundo; Lattuca, Eugenia; Cruz-Jimenez, Adriana; Ceballos, Santiago; Vanella, Fabian; Fernandez, Daniel] Consejo Nacl Invest Cient &amp; Tecn, CADIC, Lab Ecol Fisiol &amp; Evoluc Organismos Acuat, Ushuaia, Argentina; [Llompart, Facundo; Ceballos, Santiago; Fernandez, Daniel] UNTDF, Ushuaia, Argentina; [Delpiani, Matias; Delpiani, Gabriela; Orlando, Paula; Martin Diaz De Astarloa, Juan] Univ Nacl Mar del Plata, Grp Biotaxon Morfol &amp; Mol Peces, CONICET, IIMYC, Mar Del Plata, Buenos Aires, Argentina</t>
  </si>
  <si>
    <t>Consejo Nacional de Investigaciones Cientificas y Tecnicas (CONICET); National University of Mar del Plata; Consejo Nacional de Investigaciones Cientificas y Tecnicas (CONICET)</t>
  </si>
  <si>
    <t>Llompart, F (corresponding author), Consejo Nacl Invest Cient &amp; Tecn, CADIC, Lab Ecol Fisiol &amp; Evoluc Organismos Acuat, Bernardo Houssay 200, Ushuaia, Argentina.</t>
  </si>
  <si>
    <t>facallompart@yahoo.com.ar</t>
  </si>
  <si>
    <t>de Astarloa, Juan Diaz/F-5395-2012</t>
  </si>
  <si>
    <t>de Astarloa, Juan Diaz/0000-0002-9250-1771; Fernandez, Daniel Alfredo/0000-0002-3367-4138</t>
  </si>
  <si>
    <t>CONICET (Consejo Nacional de Investigaciones Cientificas y Tecnicas) [PIP 0321]; DNA (Direccion Nacional del Antartico); IAA (Instituto Antartico Argentino)</t>
  </si>
  <si>
    <t>CONICET (Consejo Nacional de Investigaciones Cientificas y Tecnicas)(Consejo Nacional de Investigaciones Cientificas y Tecnicas (CONICET)); DNA (Direccion Nacional del Antartico); IAA (Instituto Antartico Argentino)</t>
  </si>
  <si>
    <t>We thank John Grettenberger for assistance with the English language of the manuscript. This research was supported by CONICET (Consejo Nacional de Investigaciones Cientificas y Tecnicas) (Project-PIP 0321), DNA (Direccion Nacional del Antartico) and IAA (Instituto Antartico Argentino). We also thank the anonymous reviewers for their helpful suggestions to improve the manuscript.</t>
  </si>
  <si>
    <t>0954-1020</t>
  </si>
  <si>
    <t>1365-2079</t>
  </si>
  <si>
    <t>ANTARCT SCI</t>
  </si>
  <si>
    <t>Antarct. Sci.</t>
  </si>
  <si>
    <t>10.1017/S0954102014000352</t>
  </si>
  <si>
    <t>Environmental Sciences; Geography, Physical; Geosciences, Multidisciplinary</t>
  </si>
  <si>
    <t>Environmental Sciences &amp; Ecology; Physical Geography; Geology</t>
  </si>
  <si>
    <t>CD7TK</t>
  </si>
  <si>
    <t>WOS:000351295300002</t>
  </si>
  <si>
    <t>Fryirs, KA; Hafsteinsdóttir, EG; Stark, SC; Gore, DB</t>
  </si>
  <si>
    <t>Fryirs, Kirstie A.; Hafsteinsdottir, Erla G.; Stark, Scott C.; Gore, Damian B.</t>
  </si>
  <si>
    <t>Metal and petroleum hydrocarbon contamination at Wilkes Station, East Antarctica</t>
  </si>
  <si>
    <t>ANZECC guidelines; clean-up operations; contaminated site; environmental management; legacy waste</t>
  </si>
  <si>
    <t>PERMEABLE REACTIVE BARRIER; WASTE-DISPOSAL SITE; CASEY STATION; MARINE-SEDIMENTS; REMEDIATION; PB; ENVIRONMENT; STABILITY; IMPACTS; DESIGN</t>
  </si>
  <si>
    <t>The management of sediment and water contamination from legacy waste is a significant problem in Antarctica. Although several reports have noted that there are contaminated sites at the abandoned Wilkes Station, a systematic attempt to assess the spatial scale of the problem has not been made, making development of clean-up or preservation programmes difficult. A contaminated site assessment for the old Wilkes Station and surrounds is presented in this paper. The Australian and New Zealand Environment and Conservation Council (ANZECC) sediment and water quality guidelines and background concentration levels (BCL) were used to assess the extent of contamination across Clark Peninsula. Of 67 sediment sites sampled, 72% were contaminated with at least one metal or metalloid, with values exceeding the ANZECC ISQG-High or 2 x BCL. Moreover, 19% were contaminated with four or more metals/metalloids. Of the 93 water samples collected, all but one was contaminated with at least one metal/metalloid concentration exceeding the guidelines, and 96% were contaminated with two or more metals/metalloids. For hydrocarbons in sediment and water, most samples were below quantitation limits. There is a complex pattern of contamination across Clark Peninsula that needs to be considered in future waste treatment, containment or removal operations, and for protection of heritage items.</t>
  </si>
  <si>
    <t>[Fryirs, Kirstie A.; Hafsteinsdottir, Erla G.; Gore, Damian B.] Macquarie Univ, Dept Environm &amp; Geog, N Ryde, NSW 2109, Australia; [Stark, Scott C.] Australian Antarctic Div, Environm Protect &amp; Change, Dept Sustainabil Environm Water Populat &amp; Communi, Kingston, Tas 7050, Australia</t>
  </si>
  <si>
    <t>Macquarie University; Australian Antarctic Division</t>
  </si>
  <si>
    <t>Fryirs, KA (corresponding author), Macquarie Univ, Dept Environm &amp; Geog, N Ryde, NSW 2109, Australia.</t>
  </si>
  <si>
    <t>kirstie.fryirs@mq.edu.au</t>
  </si>
  <si>
    <t>Fryirs, Kirstie/0000-0003-0541-3384; Gore, Damian/0000-0002-0377-8518</t>
  </si>
  <si>
    <t>Australian Antarctic Division [AAS2937]; Australian Research Council [LP0776373]; Macquarie University; Australian Research Council [LP0776373] Funding Source: Australian Research Council</t>
  </si>
  <si>
    <t>Australian Antarctic Division; Australian Research Council(Australian Research Council); Macquarie University; Australian Research Council(Australian Research Council)</t>
  </si>
  <si>
    <t>We thank the Australian Antarctic Division (AAS2937) for logistical and financial support, and the Australian Research Council (LP0776373) and Macquarie University for financial support (RIBG and New Staff Grant to KF). We thank Greg Hince and Lauren Wise for analysis of sediments and waters for hydrocarbons, the Casey 2009-10 expeditioners (particularly Tim Spedding, Meenakshi Arora and Jill Williams) for field support. KF thanks Bill Burch and the 'original' Wilkes expeditioners for their stories about their time at the old station. We thank two anonymous reviewers for their comments.</t>
  </si>
  <si>
    <t>10.1017/S0954102014000443</t>
  </si>
  <si>
    <t>WOS:000351295300003</t>
  </si>
  <si>
    <t>Tejedo, P; Gutiérrez, B; Pertierra, LR; Benayas, J</t>
  </si>
  <si>
    <t>Tejedo, Pablo; Gutierrez, Berta; Pertierra, Luis R.; Benayas, Javier</t>
  </si>
  <si>
    <t>Analysis of published scientific research from Deception Island, South Shetland Islands</t>
  </si>
  <si>
    <t>ASMA No. 4; Deception Island Management Group; international scientific collaboration; Journal Citation Reports; multidisciplinary research; social network analysis</t>
  </si>
  <si>
    <t>ANTARCTICA; COMMUNITIES; AREA</t>
  </si>
  <si>
    <t>The aim of this study was to develop a methodology to assess the degree of multidisciplinarity and international co-operation between scientists working on Deception Island, using techniques based on social network analysis. A database was built of the scientific output, as represented by published articles, on Deception Island between 1964-2012. From the 173 published articles, the main topics, the temporal trends, the profile of the principal journals, and the contributions made by each country, research institution and scientist were obtained. The data presented show a significant role played by four of the six nations belonging to the Deception Island Management Group. However, collaborations between researchers in different fields was unusual and co-authoring by researchers from different countries was relatively low. These results show that there is a need to strengthen international co-operation, a highly advisable strategy in Antarctica due to the complexity of logistics and high operational costs. Studies such as this may help to identify synergies between institutions and researchers from different nations, improving the scientific collaboration in this area of priority for conservation and management.</t>
  </si>
  <si>
    <t>[Tejedo, Pablo; Gutierrez, Berta; Pertierra, Luis R.; Benayas, Javier] Univ Autonoma Madrid, Fac Ciencias, Dept Ecol, ES-28049 Madrid, Spain</t>
  </si>
  <si>
    <t>Autonomous University of Madrid</t>
  </si>
  <si>
    <t>Tejedo, P (corresponding author), Univ Autonoma Madrid, Fac Ciencias, Dept Ecol, C Darwin 2, ES-28049 Madrid, Spain.</t>
  </si>
  <si>
    <t>pablo.tejedo@uam.es</t>
  </si>
  <si>
    <t>Pertierra, Luis R./K-3727-2017; Benayas Del Alamo, Fco. Javier/E-5663-2017; Tejedo, Pablo/A-7163-2010</t>
  </si>
  <si>
    <t>Pertierra, Luis R./0000-0002-2232-428X; Benayas Del Alamo, Fco. Javier/0000-0002-5906-9569; Tejedo, Pablo/0000-0002-1865-0445</t>
  </si>
  <si>
    <t>Spanish Government [CGL2007-28761-E/ANT, CTM2009-06604-E, CTM2010-11613-E]</t>
  </si>
  <si>
    <t>This paper is a contribution of several projects supported by the Spanish Government (grant No. CGL2007-28761-E/ANT, CTM2009-06604-E and CTM2010-11613-E). The authors would like to thank Oscar Bermudez (Spanish Polar Data Centre) for providing an initial database of works developed on Deception Island, and Dr Tina Tin for her constructive and helpful comments, which contributed to improving this paper. Many thanks also for the suggestions by three reviewers and the editors.</t>
  </si>
  <si>
    <t>10.1017/S0954102014000455</t>
  </si>
  <si>
    <t>WOS:000351295300004</t>
  </si>
  <si>
    <t>Nedzarek, A; Tórz, A; Podlasinska, J</t>
  </si>
  <si>
    <t>Nedzarek, Arkadiusz; Torz, Agnieszka; Podlasinska, Joanna</t>
  </si>
  <si>
    <t>Ionic composition of terrestrial surface waters in Maritime Antarctic and the processes involved in formation</t>
  </si>
  <si>
    <t>major ions; meltwater stream; nutrients; soils; South Shetland Islands</t>
  </si>
  <si>
    <t>KING-GEORGE ISLAND; SOUTH SHETLAND; MAJOR IONS; PENINSULA; CHEMISTRY; COMMUNITIES; ECOSYSTEMS; NUTRIENTS; VALLEYS; STATION</t>
  </si>
  <si>
    <t>The qualitative and quantitative composition of major ions and nutrient compounds in surface waters and soils of the west coast of Admiralty Bay (King George Island, West Antarctica) was investigated together with the effect of soil-forming processes and atmospheric precipitation on the ionic composition of surface waters. In the water bodies studied, Cl- and Na+ were dominant major ions (average concentrations: 1102.2 and 930.9 mu M, respectively). Average concentrations of the other major anions ranged from 2.80 mu M (F-) to 81.64 mu M (SO42-) and major cations ranged from 12.46 mu M (K+) to 130.76 mu M (Mg2+). Average concentrations of total reactive phosphorus, N-NO2-, N-NO3- and N-NH4+ amounted to 1.374, 0.410, 6.299 and 1.490 mu M, respectively. Average concentrations of Ca, Mg, Na, K, N and P in the surface layer of the soil equalled 16.8, 15.9, 6.4, 3.6, 0.646 and 0.744 g kg(-1), respectively. The calculated Na+/Cl-, Ca2+/Mg2+, Ca2+/Na+ and HCO3-/Cl- ratios revealed that atmospheric precipitation was the main source of major ions. We conclude that the ionic composition of the waters of the western coast of Admiralty Bay differ from surface waters of Continental Antarctica.</t>
  </si>
  <si>
    <t>[Nedzarek, Arkadiusz] West Pomeranian Univ Technol, Dept Aquat Sozol, PL-71550 Szczecin, Poland; [Nedzarek, Arkadiusz; Torz, Agnieszka] Polish Acad Sci, Dept Antarctic Biol, PL-02141 Warsaw, Poland; [Podlasinska, Joanna] West Pomeranian Univ Technol, Dept Environm Protect &amp; Management, PL-71434 Szczecin, Poland</t>
  </si>
  <si>
    <t>West Pomeranian University of Technology; Polish Academy of Sciences; West Pomeranian University of Technology</t>
  </si>
  <si>
    <t>Nedzarek, A (corresponding author), West Pomeranian Univ Technol, Dept Aquat Sozol, K Krolewicza 4, PL-71550 Szczecin, Poland.</t>
  </si>
  <si>
    <t>Podlasińska, Joanna K./H-2936-2016; Tórz, Agnieszka/AAG-9251-2021; Nędzarek, Arkadiusz/F-3959-2016</t>
  </si>
  <si>
    <t>Podlasińska, Joanna K./0000-0002-2021-4909; Tórz, Agnieszka/0000-0003-2159-981X; Nędzarek, Arkadiusz/0000-0002-6094-3647</t>
  </si>
  <si>
    <t>Department of Antarctic Biology, Polish Academy of Science</t>
  </si>
  <si>
    <t>We would like to thank the Department of Antarctic Biology, Polish Academy of Science, for providing the funding and facilities for this work, and especially the staff of Arctowski Station during the 2004-05 season for their assistance and companionship. We would also like to thank the reviewers whose comments significantly improved the quality of this paper.</t>
  </si>
  <si>
    <t>10.1017/S0954102014000522</t>
  </si>
  <si>
    <t>WOS:000351295300005</t>
  </si>
  <si>
    <t>Levy, J; Fountain, A; Lyons, WB; Welch, K</t>
  </si>
  <si>
    <t>Levy, Joseph; Fountain, Andrew; Lyons, W. Berry; Welch, Kathy</t>
  </si>
  <si>
    <t>Experimental formation of pore fluids in McMurdo Dry Valleys soils</t>
  </si>
  <si>
    <t>brine; deliquescence; groundwater; Taylor Valley; wet patch</t>
  </si>
  <si>
    <t>TAYLOR VALLEY; ANTARCTICA; GEOCHEMISTRY; MARS; PERMAFROST; DESERT; SALTS; SEEPS; WATER</t>
  </si>
  <si>
    <t>The aim of the study was to determine if soil salt deliquescence and brine hydration can occur under laboratory conditions using natural McMurdo Dry Valleys soils. The experiment was a laboratory analogue for the formation of isolated patches of hypersaline, damp soil, referred to as 'wet patches'. Soils were oven dried and then hydrated in one of two humidity chambers: one at 100% relative humidity and the second at 75% relative humidity. Soil hydration is highly variable, and over the course of 20 days of hydration, ranged from increases in water content by mass from 0-16% for 122 soil samples from Taylor Valley. The rate and absolute amount of soil hydration correlates well with the soluble salt content of the soils but not with grain size distribution. This suggests that the formation of bulk pore waters in these soils is a consequence of salt deliquescence and hydration of the brine from atmospheric water vapour.</t>
  </si>
  <si>
    <t>[Levy, Joseph] Univ Texas Inst Geophys, Jackson Sch Geosci, Austin, TX 78758 USA; [Fountain, Andrew] Portland State Univ, Dept Geol, Portland, OR 97210 USA; [Lyons, W. Berry; Welch, Kathy] Ohio State Univ, Byrd Polar Res Ctr, Columbus, OH 43210 USA; [Lyons, W. Berry; Welch, Kathy] Ohio State Univ, Sch Earth Sci, Columbus, OH 43210 USA</t>
  </si>
  <si>
    <t>Portland State University; University System of Ohio; Ohio State University; University System of Ohio; Ohio State University</t>
  </si>
  <si>
    <t>Levy, J (corresponding author), Univ Texas Inst Geophys, Jackson Sch Geosci, Austin, TX 78758 USA.</t>
  </si>
  <si>
    <t>joe.levy@utexas.edu</t>
  </si>
  <si>
    <t>Welch, Kathleen/0000-0003-1028-3086; Levy, Joseph/0000-0002-6222-139X</t>
  </si>
  <si>
    <t>National Science Foundation [PLR-1343649]; Directorate For Geosciences; Office of Polar Programs (OPP) [1115245] Funding Source: National Science Foundation</t>
  </si>
  <si>
    <t>National Science Foundation(National Science Foundation (NSF)); Directorate For Geosciences; Office of Polar Programs (OPP)(National Science Foundation (NSF)NSF - Directorate for Geosciences (GEO))</t>
  </si>
  <si>
    <t>Many thanks to the McMurdo Dry Valleys Long Term Ecological Research program for access to meteorological station data (via www.mcmlter.org). This work was supported in part by National Science Foundation award PLR-1343649 to JSL, AGF and WBL. Special thanks to Warren Dickinson and Jonathan Toner for their thoughtful and constructive reviews and to Andy Levy for additional discussion.</t>
  </si>
  <si>
    <t>10.1017/S0954102014000479</t>
  </si>
  <si>
    <t>WOS:000351295300006</t>
  </si>
  <si>
    <t>Allen, PP; Hewitt, R; Obryk, MK; Doran, PT</t>
  </si>
  <si>
    <t>Allen, Phillip P.; Hewitt, Richard; Obryk, Maciej K.; Doran, Peter T.</t>
  </si>
  <si>
    <t>Sediment transport dynamics on an ice-covered lake: the 'floating' boulders of Lake Hoare, Antarctica</t>
  </si>
  <si>
    <t>lake ice; non-linear; plate; rafting; rolling</t>
  </si>
  <si>
    <t>GEOCHEMISTRY; VALLEY</t>
  </si>
  <si>
    <t>Between 1995 and 2011 a global positioning system survey of 13 boulders and three ablation stakes (long stakes frozen in the ice) on the frozen surface of Lake Hoare was undertaken. Data interpretation illustrates complexities of post-depositional transport dynamics of boulders. Earlier studies on comparable datasets have suggested linear 'conveyor' type transport mechanisms for lake surface boulders. Yet explanations for non-linear boulder displacements or 'walks' and the mechanisms responsible for movements are inadequate. Two modes of boulder specific movement were observed. First, localized changes in the ice surface promote individual boulder movement (rolling). Second, ice rafting, which indicates the displacement of 'plates' of lake ice on which the boulder is located. Ablation stakes used as fixed survey control points support the hypothesis that ice cover moves as discrete plates rather than as a single homogenous mass. Factors that create the conditions to generate either of the two modes of movement may be related to location specific energy budgets. A relationship between average orientations and prevailing wind direction was also observed. The investigation describes the local-scale behaviour of surveyed boulders, and offers methodologies and interpretive frameworks for additional studies of modern and ancient sediment transportation dynamics in Antarctic lacustrine environments.</t>
  </si>
  <si>
    <t>[Allen, Phillip P.] Frostburg State Univ, Dept Geog, Frostburg, MD 21532 USA; [Hewitt, Richard] Univ Alcala de Henares, Dept Geog, Madrid 28801, Spain; [Obryk, Maciej K.; Doran, Peter T.] Univ Illinois, Dept Earth &amp; Environm Sci, Chicago, IL 60607 USA</t>
  </si>
  <si>
    <t>University System of Maryland; Frostburg State University; Universidad de Alcala; University of Illinois System; University of Illinois Chicago; University of Illinois Chicago Hospital</t>
  </si>
  <si>
    <t>Allen, PP (corresponding author), Frostburg State Univ, Dept Geog, Frostburg, MD 21532 USA.</t>
  </si>
  <si>
    <t>ppallen@frostburg.edu</t>
  </si>
  <si>
    <t>hewitt, richard/AAT-9902-2020</t>
  </si>
  <si>
    <t>hewitt, richard/0000-0003-4169-8647; Obryk, Maciej/0000-0002-8182-8656</t>
  </si>
  <si>
    <t>National Foundation of Science, Office of Polar Programs [1115245]; Office of Polar Programs (OPP); Directorate For Geosciences [1115245] Funding Source: National Science Foundation</t>
  </si>
  <si>
    <t>National Foundation of Science, Office of Polar Programs; Office of Polar Programs (OPP); Directorate For Geosciences(National Science Foundation (NSF)NSF - Directorate for Geosciences (GEO))</t>
  </si>
  <si>
    <t>We acknowledge the support provided by the National Foundation of Science, Office of Polar Programs to the McMurdo Dry Valleys Long Term Ecological Research (LTER) programme (grant number 1115245). Many thanks to Bjorn Johns, Beth Bartel and Thomas Nylen the UNAVCO field personnel who accurately surveyed the boulders. Additional fieldwork was performed from LTER scientists, Jennifer Knoepfle (nee Lawson), Carrie Olsen and Roman Borochin. We are grateful to Dr Jason Jordan, Dr Jennifer Knoepfle, Dr Marc Michael and Mr Simon Parfitt for comments on an early version of this manuscript, and to the anonymous reviewers.</t>
  </si>
  <si>
    <t>10.1017/S0954102014000558</t>
  </si>
  <si>
    <t>WOS:000351295300007</t>
  </si>
  <si>
    <t>An, MJ; Wiens, D; An, CL; Shi, GT; Zhao, Y; Li, YS</t>
  </si>
  <si>
    <t>An, Meijian; Wiens, Douglas; An, Chunlei; Shi, Guitao; Zhao, Yue; Li, Yuansheng</t>
  </si>
  <si>
    <t>Antarctic ice velocities from GPS locations logged by seismic stations</t>
  </si>
  <si>
    <t>GAMSEIS; glacier movement; navigation-grade GPS; POLENET</t>
  </si>
  <si>
    <t>LAMBERT GLACIER BASIN; EAST ANTARCTICA; BALANCE; MOTION; SHEET</t>
  </si>
  <si>
    <t>In 2007-08, seismologists began deploying passive seismic stations over much of the Antarctic ice sheet. These stations routinely log their position by navigation-grade global positioning system (GPS) receivers. This location data can be used to track the stations situated on moving ice. For stations along the traverse from Zhongshan station to Dome A in East Antarctica and at the West Antarctic Ice Sheet divide the estimated velocities of the ice surface based on positions recorded by navigation-grade GPS are consistent with those obtained by high-accuracy geodetic GPS. Most of the estimated velocities have an angle difference of &lt;28 degrees with the steepest downhill vector of the ice surface slope at the stations. These results indicate that navigation-grade GPS measurements over several months provide reliable information on ice sheet movement of &gt;= 1m yr(-1). With an uncertainty of similar to 0.3(-1)m yr(-1), this method is able to resolve both very slow ice velocities near Dome A and velocities of &gt; 100m yr(-1) on Thwaites Glacier. Information on ice velocity at three locations for which no data from satellite-based interferometric synthetic aperture radar are available have also been provided using this method.</t>
  </si>
  <si>
    <t>[An, Meijian; Zhao, Yue] Chinese Acad Geol Sci, Inst Geomech, Beijing 100081, Peoples R China; [Wiens, Douglas] Washington Univ, Dept Earth &amp; Planetary Sci, St Louis, MO 63130 USA; [An, Chunlei; Shi, Guitao; Li, Yuansheng] Polar Res Inst China, Shanghai 200136, Peoples R China</t>
  </si>
  <si>
    <t>China Geological Survey; Chinese Academy of Geological Sciences; Institute of Geomechanics, Chinese Academy of Geological Sciences; Washington University (WUSTL); Polar Research Institute of China</t>
  </si>
  <si>
    <t>An, MJ (corresponding author), Chinese Acad Geol Sci, Inst Geomech, Beijing 100081, Peoples R China.</t>
  </si>
  <si>
    <t>meijianan@live.com</t>
  </si>
  <si>
    <t>; Wiens, Douglas/J-9259-2016</t>
  </si>
  <si>
    <t>An, Meijian/0000-0002-9727-0984; Wiens, Douglas/0000-0002-5169-4386</t>
  </si>
  <si>
    <t>National Natural Science Foundation of China [NSFC-40874021]; Chinese Polar Environment Comprehensive Investigation &amp; Assessment Programmes [CHINARE2013-02-05]; Chinese PANDA in the IPY; US National Science Foundation [ANT-0537597, ANT-0632209]</t>
  </si>
  <si>
    <t>National Natural Science Foundation of China(National Natural Science Foundation of China (NSFC)); Chinese Polar Environment Comprehensive Investigation &amp; Assessment Programmes; Chinese PANDA in the IPY; US National Science Foundation(National Science Foundation (NSF))</t>
  </si>
  <si>
    <t>All Chinese field work was conducted by the 24th-27th Chinese National Antarctic Research Expeditions during 2007-11, and the fieldwork at the seismic stations during the 24th expedition (2007-08) was conducted by Dr Xiao Cheng. We are grateful for the logistical support of the Antarctic Administration of China and all members of the Chinese inland icecap expeditions. The US GAMSEIS-AGAP and ANET-POLENET stations were deployed with the assistance of the IRIS/PASSCAL instrument center. The criticisms and detailed comments from Editor Laurie Padman and three anonymous reviewers were very helpful for the improvement of the text. This work was funded by the National Natural Science Foundation of China (grant No. NSFC-40874021), Chinese Polar Environment Comprehensive Investigation &amp; Assessment Programmes (grant No. CHINARE2013-02-05), the Chinese PANDA in the IPY, and US National Science Foundation (grants ANT-0537597 and ANT-0632209). All figures are generated using the Generic Mapping Tools (GMT) (Wessel &amp; Smith 1991).</t>
  </si>
  <si>
    <t>10.1017/S0954102014000704</t>
  </si>
  <si>
    <t>WOS:000351295300010</t>
  </si>
  <si>
    <t>Evtushevsky, OM; Kravchenko, VO; Hood, LL; Milinevsky, GP</t>
  </si>
  <si>
    <t>Evtushevsky, O. M.; Kravchenko, V. O.; Hood, L. L.; Milinevsky, G. P.</t>
  </si>
  <si>
    <t>Teleconnection between the central tropical Pacific and the Antarctic stratosphere: spatial patterns and time lags</t>
  </si>
  <si>
    <t>Teleconnection; Central tropical Pacific; Antarctic stratosphere; Temperature; Total ozone content; Zonal wind; Lagged correlation</t>
  </si>
  <si>
    <t>SEA-SURFACE TEMPERATURE; STATIONARY PLANETARY-WAVES; NINO-SOUTHERN-OSCILLATION; EL-NINO; INTERANNUAL VARIABILITY; TOTAL OZONE; CLIMATOLOGY; ATMOSPHERE; HOLE; CIRCULATION</t>
  </si>
  <si>
    <t>Coupling between the central tropical Pacific (CTP) sea surface temperature (SST) variability and the Antarctic stratosphere known from previous studies is analysed using a lagged correlation method. Monthly mean SST, stratospheric temperatures and zonal winds from the NCEP-NCAR reanalysis and total ozone from the Merged Ozone Data Set over the 1979-2011 period are used. Indices for interannual variability were created and sequential lagged correlations were used to determine the spatial patterns and time lags of the strongest teleconnection. It has been revealed that interannual SST variations in a westward-oriented V-shaped pattern in the CTP region (160-220 degrees E, 30 degrees N-20 degrees S) are associated with statistically significant positive signals in zonally asymmetric region of the Antarctic stratosphere temperature field. Stratospheric pathway dominates in the poleward and downward propagation of the CTP related anomaly in the Southern Hemisphere zonal wind variability. Abrupt modification of the teleconnection patterns in October is accompanied by occurrence of the intense meridional wave train in the lower stratosphere and troposphere. The strongest lagged correlations between the CTP SST index in June and the Southern Hemisphere atmosphere variables in October (r = +/- 0.7) could be related to the corresponding seasonal peaks in the stationary planetary wave activity. Possible causes of the V-pattern formation and the lagged teleconnection mechanisms are briefly discussed.</t>
  </si>
  <si>
    <t>[Evtushevsky, O. M.; Kravchenko, V. O.; Milinevsky, G. P.] Taras Shevchenko Natl Univ Kyiv, Kiev, Ukraine; [Hood, L. L.] Univ Arizona, Lunar &amp; Planetary Lab, Tucson, AZ 85721 USA</t>
  </si>
  <si>
    <t>Ministry of Education &amp; Science of Ukraine; Taras Shevchenko National University of Kyiv; University of Arizona</t>
  </si>
  <si>
    <t>Evtushevsky, OM (corresponding author), Taras Shevchenko Natl Univ Kyiv, Kiev, Ukraine.</t>
  </si>
  <si>
    <t>o_evtush@ukr.net</t>
  </si>
  <si>
    <t>Milinevsky, Gennadi/AAD-8801-2019; Evtushevsky, Oleksandr O.M./F-2065-2017</t>
  </si>
  <si>
    <t>Milinevsky, Gennadi/0000-0002-2342-2615; Evtushevsky, Oleksandr O.M./0000-0003-0582-559X</t>
  </si>
  <si>
    <t>Taras Shevchenko National University of Kyiv [11BF051-01]; Australian Antarctic Science Program [4012]</t>
  </si>
  <si>
    <t>Taras Shevchenko National University of Kyiv; Australian Antarctic Science Program</t>
  </si>
  <si>
    <t>NCEP-NCAR Reanalysis data and correlation field images provided by the NOAA/OAR/ESRL Physical Sciences Division, Boulder, Colorado, USA, from their Web site at http://www.esrl.noaa.gov/psd/. Merged Ozone Data Set provided by the NASA Goddard Space Flight Center Web site http://acdb-ext.gsfc.nasa.gov/Data_services/merged/. This work was supported by Taras Shevchenko National University of Kyiv, project 11BF051-01. The work was partly carried out within the framework of the Polar FORCeS project no. 4012 of the Australian Antarctic Science Program. Authors thank the two anonymous Reviewers for helpful comments and suggestions.</t>
  </si>
  <si>
    <t>7-8</t>
  </si>
  <si>
    <t>10.1007/s00382-014-2375-2</t>
  </si>
  <si>
    <t>CD9YS</t>
  </si>
  <si>
    <t>WOS:000351458300008</t>
  </si>
  <si>
    <t>Marshall, J; Scott, JR; Armour, KC; Campin, JM; Kelley, M; Romanou, A</t>
  </si>
  <si>
    <t>Marshall, John; Scott, Jeffery R.; Armour, Kyle C.; Campin, J. -M.; Kelley, Maxwell; Romanou, Anastasia</t>
  </si>
  <si>
    <t>The ocean's role in the transient response of climate to abrupt greenhouse gas forcing</t>
  </si>
  <si>
    <t>Climate change; Ocean; Climate feedbacks; Greenhouse gas warming; Arctic; Antarctic</t>
  </si>
  <si>
    <t>ANTARCTIC SEA-ICE; THERMOHALINE CIRCULATION; OVERTURNING CIRCULATION; SOUTHERN-OCEAN; HEAT; MODEL; CO2; AMPLIFICATION; FEEDBACKS; IMPACTS</t>
  </si>
  <si>
    <t>We study the role of the ocean in setting the patterns and timescale of the transient response of the climate to anthropogenic greenhouse gas forcing. A novel framework is set out which involves integration of an ocean-only model in which the anthropogenic temperature signal is forced from the surface by anomalous down-welling heat fluxes and damped at a rate controlled by a 'climate feedback' parameter. We observe a broad correspondence between the evolution of the anthropogenic temperature (T-anthro) in our simplified ocean-only model and that of coupled climate models perturbed by a quadrupling of CO2. This suggests that many of the mechanisms at work in fully coupled models are captured by our idealized ocean-only system. The framework allows us to probe the role of the ocean in delaying warming signals in the Southern Ocean and in the northern North Atlantic, and in amplifying the warming signal in the Arctic. By comparing active and passive temperature-like tracers we assess the degree to which changes in ocean circulation play a role in setting the distribution and evolution of T-anthro. The background ocean circulation strongly influences the large-scale patterns of ocean heat uptake and storage, such that T-anthro is governed by an advection/diffusion equation and weakly damped to the atmosphere at a rate set by climate feedbacks. Where warming is sufficiently small, for example in the Southern Ocean, changes in ocean circulation play a secondary role. In other regions, most noticeably in the North Atlantic, changes in ocean circulation induced by T-anthro are central in shaping the response.</t>
  </si>
  <si>
    <t>[Marshall, John; Armour, Kyle C.; Campin, J. -M.] MIT, Dept Earth Atmospher &amp; Planetary Sci, Cambridge, MA 02139 USA; [Scott, Jeffery R.] MIT, Ctr Global Change Sci, Cambridge, MA 02139 USA; [Kelley, Maxwell; Romanou, Anastasia] Columbia Univ, Goddard Inst Space Sci, New York, NY USA</t>
  </si>
  <si>
    <t>Massachusetts Institute of Technology (MIT); Massachusetts Institute of Technology (MIT); Columbia University</t>
  </si>
  <si>
    <t>Marshall, J (corresponding author), MIT, Dept Earth Atmospher &amp; Planetary Sci, Cambridge, MA 02139 USA.</t>
  </si>
  <si>
    <t>jmarsh@mit.edu</t>
  </si>
  <si>
    <t>NASA MAP program; Joint Program on the Science and Policy of Global Change; James S. McDonnell Foundation Postdoctoral Fellowship; Office of Science of the US Department of Energy [DE-AC05-76RL01830]; Directorate For Geosciences; Division Of Ocean Sciences [1259388] Funding Source: National Science Foundation</t>
  </si>
  <si>
    <t>NASA MAP program(National Aeronautics &amp; Space Administration (NASA)); Joint Program on the Science and Policy of Global Change; James S. McDonnell Foundation Postdoctoral Fellowship; Office of Science of the US Department of Energy(United States Department of Energy (DOE)); Directorate For Geosciences; Division Of Ocean Sciences(National Science Foundation (NSF)NSF - Directorate for Geosciences (GEO))</t>
  </si>
  <si>
    <t>J.M. and A.R. would like to acknowledge support from the NASA MAP program. J.S. received support from the Joint Program on the Science and Policy of Global Change, which is funded by a number of federal agencies and a consortium of 40 industrial and foundation sponsors. K.A. received support from a James S. McDonnell Foundation Postdoctoral Fellowship. Some of this research used the Evergreen computing cluster at the Pacific Northwest National Laboratory. Evergreen is supported by the Office of Science of the US Department of Energy under Contract No. (DE-AC05-76RL01830).</t>
  </si>
  <si>
    <t>10.1007/s00382-014-2308-0</t>
  </si>
  <si>
    <t>WOS:000351458300033</t>
  </si>
  <si>
    <t>Kreiss, CM; Michael, K; Bock, C; Lucassen, M; Pörtner, HO</t>
  </si>
  <si>
    <t>Kreiss, Cornelia M.; Michael, Katharina; Bock, Christian; Lucassen, Magnus; Poertner, Hans-O.</t>
  </si>
  <si>
    <t>Impact of long-term moderate hypercapnia and elevated temperature on the energy budget of isolated gills of Atlantic cod (Gadus morhua)</t>
  </si>
  <si>
    <t>COMPARATIVE BIOCHEMISTRY AND PHYSIOLOGY A-MOLECULAR &amp; INTEGRATIVE PHYSIOLOGY</t>
  </si>
  <si>
    <t>F1F0-ATPase; Gadus morhua; H-1 NMR spectroscopy; H+-ATPase; Ocean acidification; Isolated gill respiration; Na+/K+-ATPase</t>
  </si>
  <si>
    <t>ACID-BASE REGULATION; SALMON SALMO-SALAR; K+-ATPASE ACTIVITY; OCEAN ACIDIFICATION; IONIC REGULATION; ANTARCTIC FISH; NA+/K+-ATPASE; H+-ATPASE; THERMAL SENSITIVITY; OXYGEN-CONSUMPTION</t>
  </si>
  <si>
    <t>Effects of severe hypercapnia have been extensively studied in marine fishes, while knowledge on the impacts of moderately elevated CO2 levels and their combination with warming is scarce. Here we investigate ion regulation mechanisms and energy budget in gills from Atlantic cod acclimated long-term to elevated PCO2 levels (2500 mu atm) and temperature (18 degrees C). Isolated perfused gill preparations were established to determine gill thermal plasticity during acute exposures (10-22 degrees C) and in vivo costs of Na+/K+-ATPase activity, protein and RNA synthesis. Maximum enzyme capacities of F1F0-ATPase, H+-ATPase and Na+/K+-ATPase were measured in vitro in crude gill homogenates. After whole animal acclimation to elevated PCO2 and/or warming, branchial oxygen consumption responded more strongly to acute temperature change. The fractions of gill respiration allocated to protein and RNA synthesis remained unchanged. In gills of fish CO2-exposed at both temperatures, energy turnover associated with Na+/K+-ATPase activity was reduced by 30% below rates of control fish. This contrasted in vitro capacities of Na+/K+-ATPase, which remained unchanged under elevated CO2 at 10 degrees C, and earlier studies which had found a strong upregulation under severe hypercapnia. F1F0-ATPase capacities increased in hypercapnic gills at both temperatures, whereas Na+/K(+)ATPase and H+-ATPase capacities only increased in response to elevated CO2 and warming indicating the absence of thermal compensation under CO2. We conclude that in vivo ion regulatory energy demand is lowered under moderately elevated CO2 levels despite the stronger thermal response of total gill respiration and the upregulation of F1F0-ATPase. This effect is maintained at elevated temperature. (C) 2014 Elsevier Inc. All rights reserved.</t>
  </si>
  <si>
    <t>[Kreiss, Cornelia M.; Michael, Katharina; Bock, Christian; Lucassen, Magnus; Poertner, Hans-O.] Alfred Wegener Inst, Helmholtz Ctr Marine &amp; Polar Res, Integrat Ecophysiol, D-27570 Bremerhaven, Germany</t>
  </si>
  <si>
    <t>Kreiss, CM (corresponding author), Alfred Wegener Inst, Helmholtz Ctr Marine &amp; Polar Res, Integrat Ecophysiol, Handelshafen 12, D-27570 Bremerhaven, Germany.</t>
  </si>
  <si>
    <t>Cornelia.Kreiss@awi.de</t>
  </si>
  <si>
    <t>Pörtner, Hans-O./ISU-9397-2023; Pörtner, Hans-O./K-9429-2016; Bock, Christian/B-4421-2017; Lucassen, Magnus/ABA-8396-2021; Lucassen, Magnus/E-8433-2011</t>
  </si>
  <si>
    <t>Pörtner, Hans-O./0000-0001-6535-6575; Bock, Christian/0000-0003-0052-3090; Lucassen, Magnus/0000-0003-4276-4781;</t>
  </si>
  <si>
    <t>Bundesministerium fur Forschung und Bildung</t>
  </si>
  <si>
    <t>Bundesministerium fur Forschung und Bildung(Federal Ministry of Education &amp; Research (BMBF))</t>
  </si>
  <si>
    <t>The authors would like to thank Nils Koschnick, Melanie Schiffer and Lars Harms and the crew of Uthorn for their help in the collection of fish, Silvia Hardenberg and Guido Krieten for their help in fish maintenance in Bremerhaven, as well as Sebastian Berger and Laura Stapp for their support in the preparation of fish tissues. Nils Koschnick and Karim Zanaty conducted the enzyme capacity measurements, which is gratefully acknowledged. This work contributes to the Bundesministerium fur Forschung und Bildung funded project Biological Impacts of Ocean Acidification (BIOACID) and is part of the Polar regions and coasts in a changing earth system (PACES) research programme of the Alfred Wegener Institute for Polar and Marine Research.</t>
  </si>
  <si>
    <t>1095-6433</t>
  </si>
  <si>
    <t>1531-4332</t>
  </si>
  <si>
    <t>COMP BIOCHEM PHYS A</t>
  </si>
  <si>
    <t>Comp. Biochem. Physiol. A-Mol. Integr. Physiol.</t>
  </si>
  <si>
    <t>10.1016/j.cbpa.2014.12.019</t>
  </si>
  <si>
    <t>Biochemistry &amp; Molecular Biology; Physiology; Zoology</t>
  </si>
  <si>
    <t>CE2KV</t>
  </si>
  <si>
    <t>WOS:000351645400014</t>
  </si>
  <si>
    <t>Sfiligoj, BJ; King, CK; Candy, SG; Mondon, JA</t>
  </si>
  <si>
    <t>Sfiligoj, Bianca J.; King, Catherine K.; Candy, Steven G.; Mondon, Julie A.</t>
  </si>
  <si>
    <t>Determining the sensitivity of the Antarctic amphipod Orchomenella pinguides to metals using a joint model of survival response to exposure concentration and duration</t>
  </si>
  <si>
    <t>ECOTOXICOLOGY</t>
  </si>
  <si>
    <t>Metal; Contamination; Bioassay; Toxicity test; Water quality guidelines</t>
  </si>
  <si>
    <t>MARINE-SEDIMENTS; CASEY STATION; TOXICITY; BIOACCUMULATION; COPPER; ZINC; CONTAMINATION; COMMUNITIES; RECRUITMENT; CADMIUM</t>
  </si>
  <si>
    <t>Developing water quality guidelines for Antarctic marine environments requires understanding the sensitivity of local biota to contaminant exposure. Antarctic invertebrates have shown slower contaminant responses in previous experiments compared to temperate and tropical species in standard toxicity tests. Consequently, test methods which take into account environmental conditions and biological characteristics of cold climate species need to be developed. This study investigated the effects of five metals on the survival of a common Antarctic amphipod, Orchomenella pinguides. Multiple observations assessing mortality to metal exposure were made over the 30 days exposure period. Traditional toxicity tests with quantal data sets are analysed using methods such as maximum likelihood regression (probit analysis) and Spearman-Karber which treat individual time period endpoints independently. A new statistical model was developed to integrate the time-series concentration-response data obtained in this study. Grouped survival data were modelled using a generalized additive mixed model (GAMM) which incorporates all the data obtained from multiple observation times to derive time integrated point estimates. The sensitivity of the amphipod, O. pinguides, to metals increased with increasing exposure time. Response times varied for different metals with amphipods responding faster to copper than to cadmium, lead or zinc. As indicated by 30 days lethal concentration (LC50) estimates, copper was the most toxic metal (31 mu g/L), followed by cadmium(168 mu g/L), lead (256 mu g/L) and zinc (822 mu g/L). Nickel exposure (up to 1.12 mg/L) did not affect amphipod survival. Using longer exposure durations and utilising the GAMM model provides an improved methodology for assessing sensitivities of slow responding Antarctic marine invertebrates to contaminants.</t>
  </si>
  <si>
    <t>[Sfiligoj, Bianca J.; King, Catherine K.] Australian Antarctic Div, Terr &amp; Nearshore Ecosyst, Kingston, Tas 7050, Australia; [Sfiligoj, Bianca J.; Mondon, Julie A.] Deakin Univ, Fac Sci &amp; Technol, Ctr Integrated Ecol, Warrnambool, Vic 3280, Australia; [Candy, Steven G.] Australian Antarctic Div, Wildlife Conservat &amp; Fisheries, Kingston, Tas 7050, Australia</t>
  </si>
  <si>
    <t>Australian Antarctic Division; Deakin University; Australian Antarctic Division</t>
  </si>
  <si>
    <t>Sfiligoj, BJ (corresponding author), Australian Antarctic Div, Terr &amp; Nearshore Ecosyst, 203 Channel Highway, Kingston, Tas 7050, Australia.</t>
  </si>
  <si>
    <t>biancasfiligoj@gmail.com</t>
  </si>
  <si>
    <t>King, Catherine K/G-7059-2017</t>
  </si>
  <si>
    <t>King, Catherine K/0000-0003-3356-0381; Sfiligoj, Bianca/0000-0001-7439-8857</t>
  </si>
  <si>
    <t>Australian Antarctic Science Grant [AAS 2933]; Australian Postgraduate Award scholarship</t>
  </si>
  <si>
    <t>Australian Antarctic Science Grant; Australian Postgraduate Award scholarship</t>
  </si>
  <si>
    <t>The authors thank the 2010-2011 summer Marine Science team at Davis Station, East Antarctic, including John van den Hoff, Lara Marcus, Sarah Payne, Ashley Miskelly, Melanie Ho, Jessica Ericson and Kathryn Brown for their support in field collections and experimental work. Thanks also to Andrew Bryant, Debbie Lang and Ashley Cooper for laboratory support, and to the Davis Station community for supporting this scientific research. This research was supported through an Australian Antarctic Science Grant (AAS 2933) awarded to C. King and through an Australian Postgraduate Award scholarship to B. Sfiligoj.</t>
  </si>
  <si>
    <t>0963-9292</t>
  </si>
  <si>
    <t>1573-3017</t>
  </si>
  <si>
    <t>Ecotoxicology</t>
  </si>
  <si>
    <t>10.1007/s10646-014-1406-4</t>
  </si>
  <si>
    <t>Ecology; Environmental Sciences; Toxicology</t>
  </si>
  <si>
    <t>CD5WV</t>
  </si>
  <si>
    <t>WOS:000351160300011</t>
  </si>
  <si>
    <t>Iacoviello, F; Giorgetti, G; Memmi, IT; Passchier, S</t>
  </si>
  <si>
    <t>Iacoviello, Francesco; Giorgetti, Giovanna; Memmi, Isabella Turbanti; Passchier, Sandra</t>
  </si>
  <si>
    <t>Early Miocene Antarctic glacial history: new insights from heavy mineral analysis from ANDRILL AND-2A drill core sediments</t>
  </si>
  <si>
    <t>INTERNATIONAL JOURNAL OF EARTH SCIENCES</t>
  </si>
  <si>
    <t>Antarctica; ANDRILL; Early Miocene; Heavy mineral analysis; Ice sheet; Ross Sea</t>
  </si>
  <si>
    <t>SOUTHERN MCMURDO SOUND; VICTORIA-LAND; TRANSANTARCTIC MOUNTAINS; ROSS SEA; VOLCANIC ACTIVITY; TAYLOR VALLEY; ICE-SHELF; PROVENANCE; EVOLUTION; RECORD</t>
  </si>
  <si>
    <t>The present study deals with heavy mineral analysis of late Early Miocene marine sediments recovered in the McMurdo Sound region (Ross Sea, Antarctica) during the ANDRILL-SMS Project in 2007. The main objective is to investigate how heavy mineral assemblages reflect different source rocks and hence different provenance areas. These data contribute to a better understanding of East Antarctica ice dynamics in the Ross Sea sector during the Early Miocene (17.6-20.2 Ma), a time of long-term global warming and sea level rise. The AND-2A drill core recovered several stratigraphic intervals that span from Early Miocene to Pleistocene and it collected a variety of terrigenous lithologies. The heavy mineral assemblages of the lower 650-m-thick sedimentary succession were analyzed through SEM observations and SEM-EDS microanalyses on heavy mineral grains. The heavy mineral analysis shows that the sediments are a mix of detritus dominated by McMurdo Volcanic Group sources most likely located in the present-day Mount Morning area (Proto-Mount Morning) with minor contribution from Transantarctic Mountains source rocks located west of the drill site. The heavy mineral assemblages in Interval 1 indicate that between 20.2 and 20.1 Ma, the grounding line of the ice sheet advanced to a position near the present-day Mount Morning volcanic center. During deposition of Interval 2 (20.1-19.3 Ma), the ice sheet most likely experienced a dynamic behavior with interval of ice advance alternating with periods of ice retreat, while Interval 3 (19.3-18.7 Ma) records further retreat to open water conditions. A dynamic behavior is noted in Interval 4 (18.7-17.6 Ma) with a decreasing contribution of materials derived from the basalts of the Mount Morning volcanic center located to the south of the drill site and a consequent increasing contribution of materials derived from the Transantarctic Mountains to the west of the drill site.</t>
  </si>
  <si>
    <t>[Iacoviello, Francesco] Univ Sao Paulo, Inst Oceanog, BR-05508120 Sao Paulo, SP, Brazil; [Giorgetti, Giovanna; Memmi, Isabella Turbanti] Univ Siena, Dipartimento Sci Fis Terra &amp; Ambiente, I-53100 Siena, Italy; [Passchier, Sandra] Montclair State Univ, Dept Earth &amp; Environm Studies, Montclair, NJ 07043 USA</t>
  </si>
  <si>
    <t>Universidade de Sao Paulo; University of Siena; Montclair State University</t>
  </si>
  <si>
    <t>Iacoviello, F (corresponding author), Univ Sao Paulo, Inst Oceanog, Praca Oceanog 191, BR-05508120 Sao Paulo, SP, Brazil.</t>
  </si>
  <si>
    <t>iacoviello@usp.br</t>
  </si>
  <si>
    <t>Passchier, Sandra/GYU-2381-2022; Iacoviello, Francesco/AAW-9047-2020; Passchier, Sandra/AAQ-2243-2021; Passchier, Sandra/B-1993-2008; Iacoviello, Francesco/D-5492-2014</t>
  </si>
  <si>
    <t>Iacoviello, Francesco/0000-0003-3564-2380; Passchier, Sandra/0000-0001-7204-7025; Passchier, Sandra/0000-0001-7204-7025; Iacoviello, Francesco/0000-0003-3564-2380; Giorgetti, Giovanna/0000-0001-6233-4485</t>
  </si>
  <si>
    <t>U.S. National Science Foundation (NSF); New Zealand Foundation for Research, Science and Technology (FRST); Italian Antarctic Research Program (PNRA); German Research Foundation (DFG); Alfred Wegener Institute for Polar and Marine Research (AWI); Fundacao de Amparo a Pesquisa do Estado de Sao Paulo (FAPESP) [2012/18304-3]; Fundacao de Amparo a Pesquisa do Estado de Sao Paulo (FAPESP) [12/18304-3] Funding Source: FAPESP</t>
  </si>
  <si>
    <t>U.S. National Science Foundation (NSF)(National Science Foundation (NSF)); New Zealand Foundation for Research, Science and Technology (FRST)(New Zealand Foundation for Research, Science and Technology); Italian Antarctic Research Program (PNRA); German Research Foundation (DFG)(German Research Foundation (DFG)); Alfred Wegener Institute for Polar and Marine Research (AWI); Fundacao de Amparo a Pesquisa do Estado de Sao Paulo (FAPESP)(Fundacao de Amparo a Pesquisa do Estado de Sao Paulo (FAPESP)); Fundacao de Amparo a Pesquisa do Estado de Sao Paulo (FAPESP)(Fundacao de Amparo a Pesquisa do Estado de Sao Paulo (FAPESP))</t>
  </si>
  <si>
    <t>The ANDRILL Program is a multinational collaboration between the Antarctic programs of Germany, Italy, New Zealand, and the United States. Antarctica New Zealand is the project operator and developed the drilling system in collaboration with Alex Pyne at Victoria University of Wellington and Webster Drilling and Exploration Ltd. Antarctica New Zealand supported the drilling team at Scott Base; Raytheon Polar Services Corporation supported the science team at McMurdo Station and the Crary Science and Engineering Laboratory. The ANDRILL Science Management Office at the University of Nebraska-Lincoln provided science planning and operational support. Scientific studies are jointly supported by the U.S. National Science Foundation (NSF), New Zealand Foundation for Research, Science and Technology (FRST), the Italian Antarctic Research Program (PNRA), the German Research Foundation (DFG), and the Alfred Wegener Institute for Polar and Marine Research (AWI). We are grateful to Dr. Ian Bailey and Dr. Kurt S. Panter for their useful and constructive comments. Dr. Francesco Iacoviello acknowledges the Fundacao de Amparo a Pesquisa do Estado de Sao Paulo (FAPESP) for financial support, Grant Number 2012/18304-3.</t>
  </si>
  <si>
    <t>1437-3254</t>
  </si>
  <si>
    <t>1437-3262</t>
  </si>
  <si>
    <t>INT J EARTH SCI</t>
  </si>
  <si>
    <t>Int. J. Earth Sci.</t>
  </si>
  <si>
    <t>10.1007/s00531-014-1117-3</t>
  </si>
  <si>
    <t>CE0TM</t>
  </si>
  <si>
    <t>WOS:000351519400019</t>
  </si>
  <si>
    <t>Wharton, DA; Raymond, MR</t>
  </si>
  <si>
    <t>Wharton, David A.; Raymond, Melianie R.</t>
  </si>
  <si>
    <t>Cold tolerance of the Antarctic nematodes Plectus murrayi and Scottnema lindsayae</t>
  </si>
  <si>
    <t>JOURNAL OF COMPARATIVE PHYSIOLOGY B-BIOCHEMICAL SYSTEMIC AND ENVIRONMENTAL PHYSIOLOGY</t>
  </si>
  <si>
    <t>Cold tolerance; Freezing; Antarctic; Nematode; Thermal hysteresis; Recrystallization inhibition</t>
  </si>
  <si>
    <t>PANAGROLAIMUS-DAVIDI; CRYOPROTECTIVE DEHYDRATION; TERRESTRIAL NEMATODES; FREEZING TOLERANCE; SEASONAL-VARIATION; SOIL NEMATODES; SURVIVAL; HARDINESS; PROTEINS; ANTIFREEZE</t>
  </si>
  <si>
    <t>The cold tolerance of the Antarctic nematodes Scottnema lindsayae and Plectus murrayi was determined using material freshly isolated from the field. Both species could survive low temperatures but the survival of S. lindsayae was greater than that of P. murrayi. Field soil temperatures in late spring-early summer indicated a minimum temperature of -19.5 A degrees C and a maximum cooling rate of 0.71 A degrees C min(-1). In P. murrayi grown in culture, there was no significant effect of acclimation, nor of the two culture media used, on survival after freezing but survival was greater if freezing was seeded at -1 A degrees C than at lower temperatures. The freezing survival ability of P. murrayi is much less than that of Panagrolaimus davidi CB1, another Antarctic nematode. Cryomicroscopy indicates that P. murrayi can survive low temperatures by either cryoprotective dehydration or freezing tolerance, but that freezing tolerance is the dominant strategy. Measurable thermal hysteresis was detected only in highly concentrated extracts of the nematodes, indicating the presence of an antifreeze protein, but at the concentrations likely to be found in vivo, the major function of the ice active protein involved is probably recrystallization inhibition.</t>
  </si>
  <si>
    <t>[Wharton, David A.; Raymond, Melianie R.] Univ Otago, Dept Zool, Dunedin, New Zealand</t>
  </si>
  <si>
    <t>University of Otago</t>
  </si>
  <si>
    <t>Wharton, DA (corresponding author), Univ Otago, Dept Zool, POB 56, Dunedin, New Zealand.</t>
  </si>
  <si>
    <t>david.wharton@otago.ac.nz</t>
  </si>
  <si>
    <t>Wharton, David/0000-0001-6369-4984; Raymond, Melianie/0000-0002-6158-8202</t>
  </si>
  <si>
    <t>University of Otago [PBRF: PL.104033.01.S.FZ.75]; Kelly Tarlton's Antarctica New Zealand Scholarship; Fanny Evans Postgraduate Scholarship for Women</t>
  </si>
  <si>
    <t>University of Otago; Kelly Tarlton's Antarctica New Zealand Scholarship; Fanny Evans Postgraduate Scholarship for Women</t>
  </si>
  <si>
    <t>We would like to thank Antarctica New Zealand for the support of our Antarctic studies (event no. KO66), Karen Judge and Amy Armstrong for technical assistance and the financial support of the University of Otago (PBRF: PL.104033.01.S.FZ.75). MRR would like to acknowledge the support of a Kelly Tarlton's Antarctica New Zealand Scholarship and the Fanny Evans Postgraduate Scholarship for Women. MRR would also like to thank Konstanze Gebauer for assistance in the field.</t>
  </si>
  <si>
    <t>0174-1578</t>
  </si>
  <si>
    <t>1432-136X</t>
  </si>
  <si>
    <t>J COMP PHYSIOL B</t>
  </si>
  <si>
    <t>J. Comp. Physiol. B-Biochem. Syst. Environ. Physiol.</t>
  </si>
  <si>
    <t>10.1007/s00360-014-0884-2</t>
  </si>
  <si>
    <t>CD9ZY</t>
  </si>
  <si>
    <t>WOS:000351462400002</t>
  </si>
  <si>
    <t>Grecian, WJ; McGill, RAR; Phillips, RA; Ryan, PG; Furness, RW</t>
  </si>
  <si>
    <t>Grecian, W. James; McGill, Rona A. R.; Phillips, Richard A.; Ryan, Peter G.; Furness, Robert W.</t>
  </si>
  <si>
    <t>Quantifying variation in δ 13C and δ 15N isotopes within and between feathers and individuals: Is one sample enough?</t>
  </si>
  <si>
    <t>AMINO-ACID-COMPOSITION; WHITE-CROWNED SPARROW; STABLE-ISOTOPES; MIGRATION PATTERNS; WINTERING AREA; BODY FEATHERS; STRATEGIES; SEABIRD; CARBON; NITROGEN</t>
  </si>
  <si>
    <t>Studies of avian migration increasingly use stable isotope analysis to provide vital trophic and spatial markers. However, when interpreting differences in stable isotope values of feathers, many studies are forced to make assumptions about the timing of moult. A fundamental question remains about the consistency of these values within and between feathers from the same individual. In this study, we examine variation in carbon and nitrogen isotopes by sub-sampling feathers collected from the wings of adults of two small congeneric petrel species, the broad-billed Pachyptila vittata and Antarctic prion P. desolata. Broad-billed prion feather vane material was enriched in N-15 compared to feather rachis material, but there was no detectable difference in delta C-13. Comparison of multiple samples taken from Antarctic prion feathers indicated subtle difference in isotopes; rachis material was enriched in C-13 compared to vane material, and there were differences along the length of the feather, with samples from the middle and tip of the feather depleted in N-15 compared to those from the base. While the greatest proportion of model variance was explained by differences between feathers and individuals, the magnitude of these within-feather differences was up to 0.5 aEuro degrees in delta N-15 and 0.8 aEuro degrees in delta C-13. We discuss the potential drivers of these differences, linking isotopic variation to individual-level dietary differences, movement patterns and temporal dietary shifts. A novel result is that within-feather differences in delta C-13 may be attributed to differences in keratin structure within feathers, suggesting further work is required to understand the role of different amino acids. Our results highlight the importance of multiple sampling regimes that consider both within- and between-feather variation in studies using stable isotopes.</t>
  </si>
  <si>
    <t>[Grecian, W. James; Furness, Robert W.] Univ Glasgow, Coll Med Vet &amp; Life Sci, Inst Biodivers Anim Hlth &amp; Comparat Med, Glasgow G12 8QQ, Lanark, Scotland; [McGill, Rona A. R.] Scottish Univ Environm Res Ctr, NERC Life Sci Mass Spectrometry Facil, E Kilbride G75 0QF, Lanark, Scotland; [Phillips, Richard A.] British Antarctic Survey, Nat Environm Res Council, Cambridge CB3 0ET, England; [Ryan, Peter G.] Univ Cape Town, Percy FitzPatrick Inst, DST NRF Ctr Excellence, ZA-7701 Rondebosch, South Africa</t>
  </si>
  <si>
    <t>University of Glasgow; Scottish Universities Research &amp; Reactor Center; UK Research &amp; Innovation (UKRI); Natural Environment Research Council (NERC); UK Research &amp; Innovation (UKRI); Natural Environment Research Council (NERC); NERC British Antarctic Survey; National Research Foundation - South Africa; University of Cape Town</t>
  </si>
  <si>
    <t>Grecian, WJ (corresponding author), Univ Glasgow, Coll Med Vet &amp; Life Sci, Inst Biodivers Anim Hlth &amp; Comparat Med, Graham Kerr Bldg, Glasgow G12 8QQ, Lanark, Scotland.</t>
  </si>
  <si>
    <t>james.grecian@glasgow.ac.uk</t>
  </si>
  <si>
    <t>McGill, Rona/F-1793-2010; McGill, Rona/JAC-6969-2023; Grecian, James/A-7689-2012</t>
  </si>
  <si>
    <t>McGill, Rona/0000-0003-0400-7288; Grecian, James/0000-0002-6428-719X</t>
  </si>
  <si>
    <t>Natural Environment Research Council; NERC [NE/I02237X/1]; NERC [bas0100025, NE/I02237X/1, lsmsf010002, NE/I023503/1] Funding Source: UKRI; Natural Environment Research Council [NE/I02237X/1, NE/I023503/1, bas0100025, lsmsf010002] Funding Source: researchfish</t>
  </si>
  <si>
    <t>Natural Environment Research Council(UK Research &amp; Innovation (UKRI)Natural Environment Research Council (NERC)); NERC(UK Research &amp; Innovation (UKRI)Natural Environment Research Council (NERC)); NERC(UK Research &amp; Innovation (UKRI)Natural Environment Research Council (NERC)); Natural Environment Research Council(UK Research &amp; Innovation (UKRI)Natural Environment Research Council (NERC))</t>
  </si>
  <si>
    <t>The authors would like to thank Dan Haydon, Paul Johnson and Sam Patrick for statistical advice. We are grateful to Kalinka Rexer-Huber and Graham Parker for collecting Gough Island samples and to Ruth Brown and other field assistants for collecting feathers from Bird Island. This study represents a contribution to the ecosystems component of the British Antarctic Survey Polar Science for Planet Earth Programme, funded by The Natural Environment Research Council and through a NERC standard grant NE/I02237X/1.</t>
  </si>
  <si>
    <t>10.1007/s00227-015-2618-8</t>
  </si>
  <si>
    <t>CD6VK</t>
  </si>
  <si>
    <t>Green Published, hybrid, Green Accepted</t>
  </si>
  <si>
    <t>WOS:000351227900001</t>
  </si>
  <si>
    <t>Nichols, R; Yamazaki, S; Jennings, S; Watson, RA</t>
  </si>
  <si>
    <t>Nichols, Rachel; Yamazaki, Satoshi; Jennings, Sarah; Watson, Reg A.</t>
  </si>
  <si>
    <t>Fishing access agreements and harvesting decisions of host and distant water fishing nations</t>
  </si>
  <si>
    <t>MARINE POLICY</t>
  </si>
  <si>
    <t>Fisheries; Access agreements; Tuna; Pacific island nations; Distant water fishing nations</t>
  </si>
  <si>
    <t>FOOD SECURITY; FISHERIES; SUSTAINABILITY; VULNERABILITY; REEF; KEY</t>
  </si>
  <si>
    <t>The declaration of exclusive economic zones (EEZs) granted coastal states sovereign rights over the marine resources in their EEZs and enabled developing coastal states to legally charge access fees to distant water fishing (DWF) nations for access to the resources in these waters. Despite the potential for economic gains, however, the ability of coastal states to benefit from the granting of sovereign rights and to ensure the sustainable use of their fisheries resources depends on how domestic fishing effort responds to the harvesting decisions of the DWF nations. We develop a stylized bioeconomic model to explore the change in fishing behavior of host and DWF nations when the two nations enter into an access agreement with varying levels of access fee. We further conduct an econometric analysis of changes in Pacific island nations' harvesting behavior in response to the harvest decisions of DWF nations using data from the Western and Central Pacific tuna fishery. Our model results show that there is a range of variable access payment levels over which the host nation substitutes benefits from its domestic fishing activity with access payments from the DWF nation and that setting fees in this range can create a trap whereby host nations are forced to trade-off receiving a fair return to their fishery resources through access fees and retaining their own active fleet capacity. Our empirical analysis further shows a gradual shift in the way in which Pacific island host nations responded to the harvest decision of DWF nations as a result of the creation of the 200-nautical-mile EEZ. (C) 2014 Elsevier Ltd. All rights reserved.</t>
  </si>
  <si>
    <t>[Nichols, Rachel; Yamazaki, Satoshi; Jennings, Sarah] Univ Tasmania, Tasmanian Sch Business &amp; Econ, Hobart, Tas 7001, Australia; [Watson, Reg A.] Univ Tasmania, Inst Marine &amp; Antarctic Studies, Taroona, Tas 7001, Australia</t>
  </si>
  <si>
    <t>Yamazaki, S (corresponding author), Univ Tasmania, Tasmanian Sch Business &amp; Econ, Private Bag 84, Hobart, Tas 7001, Australia.</t>
  </si>
  <si>
    <t>rachel_nichols07@hotmail.com; satoshi.yamazaki@utas.edu.au; sarah.jennings@utas.edu.au; R.A.Watson@utas.edu.au</t>
  </si>
  <si>
    <t>Yamazaki, Satoshi/J-7538-2014; Watson, Reg A/F-4850-2012; Jennings, Sarah/J-7888-2014; Nichols, Rachel/I-6385-2016</t>
  </si>
  <si>
    <t>Yamazaki, Satoshi/0000-0003-1279-2706; Watson, Reg A/0000-0001-7201-8865; Jennings, Sarah/0000-0002-5760-4193; Nichols, Rachel/0000-0001-5386-4994</t>
  </si>
  <si>
    <t>0308-597X</t>
  </si>
  <si>
    <t>1872-9460</t>
  </si>
  <si>
    <t>MAR POLICY</t>
  </si>
  <si>
    <t>Mar. Pol.</t>
  </si>
  <si>
    <t>10.1016/j.marpol.2014.12.019</t>
  </si>
  <si>
    <t>Environmental Studies; International Relations</t>
  </si>
  <si>
    <t>Environmental Sciences &amp; Ecology; International Relations</t>
  </si>
  <si>
    <t>CE2LQ</t>
  </si>
  <si>
    <t>WOS:000351647500010</t>
  </si>
  <si>
    <t>Veettil, VP; Abdulaziz, A; Chekidhenkuzhiyil, J; Ramkollath, LK; Hamza, FK; Kalam, BK; Ravunnikutty, MK; Nair, S</t>
  </si>
  <si>
    <t>Veettil, Vipindas Puthiya; Abdulaziz, Anas; Chekidhenkuzhiyil, Jasmin; Ramkollath, Lallu Kalanthingal; Hamza, Fausia Karayadi; Kalam, Balachandran Kizhakkepat; Ravunnikutty, Muraleedharan Kallungal; Nair, Shanta</t>
  </si>
  <si>
    <t>Bacterial Domination Over Archaea in Ammonia Oxidation in a Monsoon-Driven Tropical Estuary</t>
  </si>
  <si>
    <t>MICROBIAL ECOLOGY</t>
  </si>
  <si>
    <t>Ammonia oxidation; Tropical; Bacteria; Archaea; Anammox; Cochin estuary</t>
  </si>
  <si>
    <t>IN-SITU ANALYSIS; OXIDIZING BACTERIA; WIDESPREAD OCCURRENCE; NITRIFYING BACTERIA; COCHIN BACKWATERS; SALINITY GRADIENT; NITRIFICATION; COMMUNITIES; ABUNDANCE; ANAMMOX</t>
  </si>
  <si>
    <t>Autotrophic ammonia oxidizing microorganisms, which are responsible for the rate-limiting step of nitrification in most aquatic systems, have not been studied in tropical estuaries. Cochin estuary (CE) is one of the largest, productive, and monsoon-driven estuary in India opening into the southeast Arabian Sea. CE receives surplus quantities of ammonia through industrial and domestic discharges. The distribution of ammonia-oxidizing bacteria (AOB), ammonia-oxidizing archaea (AOA), and anaerobic ammonia-oxidizing bacteria (anammox) were studied using fluorescence in situ hybridization (FISH) and their relative contribution to the process as well as the governing factors were examined and reported for the first time from CE. The order of occurrence of these assemblages was beta-proteobacteria (0.79 to 2 x 10(5) cells ml(-1)) &gt; gamma-proteobacteria (0.9 to 4.6 x 10(4) cells ml(-1)) &gt; anammox (0.49 to 1.9 x 10(4) cells ml(-1)) &gt; AOA (0.56 to 6.3 x 10(3) cells ml(-1)). Phylogenetic analysis of DGGE bands showed major affiliation of AOB to beta-proteobacteria, while AOA was affiliated to Crenarchaeota. The abundance of AOB was mostly influenced by ammonia concentrations. The recovered ammonia oxidation rate of AOB was in the range of 45-65 %, whereas for AOA, it was 15-45 %, indicating that AOB were mostly responsible for the ammonia oxidation in CE during the study period. Overall, the present study provides an insight into the relevance and contribution of different groups of ammonia oxidizing bacteria in CE and emphasizes the need for further in depth studies across space and on season scale.</t>
  </si>
  <si>
    <t>[Nair, Shanta] CSIR, NIO, Panaji 403004, Goa, India; [Veettil, Vipindas Puthiya; Abdulaziz, Anas; Chekidhenkuzhiyil, Jasmin; Ramkollath, Lallu Kalanthingal; Hamza, Fausia Karayadi; Kalam, Balachandran Kizhakkepat; Ravunnikutty, Muraleedharan Kallungal] CSIR, Natl Inst Oceanog, Reg Ctr, Cochin 682018, Kerala, India</t>
  </si>
  <si>
    <t>Council of Scientific &amp; Industrial Research (CSIR) - India; CSIR - National Institute of Oceanography (NIO); Council of Scientific &amp; Industrial Research (CSIR) - India; CSIR - National Institute of Oceanography (NIO)</t>
  </si>
  <si>
    <t>Abdulaziz, A (corresponding author), CSIR, Natl Inst Oceanog, Reg Ctr, Cochin 682018, Kerala, India.</t>
  </si>
  <si>
    <t>anas@nio.org</t>
  </si>
  <si>
    <t>Abdulaziz, Anas/AAI-5681-2020</t>
  </si>
  <si>
    <t>Abdulaziz, Anas/0000-0002-1396-3645</t>
  </si>
  <si>
    <t>COMAPS -ICMAM project; DST WoS-A fellowship</t>
  </si>
  <si>
    <t>The authors thank the Director, National Institute of Oceanography, Goa and the Scientist-in-charge, NIO, RC-Kochi for extending all necessary support. They express their gratitude to Dr. C.T. Achuthankutty, Visiting Scientist, National Centre for Antarctic and Ocean Research, Goa, for critically reading the manuscript and improving its presentation. The authors thank the reviewers for their insightful comments which improved the scientific content. Vpv is thankful for the fellowship given by COMAPS -ICMAM project. JC is a recipient of DST WoS-A fellowship. This work was done using MMRF facility and is duly acknowledged.</t>
  </si>
  <si>
    <t>0095-3628</t>
  </si>
  <si>
    <t>1432-184X</t>
  </si>
  <si>
    <t>MICROB ECOL</t>
  </si>
  <si>
    <t>Microb. Ecol.</t>
  </si>
  <si>
    <t>10.1007/s00248-014-0519-x</t>
  </si>
  <si>
    <t>Ecology; Marine &amp; Freshwater Biology; Microbiology</t>
  </si>
  <si>
    <t>Environmental Sciences &amp; Ecology; Marine &amp; Freshwater Biology; Microbiology</t>
  </si>
  <si>
    <t>CD6VT</t>
  </si>
  <si>
    <t>WOS:000351228900008</t>
  </si>
  <si>
    <t>Xu, C; Ju, X; Song, D; Huang, F; Tang, D; Zou, Z; Zhang, C; Joshi, T; Jia, L; Xu, W; Xu, KF; Wang, Q; Xiong, Y; Guo, Z; Chen, X; Huang, F; Xu, J; Zhong, Y; Zhu, Y; Peng, Y; Wang, L; Zhang, X; Jiang, R; Li, D; Jiang, T; Xu, D; Jiang, C</t>
  </si>
  <si>
    <t>Xu, C.; Ju, X.; Song, D.; Huang, F.; Tang, D.; Zou, Z.; Zhang, C.; Joshi, T.; Jia, L.; Xu, W.; Xu, K-F; Wang, Q.; Xiong, Y.; Guo, Z.; Chen, X.; Huang, F.; Xu, J.; Zhong, Y.; Zhu, Y.; Peng, Y.; Wang, L.; Zhang, X.; Jiang, R.; Li, D.; Jiang, T.; Xu, D.; Jiang, C.</t>
  </si>
  <si>
    <t>An association analysis between psychophysical characteristics and genome-wide gene expression changes in human adaptation to the extreme climate at the Antarctic Dome Argus</t>
  </si>
  <si>
    <t>MOLECULAR PSYCHIATRY</t>
  </si>
  <si>
    <t>TESTOSTERONE LEVELS; HYPOGONADAL MEN; LUNG-FUNCTION; DEPRESSION; SYMPTOMS; IMPACTS; ANXIETY</t>
  </si>
  <si>
    <t>Genome-wide gene expression measurements have enabled comprehensive studies that integrate the changes of gene expression and phenotypic information to uncover their novel associations. Here we reported the association analysis between psychophysical phenotypes and genome-wide gene expression changes in human adaptation to one of the most extreme climates on Earth, the Antarctic Dome Argus. Dome A is the highest ice feature in Antarctica, and may be the coldest, driest and windiest location on earth. It is considered unapproachable due to its hostile environment. In 2007, a Chinese team of 17 male explorers made the expedition to Dome A for scientific investigation. Overall, 133 psychophysical phenotypes were recorded, and genome-wide gene expression profiles from the blood samples of the explorers were measured before their departure and upon their arrival at Dome A. We found that mood disturbances, including tension (anxiety), depression, anger and fatigue, had a strong, positive, linear relationship with the level of a male sex hormone, testosterone, using the Pearson correlation coefficient (PCC) analysis. We also demonstrated that significantly lowest-level Gene Ontology groups in changes of gene expression in blood cells with erythrocyte removal were consistent with the adaptation of the psychophysical characteristics. Interestingly, we discovered a list of genes that were strongly related to significant phenotypes using phenotype and gene expression PCC analysis. Importantly, among the 70 genes that were identified, most were significantly related to mood disturbances, where 42 genes have been reported in the literature mining, suggesting that the other 28 genes were likely novel genes involved in the mood disturbance mechanism. Taken together, our association analysis provides a reliable method to uncover novel genes and mechanisms related to phenotypes, although further studies are needed.</t>
  </si>
  <si>
    <t>[Xu, C.; Wang, Q.; Xiong, Y.; Guo, Z.; Chen, X.; Huang, F.; Jiang, C.] Chinese Acad Med Sci, Inst Basic Med Sci, United Lab Polar Med Sci, State Key Lab Med Mol Biol, Beijing 100005, Peoples R China; [Ju, X.; Huang, F.; Zou, Z.; Xu, J.; Zhong, Y.; Jiang, C.] Tsinghua Univ, Chinese Acad Med Sci, Peking Union Med Coll,Inst Basic Med Sci, Dept Biochem &amp; Mol Biol,State Key Lab Med Mol Bio, Beijing 100084, Peoples R China; [Song, D.; Jia, L.] Beijing Inst Technol, Sch Comp Sci, Beijing 100081, Peoples R China; [Tang, D.] Luzhou Med Sch, Affiliated Hosp Tradit Chinese Med, Sichuan, Peoples R China; [Zhang, C.; Joshi, T.; Xu, D.] Univ Missouri, Inst Informat, Dept Comp Sci, Columbia, MO USA; [Zhang, C.; Joshi, T.; Xu, D.] Univ Missouri, CS Bond Life Sci Ctr, Columbia, MO USA; [Xu, W.; Xu, K-F; Jiang, C.] Peking Union Med Coll, Peking Union Med Coll Hosp, Ctr Translat Med, Beijing 100021, Peoples R China; [Zhu, Y.; Peng, Y.; Wang, L.] Tsinghua Univ, Peking Union Med Coll, Chinese Acad Med Sci, Inst Basic Med Sci, Beijing 100084, Peoples R China; [Zhang, X.] Chinese Acad Sci, Inst Microbiol, State Key Lab Mycol, Beijing 100005, Peoples R China; [Jiang, R.; Jiang, T.] Tsinghua Univ, TNLIST Dept Automat, MOE Key Lab Bioinformat, Beijing 100084, Peoples R China; [Jiang, R.; Jiang, T.] Tsinghua Univ, TNLIST Dept Automat, Bioinformat Div, Beijing 100084, Peoples R China; [Li, D.] Chinese Acad Sci, Shanghai Inst Biol Sci, Shanghai, Peoples R China; [Jiang, T.] Univ Calif Riverside, Dept Comp Sci &amp; Engn, Riverside, CA 92521 USA</t>
  </si>
  <si>
    <t>Institute of Basic Medical Sciences - CAMS; Chinese Academy of Medical Sciences - Peking Union Medical College; Institute of Basic Medical Sciences - CAMS; Tsinghua University; Chinese Academy of Medical Sciences - Peking Union Medical College; Peking Union Medical College; Beijing Institute of Technology; Southwest Medical University; University of Missouri System; University of Missouri Columbia; University of Missouri System; University of Missouri Columbia; Chinese Academy of Medical Sciences - Peking Union Medical College; Peking Union Medical College; Peking Union Medical College Hospital; Institute of Basic Medical Sciences - CAMS; Tsinghua University; Chinese Academy of Medical Sciences - Peking Union Medical College; Peking Union Medical College; Chinese Academy of Sciences; Institute of Microbiology, CAS; Tsinghua University; Tsinghua University; Chinese Academy of Sciences; University of California System; University of California Riverside</t>
  </si>
  <si>
    <t>Xu, C (corresponding author), Chinese Acad Med Sci, Inst Basic Med Sci, United Lab Polar Med Sci, Beijing 100005, Peoples R China.</t>
  </si>
  <si>
    <t>xuchengli@pumc.edu.cn; jiang@pumc.edu.cn</t>
  </si>
  <si>
    <t>Zou, Zhen/ABB-3301-2021; Xu, Dong/Y-8605-2018; Zhang, Chao/E-6476-2015; Zhang, Xinyu/S-4946-2016; Jiang, Rui/B-1345-2012</t>
  </si>
  <si>
    <t>Zou, Zhen/0000-0002-1651-591X; Xu, Dong/0000-0002-4809-0514; Joshi, Trupti/0000-0001-8944-4924; Zhang, Chao/0000-0001-8019-7998; Zhang, Xinyu/0000-0001-8154-9334; Jiang, Rui/0000-0002-7533-3753</t>
  </si>
  <si>
    <t>fund of Chinese Polar Environment Comprehensive Investigation &amp; Assessment Programmes [CHINARE 02-01]; Ministry of Science and Technology of China [2012CB518204, 2009CB522105]; Natural Science Foundation of China [30670783, 61175002]; project of the Ministry of Education on Biotherapy; Scientific Research Fund of the Institute of Basic Medical Sciences, Chinese Academy of Medical Sciences; 111 project [B08007]; Science and Technology Commission of Shanghai Municipality [07pj14096]; Beijing Higher Education Young Elite Teacher Project [YETP1198]</t>
  </si>
  <si>
    <t>fund of Chinese Polar Environment Comprehensive Investigation &amp; Assessment Programmes; Ministry of Science and Technology of China(Ministry of Science and Technology, China); Natural Science Foundation of China(National Natural Science Foundation of China (NSFC)); project of the Ministry of Education on Biotherapy; Scientific Research Fund of the Institute of Basic Medical Sciences, Chinese Academy of Medical Sciences; 111 project(Ministry of Education, China - 111 Project); Science and Technology Commission of Shanghai Municipality(Science &amp; Technology Commission of Shanghai Municipality (STCSM)); Beijing Higher Education Young Elite Teacher Project</t>
  </si>
  <si>
    <t>We thank the 24th Chinese Antarctic inland expeditioners: Bo Sun, Bo Jin, XiaXing Xu, MingHu Ding, FuHai Wei, PengHui Cui, XiangBin Cui, JianXi Cao, Xiao Cheng, Xu Zhou, ZhenXi Zhu, XueFeng Wu, BingQuan Lei, Chen Liu, Hao Shen and ZhuangZhuo Chen for their participation and compliance to this strenuous protocol. We also thank the Chinese Arctic and Antarctic Administration and the Polar Research Institute of China for their full support of our work on site. This study could not have been completed without the dedicated support of the participants. We would like to thank Professor Liqun Luo for his critical reading of this manuscript. This work was also supported by the fund of Chinese Polar Environment Comprehensive Investigation &amp; Assessment Programmes (NO. CHINARE 02-01), the Ministry of Science and Technology of China (2012CB518204 and 2009CB522105), Natural Science Foundation of China (30670783 and 61175002), the 2011 project of the Ministry of Education on Biotherapy, the Scientific Research Fund of the Institute of Basic Medical Sciences, Chinese Academy of Medical Sciences, and the 111 project (B08007). CJ is the Hsien Wu Professor of Biochemistry. DL acknowledges the support of the Science and Technology Commission of Shanghai Municipality (07pj14096). SD acknowledges the support of the Beijing Higher Education Young Elite Teacher Project (YETP1198).</t>
  </si>
  <si>
    <t>1359-4184</t>
  </si>
  <si>
    <t>1476-5578</t>
  </si>
  <si>
    <t>MOL PSYCHIATR</t>
  </si>
  <si>
    <t>Mol. Psychiatr.</t>
  </si>
  <si>
    <t>10.1038/mp.2014.72</t>
  </si>
  <si>
    <t>Biochemistry &amp; Molecular Biology; Neurosciences; Psychiatry</t>
  </si>
  <si>
    <t>Biochemistry &amp; Molecular Biology; Neurosciences &amp; Neurology; Psychiatry</t>
  </si>
  <si>
    <t>CE4DK</t>
  </si>
  <si>
    <t>WOS:000351780800015</t>
  </si>
  <si>
    <t>Beaulieu, M; González-Acuña, D; Thierry, AM; Polito, MJ</t>
  </si>
  <si>
    <t>Beaulieu, Michael; Gonzalez-Acuna, Daniel; Thierry, Anne-Mathilde; Polito, Michael J.</t>
  </si>
  <si>
    <t>Relationships between isotopic values and oxidative status: insights from populations of gentoo penguins</t>
  </si>
  <si>
    <t>OECOLOGIA</t>
  </si>
  <si>
    <t>Antarctica; Diet; Oxidative stress; Penguins; SIAR</t>
  </si>
  <si>
    <t>HISTORY TRADE-OFFS; CHINSTRAP PENGUINS; ADELIE PENGUINS; STABLE-ISOTOPES; STRESS; CONTAMINATION; ANTIOXIDANTS; DELTA-C-13; BEHAVIOR; ISLANDS</t>
  </si>
  <si>
    <t>Feeding strategies can affect the balance between the production of reactive oxygen species and antioxidant defences (i.e. oxidative status). This is ecologically relevant, as variation in oxidative status can in turn strongly affect fitness. However, how animals regulate their oxidative status through their feeding behaviour under natural conditions remains poorly understood. Thus, relating the isotopic values of free-ranging animals to their oxidative status may prove useful. Here, we considered three colonies of gentoo penguins (Pygoscelis papua) in which we measured (1) delta C-13 and delta N-15 values, and (2) antioxidant defences and oxidative damage. We found that colonies with the highest delta C-13 and delta N-15 values also had the highest levels of antioxidant defences and oxidative damage, resulting in positive relationships between isotopic values and markers of oxidative status. As a result, colony segregation in terms of isotopic values was reflected by segregation in terms of oxidative markers (although more markedly for oxidative damage than for antioxidant defences). Interestingly, variation in the estimated contribution of krill in the diet of penguins followed an opposite pattern to that observed for markers of oxidative status, providing evidence that inter-population differences in terms of foraging strategies can result in inter-population differences in terms of oxidative status. More studies examining simultaneously oxidative status, isotopic signature, foraging behaviour and food allocation between parents and young are, however, needed to understand better the interplay between the foraging strategies adopted by animals in their natural habitat and their oxidative status.</t>
  </si>
  <si>
    <t>[Beaulieu, Michael] Ernst Moritz Arndt Univ Greifswald, Museum &amp; Inst Zool, D-17489 Greifswald, Germany; [Gonzalez-Acuna, Daniel] Univ Concepcion, Fac Ciencias Vet, Chillan, Chile; [Thierry, Anne-Mathilde] Norwegian Inst Nat Res, N-7034 Trondheim, Norway; [Thierry, Anne-Mathilde] Univ Quebec, Dept Biol, Rimouski, PQ G5L 3A1, Canada; [Thierry, Anne-Mathilde] Univ Quebec, Ctr Etud Nord, Rimouski, PQ G5L 3A1, Canada; [Polito, Michael J.] Louisiana State Univ, Dept Oceanog &amp; Coastal Sci, Baton Rouge, LA 70803 USA</t>
  </si>
  <si>
    <t>Universitat Greifswald; Universidad de Concepcion; Norwegian Institute Nature Research; University of Quebec; University of Quebec; Louisiana State University System; Louisiana State University</t>
  </si>
  <si>
    <t>Beaulieu, M (corresponding author), Ernst Moritz Arndt Univ Greifswald, Museum &amp; Inst Zool, Johann Sebastian Bach Str 11-12, D-17489 Greifswald, Germany.</t>
  </si>
  <si>
    <t>miklvet@hotmail.fr</t>
  </si>
  <si>
    <t>Thierry, Anne-Mathilde/A-1715-2010; Polito, Michael/G-9118-2012; Beaulieu, Michaël/A-5261-2011</t>
  </si>
  <si>
    <t>Polito, Michael/0000-0001-8639-4431; Beaulieu, Michaël/0000-0002-9948-269X; Thierry, Anne-Mathilde/0000-0002-0483-5131</t>
  </si>
  <si>
    <t>Antarctic Science Bursary; INACH [T-27-10]</t>
  </si>
  <si>
    <t>Antarctic Science Bursary; INACH</t>
  </si>
  <si>
    <t>This work was supported by the Antarctic Science Bursary. It receives supplementary support from the Instituto Antartico Chileno (INACH), American Ornithologist Union, and Sigma Xi. We thank the US Antarctic Marine Living Resources program, Raytheon Polar Services, G. Watters, and W. Trivelpiece for providing logistical support. Animal use was conducted under approved protocols from INACH (Project T-27-10), the University of North Carolina Wilmington (A0910-20), and a US National Science Foundation Antarctic Conservation Act permit provided to G. Watters (2011-005).</t>
  </si>
  <si>
    <t>0029-8549</t>
  </si>
  <si>
    <t>1432-1939</t>
  </si>
  <si>
    <t>Oecologia</t>
  </si>
  <si>
    <t>10.1007/s00442-015-3267-9</t>
  </si>
  <si>
    <t>CE0CD</t>
  </si>
  <si>
    <t>WOS:000351470100025</t>
  </si>
  <si>
    <t>La Rocca, N; Sciuto, K; Meneghesso, A; Moro, I; Rascio, N; Morosinotto, T</t>
  </si>
  <si>
    <t>La Rocca, Nicoletta; Sciuto, Katia; Meneghesso, Andrea; Moro, Isabella; Rascio, Nicoletta; Morosinotto, Tomas</t>
  </si>
  <si>
    <t>Photosynthesis in extreme environments: responses to different light regimes in the Antarctic alga Koliella antarctica</t>
  </si>
  <si>
    <t>PHYSIOLOGIA PLANTARUM</t>
  </si>
  <si>
    <t>STRESS-RELATED PROTEIN; LUTEIN-EPOXIDE CYCLE; XANTHOPHYLL CYCLE; CHLOROPHYLL FLUORESCENCE; SEA-ICE; CHLAMYDOMONAS-REINHARDTII; ACCLIMATION; PHOTOPROTECTION; ZEAXANTHIN; MEMBRANE</t>
  </si>
  <si>
    <t>Antarctic algae play a fundamental role in polar ecosystem thanks to their ability to grow in an extreme environment characterized by low temperatures and variable illumination. Here, for prolonged periods, irradiation is extremely low and algae must be able to harvest light as efficiently as possible. On the other side, at low temperatures even dim irradiances can saturate photosynthesis and drive to the formation of reactive oxygen species. Colonization of this extreme environment necessarily required the optimization of photosynthesis regulation mechanisms by algal organisms. In order to investigate these adaptations we analyzed the time course of physiological and morphological responses to different irradiances in Koliella antarctica, a green microalga isolated from Ross Sea (Antarctica). Koliella antarctica not only modulates cell morphology and composition of its photosynthetic apparatus on a long-term acclimation, but also shows the ability of a very fast response to light fluctuations. Koliella antarctica controls the activity of two xanthophyll cycles. The first, involving lutein epoxide and lutein, may be important for the growth under very low irradiances. The second, involving conversion of violaxanthin to antheraxanthin and zeaxanthin, is relevant to induce a fast and particularly strong non-photochemical quenching, when the alga is exposed to higher light intensities. Globally K. antarctica thus shows the ability to activate a palette of responses of the photosynthetic apparatus optimized for survival in its natural extreme environment.</t>
  </si>
  <si>
    <t>[La Rocca, Nicoletta; Sciuto, Katia; Meneghesso, Andrea; Moro, Isabella; Rascio, Nicoletta; Morosinotto, Tomas] Univ Padua, Dipartimento Biol, I-35121 Padua, Italy</t>
  </si>
  <si>
    <t>University of Padua</t>
  </si>
  <si>
    <t>La Rocca, N (corresponding author), Univ Padua, Dipartimento Biol, Via Trieste 75, I-35121 Padua, Italy.</t>
  </si>
  <si>
    <t>nicoletta.larocca@unipd.it</t>
  </si>
  <si>
    <t>La Rocca, Nicoletta/AAA-2241-2021; Morosinotto, Tomas/AAC-3188-2019; Sciuto, Katia/Q-2282-2018; Sciuto, Katia/Y-1035-2019</t>
  </si>
  <si>
    <t>La Rocca, Nicoletta/0000-0003-4866-5952; Morosinotto, Tomas/0000-0002-0803-7591; Sciuto, Katia/0000-0001-7426-8497; Meneghesso, Andrea/0000-0002-8970-8739</t>
  </si>
  <si>
    <t>University of Padova [CPDA113758]; Italian National Programme of Antarctic Research (P.N.R.A.) [A1.03]</t>
  </si>
  <si>
    <t>University of Padova; Italian National Programme of Antarctic Research (P.N.R.A.)</t>
  </si>
  <si>
    <t>This work was supported by Progetto di Ateneo (PRAT) 2011, University of Padova, cod. CPDA113758 and by Italian National Programme of Antarctic Research (P.N.R.A.) 2009, subproject A1.03. We thank Prof. Carlo Andreoli for the strain of Koliella antarctica and Prof. Roberto Bassi (University of Verona, Italy) for the LHCSR antibody.</t>
  </si>
  <si>
    <t>0031-9317</t>
  </si>
  <si>
    <t>1399-3054</t>
  </si>
  <si>
    <t>PHYSIOL PLANTARUM</t>
  </si>
  <si>
    <t>Physiol. Plant.</t>
  </si>
  <si>
    <t>10.1111/ppl.12273</t>
  </si>
  <si>
    <t>CE0CK</t>
  </si>
  <si>
    <t>WOS:000351471000012</t>
  </si>
  <si>
    <t>Laptikhovsky, V; Brickle, P; Söffker, M; Davidson, D; Roux, MJ; Rexer-Huber, K; Brewin, PE; Kälkvist, E; Brown, J; Brown, S; Black, A; Anders, NR; Cartwright, S; Poncet, D; Parker, G</t>
  </si>
  <si>
    <t>Laptikhovsky, Vladimir; Brickle, Paul; Soeffker, Marta; Davidson, Deborah; Roux, Marie-Julie; Rexer-Huber, Kalinka; Brewin, Paul E.; Kaelkvist, Emma; Brown, Judith; Brown, Steve; Black, Andy; Anders, Neil R.; Cartwright, Steve; Poncet, Dion; Parker, Graham</t>
  </si>
  <si>
    <t>Life history and population characteristics of the Antarctic starfish, Anasterias antarctica Lu tken, 1856 (Asteroidea: Forcipulatida: Asteriidae) around the Falkland Islands</t>
  </si>
  <si>
    <t>Anasterias; Growth; Reproduction; Feeding</t>
  </si>
  <si>
    <t>MINUTA ASTEROIDEA; ECOLOGY; ECHINODERMATA; RECRUITMENT; PATAGONIA; RUPICOLA; BIOLOGY; SEASTAR</t>
  </si>
  <si>
    <t>The biology of littoral fauna of the Falkland Islands is largely unknown. This pilot study was launched by Shallow Marine Surveys Group and was aimed at investigating life history of the Antarctic starfish, Anasterias antarctica, a dominating invertebrate predator of intertidal and subtidal, including its distribution, seasonal and ontogenetic migrations, spawning seasonality, fecundity, growth, and feeding habits. A total of 3,426 starfish were sampled in different habitats around the Falkland Islands at low tide using SCUBA diving. Sampling included measuring arm length, presence/absence of brooding and feeding; the prey was identified to the lowest taxa and measured if condition permitted. In a total of 48 broods, eggs were counted and embryonic stage assigned. This medium-sized species attains an arm length of 96 mm (85.4 g). The size increased with depth and starfish carry out seasonal bathymetric migrations with smaller animals (&lt; 30 mm) being rare in waters &gt; 10 m depth in winter. Egg laying occurs between March and July, and juvenile dispersal-mostly in October-November. Fecundity (52-363 eggs) and egg/offspring size increase with maternal size. Juvenile starfish are of ca. 2 mm arm length and grow to 9-11 mm in 1 year. Feeding intensity is at a maximum before and after the reproductive period. Females might occasionally resume feeding when they are still brooding a small number of juveniles. The starfish prey upon isopods (Sphaeromatidae), molluscs Pareuthria spp. and variety of gastropods, bivalves chitons, barnacles, and also scavenges. Prey size increases with starfish size.</t>
  </si>
  <si>
    <t>[Laptikhovsky, Vladimir; Soeffker, Marta] CEFAS, Lowestoft NR33 0HZ, Suffolk, England; [Laptikhovsky, Vladimir; Brickle, Paul; Davidson, Deborah; Rexer-Huber, Kalinka; Brewin, Paul E.; Brown, Judith; Brown, Steve; Black, Andy; Cartwright, Steve; Poncet, Dion; Parker, Graham] Shallow Marine Surveys Grp, Stanley FIQQ 1ZZ, Falkland Island, England; [Brickle, Paul; Davidson, Deborah] South Atlantic Environm Res Inst, Stanley FIQQ 1ZZ, Falkland Island, England; [Roux, Marie-Julie; Brewin, Paul E.; Kaelkvist, Emma; Anders, Neil R.] Falkland Isl Fisheries Dept, Stanley FIQQ 1ZZ, Falkland Island, England; [Brown, Judith] St Helena Govt, Environm Management Div, Jamestown STHL 1ZZ, St Helena, England</t>
  </si>
  <si>
    <t>Centre for Environment Fisheries &amp; Aquaculture Science</t>
  </si>
  <si>
    <t>Laptikhovsky, V (corresponding author), CEFAS, Pakefield Rd, Lowestoft NR33 0HZ, Suffolk, England.</t>
  </si>
  <si>
    <t>vladimir.laptikhovsky@cefas.co.uk</t>
  </si>
  <si>
    <t>Soeffker, M/KBC-2650-2024; Soeffker, M/D-3258-2009</t>
  </si>
  <si>
    <t>Soeffker, M/0000-0002-7131-5486; , Paul/0000-0002-0261-9646; Brickle, Paul/0000-0002-9870-3518; Anders, Neil/0000-0002-5815-8092</t>
  </si>
  <si>
    <t>10.1007/s00300-014-1608-5</t>
  </si>
  <si>
    <t>CD6DG</t>
  </si>
  <si>
    <t>WOS:000351179000003</t>
  </si>
  <si>
    <t>Komárek, J; Genuário, DB; Fiore, MF; Elster, J</t>
  </si>
  <si>
    <t>Komarek, Jiri; Genuario, Diego Bonaldo; Fiore, Marli Fatima; Elster, Josef</t>
  </si>
  <si>
    <t>Heterocytous cyanobacteria of the Ulu Peninsula, James Ross Island, Antarctica</t>
  </si>
  <si>
    <t>Cyanoprokaryotes with heterocytes; Taxonomy; Ecology; Antarctic habitats</t>
  </si>
  <si>
    <t>MCMURDO ICE SHELF; VICTORIA LAND; DIVERSITY; ALGAE; TERRESTRIAL; COMMUNITIES; BIOTA; LAKES; MATS; SOIL</t>
  </si>
  <si>
    <t>The Antarctic cyanobacterial microflora is one of the main components of the diversity of freshwater phototrophic communities in coastal areas. It is little known according to the modern taxonomic criteria (polyphasic approach). Populations of heterocytous cyanobacteria from Ulu Peninsula, the northern part of James Ross Island, NW Weddell Sea, Antarctica, were therefore reviewed. The identified morphospecies were compared with specimens from other localities in maritime Antarctica, especially from the South Shetland Islands. Ecological demands, morphological variations and, if possible, their phylogenetic positions (based on 16S rRNA gene sequencing) of registered populations were analyzed. Altogether, 11 species of heterocytous cyanoprokaryotes were recognized and studied in detail. These species were dominant in the characteristic habitats, and four novel species were described. All have a restricted endemic Antarctic distribution according to both morphology and 16S rRNA gene analyses. Three species of the genus Calothrix, one species of the genus Dichothrix (Rivulariaceae), and four species from the family Tolypotrichaceae were recognized and documented. Few species from this family belong to the recently recognized and revised genera Dactylothamnos and Hassallia, based on molecular analyses. Nodularia quadrata and two species, taxonomically classified to the genus Hydrocoryne (Nostocaceae), were studied. The complex of the genus Nostoc (especially of N. commune) exists as numerous morpho- and ecotypes, and it is diverse phylogenetically, morphologically and ecologically, and will be analyzed in special studies. Our study is important for the exact identification of cyanobacterial microflora in Antarctica, which plays a dominant role in the colonization of deglaciated areas.</t>
  </si>
  <si>
    <t>[Komarek, Jiri; Elster, Josef] Acad Sci Czech Republ, Inst Bot, CS-37982 Trebon, Czech Republic; [Komarek, Jiri; Elster, Josef] Univ South Bohemia, Fac Sci, Ceske Budejovice 37005, Czech Republic; [Genuario, Diego Bonaldo; Fiore, Marli Fatima] Univ Sao Paulo, Ctr Nucl Energy Agr, BR-13400970 Piracicaba, SP, Brazil</t>
  </si>
  <si>
    <t>Czech Academy of Sciences; Institute of Botany of the Czech Academy of Sciences; University of South Bohemia Ceske Budejovice; Universidade de Sao Paulo</t>
  </si>
  <si>
    <t>Komárek, J (corresponding author), Univ South Bohemia, Fac Sci, Branisovska 35, Ceske Budejovice 37005, Czech Republic.</t>
  </si>
  <si>
    <t>komarek@butbn.cas.cz</t>
  </si>
  <si>
    <t>Fiore, Marli F/C-1436-2012; Elster, Josef/B-1031-2008; Komarek, Jiri/H-1597-2014; Genuario, Diego/C-5891-2015</t>
  </si>
  <si>
    <t>Fiore, Marli F/0000-0003-2555-7967; Elster, Josef/0000-0002-4535-5636; Genuario, Diego/0000-0001-6884-331X</t>
  </si>
  <si>
    <t>FAPESP [2010/00321-3]; Ministry of Education of the Czech Republic [LM 2010009]; [RVO67985939]; [GAP506/12/1818]</t>
  </si>
  <si>
    <t>FAPESP(Fundacao de Amparo a Pesquisa do Estado de Sao Paulo (FAPESP)); Ministry of Education of the Czech Republic(Ministry of Education, Youth &amp; Sports - Czech Republic); ;</t>
  </si>
  <si>
    <t>The authors are thankful to organizers of the Antarctic expeditions, in which were obtained the majority of the presented results; J. Komarek and J. Elster worked mainly at the Polish Henryk Arctowski Station (Admiralty Bay, King George Island) and Czech Johann Mendel Station on James Ross Island. D.B. Genuario participated in two Brazilian expeditions of the Brazilian Antarctic Program (PROANTAR) and received a FAPESP graduate scholarship (2010/00321-3). This study was supported as a long-term research development project no. RVO67985939, GAP506/12/1818 and by the Ministry of Education of the Czech Republic project CzechPolar LM 2010009. We would also like to thank Mrs Dana Svehlova and Jana Snokhousova for essential technical help. English language correction was performed by Keith Edwards.</t>
  </si>
  <si>
    <t>10.1007/s00300-014-1609-4</t>
  </si>
  <si>
    <t>WOS:000351179000004</t>
  </si>
  <si>
    <t>Taboada, S; Bas, M; Avila, C</t>
  </si>
  <si>
    <t>Taboada, Sergi; Bas, Maria; Avila, Conxita</t>
  </si>
  <si>
    <t>A new Parougia species (Annelida, Dorvilleidae) associated with eutrophic marine habitats in Antarctica</t>
  </si>
  <si>
    <t>Deception Island; Phylogeny; Taxonomy; Polychaeta; Opportunistic species; Whale bones</t>
  </si>
  <si>
    <t>POLYCHAETA; ISLAND</t>
  </si>
  <si>
    <t>In contrast to other areas of the planet, very little is known about Antarctic marine invertebrates associated with eutrophic marine benthic areas. Recently, several studies investigated this fauna by experimentally deploying whale bones, leading to the discovery of new opportunistic polychaetes. To investigate the Antarctic organisms associated with these substrates we experimentally deployed whale bones in the shallow waters of Deception Island (South Shetland Islands). We present here the formal description of Parougia diapason sp. nov., a dorvilleid found in remarkable abundance at some of the bones deployed for 1 year. This new Parougia species, the second described in the Southern Ocean, also occurred in moderate numbers at nearby organic-rich sediments close to the Spanish Antarctic Base, indicating that this may be an opportunistic species. P. diapason sp. nov. clearly differs from the rest of congeneric taxa described in the lack of dorsal cirrus as well as in other morphological characters related to the jaw apparatus and the shape of parapodial lobes. Phylogenetic analyses show that P. diapason sp. nov. is sister to the rest of the congeneric taxa whose sequences are currently available. The finding of P. diapason sp. nov. in an area which has been previously investigated using similar experiments suggests that a lot remains to be discovered in Antarctic marine benthic invertebrate communities inhabiting eutrophic habitats.</t>
  </si>
  <si>
    <t>[Taboada, Sergi; Bas, Maria; Avila, Conxita] Univ Barcelona, Fac Biol, Dept Biol Anim, E-08028 Barcelona, Spain; [Taboada, Sergi; Bas, Maria; Avila, Conxita] Univ Barcelona, Biodivers Res Inst IrBIO, E-08028 Barcelona, Spain</t>
  </si>
  <si>
    <t>University of Barcelona; University of Barcelona</t>
  </si>
  <si>
    <t>Taboada, S (corresponding author), Univ Barcelona, Fac Biol, Dept Biol Anim, Ave Diagonal 643, E-08028 Barcelona, Spain.</t>
  </si>
  <si>
    <t>staboada@ub.edu</t>
  </si>
  <si>
    <t>Taboada, Sergi/AAB-9390-2021; Bas, Maria/JYP-8927-2024; Avila, Conxita/B-9466-2008</t>
  </si>
  <si>
    <t>Taboada, Sergi/0000-0003-1669-1152; Bas, Maria/0000-0001-8553-6557; Avila, Conxita/0000-0002-5489-8376</t>
  </si>
  <si>
    <t>SYNTHESYS Project - European Community; Spanish Government [CTM2010-17415/ANT]</t>
  </si>
  <si>
    <t>SYNTHESYS Project - European Community; Spanish Government(Spanish Government)</t>
  </si>
  <si>
    <t>Thanks are due to R. de Stephanis, P. Gauffier, J. Gimenez and E. Fernandez and the institutions EBD-CSIC, CIRCE and Junta de Andalucia, who kindly provided the fresh whale vertebrae for our experiments. We also thank the Gabriel de Castilla Spanish Antarctic Base crew of the 2011-12 and 2012-13 seasons for their help during deployment and recovery of the experiments. We are highly grateful to our ACTIQUIM project colleagues J. Cristobo, A. Riesgo, J. Moles, C. Angulo, B. Figuerola and L. Nunez-Pons, and also to G. Paterson, from the National History Museum of London. Two anonymous reviewers as well as the editor are acknowledged for their comments, which helped to improve a previous version of the manuscript. This research received support from the SYNTHESYS Project (http://www.synthesys.info/), which is financed by the European Community Research Infrastructure Action under the FP7 Integrating Activities Programme, and from the Spanish Government, through the research project ACTIQUIM-II (CTM2010-17415/ANT). This paper is part of the AntEco (State of the Antarctic Ecosystem) Scientific Research Programme.</t>
  </si>
  <si>
    <t>10.1007/s00300-014-1614-7</t>
  </si>
  <si>
    <t>WOS:000351179000007</t>
  </si>
  <si>
    <t>Wege, M; Postma, M; Tosh, CA; de Bruyn, PJN; Bester, MN</t>
  </si>
  <si>
    <t>Wege, M.; Postma, M.; Tosh, C. A.; de Bruyn, P. J. N.; Bester, M. N.</t>
  </si>
  <si>
    <t>First confirmed record of a leucistic Antarctic fur seal pup born outside the Scotia Arc Islands</t>
  </si>
  <si>
    <t>Leucism; Antarctic fur seal; Arctocephalus gazella; Marion Island</t>
  </si>
  <si>
    <t>PRINCE-EDWARD ISLANDS; ARCTOCEPHALUS-GAZELLA; POPULATION-CHANGES; SOUTH-GEORGIA; MARION ISLAND; TROPICALIS; BOUVETOYA</t>
  </si>
  <si>
    <t>A leucistic Antarctic fur seal (Arctocephalus gazella) pup was born on subantarctic Marion Island during the austral summer of 2010/2011. This is the first confirmed record of a leucistic fur seal pup born outside the Scotia Arc islands. Additionally, we report on a leucistic adult female Antarctic fur seal producing typical black pups for five non-consecutive summers on Marion Island. The birth of a leucistic pup, together with the multiple black pups produced by the leucistic female, suggests that the recessive genes responsible for leucism are now entrenched within the Marion Island population.</t>
  </si>
  <si>
    <t>[Wege, M.; Postma, M.; Tosh, C. A.; de Bruyn, P. J. N.; Bester, M. N.] Univ Pretoria, Dept Zool &amp; Entomol, Mammal Res Inst, ZA-0028 Hatfield, South Africa</t>
  </si>
  <si>
    <t>Wege, M (corresponding author), Univ Pretoria, Dept Zool &amp; Entomol, Mammal Res Inst, Private Bag X20, ZA-0028 Hatfield, South Africa.</t>
  </si>
  <si>
    <t>mwege@zoology.up.ac.za</t>
  </si>
  <si>
    <t>de Bruyn, P. J. Nico/E-4176-2010; Bester, Marthán N/E-5387-2010; Tosh, Cheryl/D-5623-2016; Wege, Mia/B-1103-2016</t>
  </si>
  <si>
    <t>de Bruyn, P. J. Nico/0000-0002-9114-9569; Tosh, Cheryl/0000-0003-0243-5422; Wege, Mia/0000-0002-9022-3069</t>
  </si>
  <si>
    <t>Department of Science and Technology, through the National Research Foundation (South Africa)</t>
  </si>
  <si>
    <t>The Department of Environmental Affairs provided logistic support within the South African National Antarctic Programme. The Department of Science and Technology, through the National Research Foundation (South Africa), provided financial support. Thank you to Chris Oosthuizen for the photographs of the leucistic pup and Derek van der Merwe, Hugh Purdon, Jean Purdon and Tristan Scott for other observations of the leucistic female.</t>
  </si>
  <si>
    <t>10.1007/s00300-014-1573-z</t>
  </si>
  <si>
    <t>WOS:000351179000012</t>
  </si>
  <si>
    <t>Bollard-Breen, B; Brooks, JD; Jones, MRL; Robertson, J; Betschart, S; Kung, O; Cary, SC; Lee, CK; Pointing, SB</t>
  </si>
  <si>
    <t>Bollard-Breen, Barbara; Brooks, John D.; Jones, Matthew R. L.; Robertson, John; Betschart, Sonja; Kung, Olivier; Cary, S. Craig; Lee, Charles K.; Pointing, Stephen B.</t>
  </si>
  <si>
    <t>Application of an unmanned aerial vehicle in spatial mapping of terrestrial biology and human disturbance in the McMurdo Dry Valleys, East Antarctica</t>
  </si>
  <si>
    <t>Antarctica; McMurdo Dry Valleys; Conservation; Cyanobacterial mats; UAV; Unmanned aerial vehicle</t>
  </si>
  <si>
    <t>HYPOLITHIC MICROBIAL COMMUNITIES; CYANOBACTERIAL DIVERSITY; MATS; FIXATION; LIFE</t>
  </si>
  <si>
    <t>The McMurdo Dry Valleys of Antarctica are a unique yet threatened polar biome. Cyanobacterial mats form a large part of the standing biomass in the McMurdo Dry Valleys and are therefore an indicator of ecosystem productivity and health. They are, however, patchily distributed, and this has hampered spatial ecology studies due to the logistical challenges of ground-based field sampling. Here, we report the application of remote sensing using a fixed-wing unmanned aerial vehicle (UAV) and GIS spatial mapping to identify cyanobacterial mats, estimate their extent and discriminate between different mat types. Using the Spalding Pond area of Taylor Valley as a test site, we were able to identify mats on soil surfaces within the hyporheic zone, as well as benthic mats below the water surface. The mapping also clearly identified the footprint of campsites and walking trails on soils, and we highlight the potential of this technique in monitoring human impact in this fragile ecosystem.</t>
  </si>
  <si>
    <t>[Bollard-Breen, Barbara; Brooks, John D.; Jones, Matthew R. L.; Robertson, John; Pointing, Stephen B.] Auckland Univ Technol, Inst Appl Ecol New Zealand, Sch Appl Sci, Auckland 1142, New Zealand; [Brooks, John D.] Skycam UAV Ltd, Palmerston North 4144, New Zealand; [Betschart, Sonja; Kung, Olivier] Pix4D SA, CH-1015 Lausanne, Switzerland; [Cary, S. Craig; Lee, Charles K.; Pointing, Stephen B.] Univ Waikato, Int Ctr Terr Antarctic Res, Hamilton 3240, New Zealand</t>
  </si>
  <si>
    <t>Pointing, SB (corresponding author), Auckland Univ Technol, Inst Appl Ecol New Zealand, Sch Appl Sci, Auckland 1142, New Zealand.</t>
  </si>
  <si>
    <t>steve.pointing@aut.ac.nz</t>
  </si>
  <si>
    <t>Lee, Charles/AAC-9417-2019; lee, charles/AAW-6627-2021; Brooks, John D/A-7189-2009; Pointing, Stephen/JHT-2500-2023</t>
  </si>
  <si>
    <t>Lee, Charles/0000-0002-6562-4733; lee, charles/0000-0001-6906-4895; Cary, Stephen/0000-0002-2876-2387; Jones, Matthew/0009-0006-5935-1093; Bollard, Barbara/0000-0003-2103-8561; Jones, Matthew/0000-0002-5055-5261</t>
  </si>
  <si>
    <t>Institute for Applied Ecology New Zealand</t>
  </si>
  <si>
    <t>The authors are extremely grateful to Antarctica New Zealand for field logistical support, and to staff at Air Traffic Control Services (Mac Centre, McMurdo Station, US Antarctic Program) for supporting our UAV flight program. The research was funded by the Institute for Applied Ecology New Zealand.</t>
  </si>
  <si>
    <t>10.1007/s00300-014-1586-7</t>
  </si>
  <si>
    <t>WOS:000351179000013</t>
  </si>
  <si>
    <t>Harig, C; Simons, FJ</t>
  </si>
  <si>
    <t>Harig, Christopher; Simons, Frederik J.</t>
  </si>
  <si>
    <t>Accelerated West Antarctic ice mass loss continues to outpace East Antarctic gains</t>
  </si>
  <si>
    <t>climate; Antarctica; satellite measurements; time-variable gravity</t>
  </si>
  <si>
    <t>SEA-LEVEL RISE; GRAVITY-FIELD; GRACE; SHEET; GREENLAND; BALANCE; GLACIERS; ALTIMETRY; COLLAPSE; THWAITES</t>
  </si>
  <si>
    <t>While multiple data sources have confirmed that Antarctica is losing ice at an accelerating rate, different measurement techniques estimate the details of its geographically highly variable mass balance with different levels of accuracy, spatio-temporal resolution, and coverage. Some scope remains for methodological improvements using a single data type. In this study we report our progress in increasing the accuracy and spatial resolution of time-variable gravimetry from the Gravity Recovery and Climate Experiment (GRACE). We determine the geographic pattern of ice mass change in Antarctica between January 2003 and June 2014, accounting for glacio-isostatic adjustment (GIA) using the IJ05_R2 model. Expressing the unknown signal in a sparse Slepian basis constructed by optimization to prevent leakage out of the regions of interest, we use robust signal processing and statistical estimation methods. Applying those to the latest time series of monthly GRACE solutions we map Antarctica's mass loss in space and time as well as can be recovered from satellite gravity alone. Ignoring GIA model uncertainty, over the period 2003-2014, West Antarctica has been losing ice mass at a rate of -121 +/- 8 Gt/yr and has experienced large acceleration of ice mass losses along the Amundsen Sea coast of -18 +/- 5 Gt/yr(2), doubling the mass loss rate in the past six years. The Antarctic Peninsula shows slightly accelerating ice mass loss, with larger accelerated losses in the southern half of the Peninsula. Ice mass gains due to snowfall in Dronning Maud Land have continued to add about half the amount of West Antarctica's loss back onto the continent over the last decade. We estimate the overall mass losses from Antarctica since January 2003 at -92 +/- 10 Gt/yr. (C) 2015 Elsevier B.V. All rights reserved.</t>
  </si>
  <si>
    <t>[Harig, Christopher; Simons, Frederik J.] Princeton Univ, Dept Geosci, Princeton, NJ 08544 USA</t>
  </si>
  <si>
    <t>Princeton University</t>
  </si>
  <si>
    <t>Harig, C (corresponding author), Princeton Univ, Dept Geosci, Princeton, NJ 08544 USA.</t>
  </si>
  <si>
    <t>charig@princeton.edu</t>
  </si>
  <si>
    <t>Harig, Christopher/B-4714-2009; Simons, Frederik/A-3427-2008</t>
  </si>
  <si>
    <t>Harig, Christopher/0000-0001-7944-0591; Simons, Frederik/0000-0003-2021-6645</t>
  </si>
  <si>
    <t>U.S. National Science Foundation - Antarctic Glaciology and Geophysics Programs [NSF-1245788, EAR-1014606]; Directorate For Geosciences; Division Of Earth Sciences [1150145] Funding Source: National Science Foundation; Office of Polar Programs (OPP); Directorate For Geosciences [1245788] Funding Source: National Science Foundation</t>
  </si>
  <si>
    <t>U.S. National Science Foundation - Antarctic Glaciology and Geophysics Programs; Directorate For Geosciences; Division Of Earth Sciences(National Science Foundation (NSF)NSF - Directorate for Geosciences (GEO)); Office of Polar Programs (OPP); Directorate For Geosciences(National Science Foundation (NSF)NSF - Directorate for Geosciences (GEO))</t>
  </si>
  <si>
    <t>We thank the Editor Yanick Ricard, Matt King, and an anonymous reviewer for their attention to detail with which they reviewed our manuscript, which was substantially improved in the process. This work was supported by the U.S. National Science Foundation, via grants NSF-1245788 jointly funded by the Antarctic Glaciology and Geophysics Programs to F.J.S. and C.H., and EAR-1014606 to F.J.S. Figures were plotted using the Generic Mapping Tools (Wessel and Smith, 1998). Our computer codes are available online (Harig et al., in press).</t>
  </si>
  <si>
    <t>10.1016/j.epsl.2015.01.029</t>
  </si>
  <si>
    <t>CD2SP</t>
  </si>
  <si>
    <t>WOS:000350929600013</t>
  </si>
  <si>
    <t>Griener, KW; Warny, S; Askin, R; Acton, G</t>
  </si>
  <si>
    <t>Griener, Kathryn W.; Warny, Sophie; Askin, Rosemary; Acton, Gary</t>
  </si>
  <si>
    <t>Early to middle Miocene vegetation history of Antarctica supports eccentricity-paced warming intervals during the Antarctic icehouse phase</t>
  </si>
  <si>
    <t>Antarctica; Palynology; Miocene; Climate; ANDRILL 2A; Eccentricity</t>
  </si>
  <si>
    <t>ICE-SHEET; ROSS SEA; CARBON-DIOXIDE; MCMURDO SOUND; AND-2A CORE; LONG-TERM; CLIMATE; AGE; MA; STRATIGRAPHY</t>
  </si>
  <si>
    <t>Recent palynological evidence from the upper section (&lt;664 mbsf) of the Miocene ANDRILL 2A (AND-2A) core in the Ross Sea indicated a brief warm period during the Mid Miocene Climatic Optimum (MMCO), during Antarctica's icehouse phase. The nature of other Miocene climate fluctuations in Antarctica remains poorly resolved. Here, we present new palynological data from the lower section of the AND-2A core (&gt;664 mbsf) that reveal additional intervals of increased palynomorph abundance and diversity during the Antarctic early to middle Miocene. This evidence is consistent with a relatively dynamic early Miocene Antarctic icehouse climate with intervals of increased temperature and moisture, prior to the MMCO. Comparison with previous AND-2A studies indicates that periods of increased palynomorph abundance in the lower stratigraphic section largely coincide with ice sheet minima, distal ice conditions, and the presence of freshwater (i.e. increased precipitation, meltwater run-off, and freshwater ponds). Decreases in plant productivity mostly coincide with increased glaciation, decreased freshwater, and ice-proximal conditions during the Antarctic Miocene. Comparing the palynological data with other AND-2A data and global climate proxies (e.g., pCO(2), delta O-18, relative sea level, Milankovitch cycles) helps to resolve questions regarding the driving forces behind climate and vegetation change. We found that palynomorph assemblages reflecting generally warmer conditions are largely associated with 400-kyr eccentricity maxima, while assemblages indicative of colder conditions coincide with 400-kyr eccentricity minima. These data are consistent with other findings that indicate the early to middle Miocene climate was eccentricity-paced. (C) 2015 Elsevier B.V. All rights reserved.</t>
  </si>
  <si>
    <t>[Griener, Kathryn W.; Warny, Sophie; Askin, Rosemary] Louisiana State Univ, Dept Geol &amp; Geophys, Baton Rouge, LA 70803 USA; [Warny, Sophie] Louisiana State Univ, Museum Nat Sci, Baton Rouge, LA 70803 USA; [Acton, Gary] Sam Houston State Univ, Dept Geog &amp; Geol, Huntsville, TX 77341 USA</t>
  </si>
  <si>
    <t>Louisiana State University System; Louisiana State University; Louisiana State University System; Louisiana State University; Texas State University System; Sam Houston State University</t>
  </si>
  <si>
    <t>Griener, KW (corresponding author), Louisiana State Univ, E235 Howe Russell Geosci Complex, Baton Rouge, LA 70803 USA.</t>
  </si>
  <si>
    <t>kgrien4@lsu.edu</t>
  </si>
  <si>
    <t>Warny, Sophie A/A-8226-2013; Acton, Gary D/B-6108-2016</t>
  </si>
  <si>
    <t>Acton, Gary/0000-0002-3285-4022; Warny, Sophie/0000-0002-3451-040X</t>
  </si>
  <si>
    <t>U.S. Antarctic Program; Raytheon Polar Services Corporation; Antarctica New Zealand; U.S. National Science Foundation; New Zealand Foundation for Research Science and Technology; Italian Antarctic Research Program; German Science Foundation; Alfred Wegener Institute; NSF Grant [1048343]; Marathon GeoDE Fellowship at Louisiana State University [101072]</t>
  </si>
  <si>
    <t>U.S. Antarctic Program; Raytheon Polar Services Corporation; Antarctica New Zealand; U.S. National Science Foundation(National Science Foundation (NSF)); New Zealand Foundation for Research Science and Technology(New Zealand Foundation for Research, Science and Technology); Italian Antarctic Research Program; German Science Foundation(German Research Foundation (DFG)); Alfred Wegener Institute; NSF Grant(National Science Foundation (NSF)); Marathon GeoDE Fellowship at Louisiana State University</t>
  </si>
  <si>
    <t>The ANDRILL (Antarctic geologic drilling) Program is a multinational collaboration between the Antarctic programs of Germany, Italy, New Zealand, and the United States. Antarctica New Zealand is the project operator and has developed the drilling system in collaboration with Alex Pyne at Victoria University of Wellington and Webster Drilling and Exploration. The U.S. Antarctic Program and Raytheon Polar Services Corporation supported the science team at McMurdo Station, while Antarctica New Zealand supported the drilling team at Scott Base. Scientific studies are jointly supported by the U.S. National Science Foundation, New Zealand Foundation for Research Science and Technology, the Italian Antarctic Research Program, the German Science Foundation, and the Alfred Wegener Institute. We are grateful to Charlotte Sjunneskog and the rest of the team at the Antarctic Research Facility at Florida State University for core sediment sampling. Thanks to Chris Fielding and Kurt Panter who shared data sets with us. Thank you to Phil Bart who provided feedback and advice regarding orbital cyclicity and seismic stratigraphy. Funding for this project was provided by NSF Grant #1048343 to SW and the Marathon GeoDE Fellowship #101072 to KWG at Louisiana State University.</t>
  </si>
  <si>
    <t>10.1016/j.gloplacha.2015.01.006</t>
  </si>
  <si>
    <t>CD2SR</t>
  </si>
  <si>
    <t>WOS:000350929800007</t>
  </si>
  <si>
    <t>Zmudczynska-Skarbek, K; Balazy, P; Kuklinski, P</t>
  </si>
  <si>
    <t>Zmudczynska-Skarbek, Katarzyna; Balazy, Piotr; Kuklinski, Piotr</t>
  </si>
  <si>
    <t>An assessment of seabird influence on Arctic coastal benthic communities</t>
  </si>
  <si>
    <t>Benthos; Guano; Nutrients; Seabirds; Spitsbergen; Stable isotopes</t>
  </si>
  <si>
    <t>FOOD-WEB STRUCTURE; TROPHIC RELATIONSHIPS; ISOTOPE ENRICHMENT; NUTRIENT INPUTS; NITROGEN; SEA; TERRESTRIAL; CARBON; PLANT; DELTA-N-15</t>
  </si>
  <si>
    <t>It is well recognized that seabirds, particularly those nesting in coastal colonies, can provide significant nutrient enrichment to Arctic terrestrial ecosystems. However, little is known about the fate of bird-derived nutrients that return to the marine environment and potentially concentrate below the colonies. To attempt to assess the influence of this potential nutrient enrichment of the coastal benthic community, samples of macroalgae, sea urchins (mainly algivores), and hermit crabs (scavengers) were collected at two Arctic localities (Spitsbergen), (1) below a mixed colony of guillemots and kittiwakes, and (2) in an adjacent geomorphologically similar location not influenced by the seabird colony. A much higher nitrogen stable isotope ratio (delta N-15) and total nitrogen content were found in terrestrial plants sampled below the colony than away from it. In benthic macroalgae, however, there were no delta N-15 differences. This might result from the timing of an intensive growth period in macroalgae in late winter/early spring, when there is little or no runoff from the land, and/or ornithogenic nutrients being directly incorporated by phytoplankton. Sea urchins showed higher delta N-15 and total N in the control site comparing to the colony-influenced area, suggesting differential food sources in their diet and a role of scavenging/carnivory on higher trophic levels there. Opportunistically feeding hermit crabs showed delta N-15 and total N enrichment below the seabird colony, suggesting dependence on detritus derived from food chains originating from pelagic producers. Our results indicate that seabirds in the Arctic may fertilize coastal benthic communities through pelagic-benthic coupling, while having no direct impact on bottom primary production. (C) 2014 Elsevier B.V. All rights reserved.</t>
  </si>
  <si>
    <t>[Zmudczynska-Skarbek, Katarzyna] Univ Gdansk, Dept Vertebrate Ecol &amp; Zool, PL-80308 Gdansk, Poland; [Balazy, Piotr; Kuklinski, Piotr] Polish Acad Sci, Inst Oceanol, Marine Ecol Dept, PL-81712 Sopot, Poland; [Kuklinski, Piotr] Nat Hist Museum, Dept Life Sci, London SW7 5BD, England</t>
  </si>
  <si>
    <t>Fahrenheit Universities; University of Gdansk; Polish Academy of Sciences; Institute of Oceanology of the Polish Academy of Sciences; Natural History Museum London</t>
  </si>
  <si>
    <t>Zmudczynska-Skarbek, K (corresponding author), Univ Gdansk, Dept Vertebrate Ecol &amp; Zool, Wita Stwosza 59, PL-80308 Gdansk, Poland.</t>
  </si>
  <si>
    <t>biozmud@ug.edu.pl</t>
  </si>
  <si>
    <t>Balazy, Piotr/D-2949-2018; Zmudczynska-Skarbek, Katarzyna/HNP-0022-2023</t>
  </si>
  <si>
    <t>Balazy, Piotr/0000-0002-1126-3151; Kuklinski, Piotr/0000-0002-1507-215X; Zmudczynska-Skarbek, Katarzyna/0000-0003-2276-4565</t>
  </si>
  <si>
    <t>Faculty of Biology, University of Gdansk [538-L120-B082-13]; Polish National Science Centre [2011/03/B/NZ8/02872, DEC-2011/01/N/NZ8/04493]; Polish Society of Hyperbaric Medicine and Technology (PTMiTH)</t>
  </si>
  <si>
    <t>Faculty of Biology, University of Gdansk; Polish National Science Centre; Polish Society of Hyperbaric Medicine and Technology (PTMiTH)</t>
  </si>
  <si>
    <t>We thank Dr. Gilles Lepoint (Laboratory of Oceanology, University of Liege, Belgium) for the isotopic analyses and Prof. Peter Convey (British Antarctic Survey, UK) for the consultation and linguistic improvement. Many colleagues have contributed to our discussions. This study was supported by the Faculty of Biology, University of Gdansk to KZS (Grant No. 538-L120-B082-13) and the Polish National Science Centre to PK (Grant No. 2011/03/B/NZ8/02872) and PB (DEC-2011/01/N/NZ8/04493). We also acknowledge the Antoni Debski Scholarship granted by the Polish Society of Hyperbaric Medicine and Technology (PTMiTH) to PB. The study was performed under the permission of the Governor of Svalbard.</t>
  </si>
  <si>
    <t>10.1016/j.jmarsys.2014.11.013</t>
  </si>
  <si>
    <t>CD2PG</t>
  </si>
  <si>
    <t>WOS:000350920900004</t>
  </si>
  <si>
    <t>Elburg, M; Jacobs, J; Andersen, T; Clark, C; Läufer, A; Ruppel, A; Krohne, N; Damaske, D</t>
  </si>
  <si>
    <t>Elburg, Marlina; Jacobs, Joachim; Andersen, Tom; Clark, Chris; Laeufer, Andreas; Ruppel, Antonia; Krohne, Nicole; Damaske, Detlef</t>
  </si>
  <si>
    <t>Early Neoproterozoic metagabbro-tonalite-trondhjemite of Sor Rondane (East Antarctica): Implications for supercontinent assembly</t>
  </si>
  <si>
    <t>PRECAMBRIAN RESEARCH</t>
  </si>
  <si>
    <t>Rodinia 2013: Conference on Supercontinental Cycles and Geodynamics</t>
  </si>
  <si>
    <t>MAY 20-24, 2013</t>
  </si>
  <si>
    <t>Moscow, RUSSIA</t>
  </si>
  <si>
    <t>Antarctica; Rodinia; Gondwana; Oceanic arc; Zircon U-Pb Lu-Hf</t>
  </si>
  <si>
    <t>DRONNING MAUD LAND; SRI-LANKA; AFRICAN OROGEN; ISLAND-ARC; U-PB; GEOCHEMICAL EVIDENCE; SCHIRMACHER OASIS; EVOLUTION; CONSTRAINTS; MOUNTAINS</t>
  </si>
  <si>
    <t>New data for intrusive meta-igneous rocks from the Southwest terrane of the Sor Rondane Mountains confirm the view that this is a juvenile oceanic arc terrane, with the main phase of subduction-related magmatic activity around 995-975 Ma. Younger magmatism (960-925 Ma) is more varied: a high Sr/Y ('adakitic') suite is present, as well as high-Ti mafic dykes, and one sample of A-type granite. This is interpreted as reflecting the end of subduction. The occasional presence of Archaean inherited zircons suggests proximity of Sor Rondane to an older continental nucleus from which detritus was shed. Although the 'meta-igneous sector' appears to be unique in representing a juvenile oceanic arc terrane, igneous ages and isotopic compositions around 1000-900 Ma suggest a broad coherence between outcrops ranging from Schirmacher Oasis (11 degrees E) to Yamato Mts (35 degrees E). This area seems unrelated to the slightly older, and isotopically and geochemically more enriched Mesoproterozoic rocks of central and western Dronning Maud Land. A closer relation appears to exist with Sri Lanka-India-Madagascar during the earliest Neoproterozoic than with southern Africa. (C) 2014 Elsevier B.V. All rights reserved.</t>
  </si>
  <si>
    <t>[Elburg, Marlina] UKZN, SAEES, Discipline Geol, Westville, South Africa; [Elburg, Marlina] Univ Johannesburg, Dept Geol, ZA-2006 Auckland Pk, South Africa; [Jacobs, Joachim] Univ Bergen, Dept Earth Sci, N-5007 Bergen, Norway; [Jacobs, Joachim] Norwegian Polar Res Inst, Fram Ctr, N-9296 Tromso, Norway; [Andersen, Tom] Univ Oslo, Dept Geosci, N-0316 Blindern, Norway; [Clark, Chris] Curtin Univ, Dept Appl Geol, Perth, WA 6845, Australia; [Laeufer, Andreas; Ruppel, Antonia; Damaske, Detlef] Fed Inst Geosci &amp; Nat Resources BGR, D-30655 Hannover, Germany; [Krohne, Nicole] Univ Bremen, Dept Geosci, D-28334 Bremen, Germany</t>
  </si>
  <si>
    <t>University of Kwazulu Natal; University of Johannesburg; University of Bergen; Norwegian Polar Institute; University of Oslo; Curtin University; University of Bremen</t>
  </si>
  <si>
    <t>Elburg, M (corresponding author), Univ Johannesburg, Dept Geol, POB 524, ZA-2006 Auckland Pk, South Africa.</t>
  </si>
  <si>
    <t>marlinae@uj.ac.za</t>
  </si>
  <si>
    <t>Läufer, Andreas/ABC-1465-2020; Clark, Chris/B-6471-2008</t>
  </si>
  <si>
    <t>Läufer, Andreas/0000-0003-2219-0450; Clark, Chris/0000-0001-9982-7849; Ruppel, Antonia/0000-0001-5101-411X; Elburg, Marlina/0000-0001-7154-1910</t>
  </si>
  <si>
    <t>South African National Research Foundation [90036]; Deutsche Forschungsgemeinschaft [LA 1080/9, LI 745/15]; NFR-NARE</t>
  </si>
  <si>
    <t>South African National Research Foundation(National Research Foundation - South Africa); Deutsche Forschungsgemeinschaft(German Research Foundation (DFG)); NFR-NARE</t>
  </si>
  <si>
    <t>The whole GEA II team would like to thank the helicopter pilots Knut Wagner, Florian Tauber and Jam Hergenroder of Sky Heli, Germany, for their flying skills, and Alain Hubert, Gigi Johnson-Amin and the whole crew of the Belgian 'Princess Elisabeth' Station for their hospitality and support during the field season. The analytical work was funded by grant # 90036 from the South African National Research Foundation to MAE; Carishma Ramchurran and Pat Suthan are thanked for their help with the analytical work at UKZN, and Christel Tinguely, Phil Janney and Petrus Le Roux at UKZN. Siri L. Simonsen and Magnus Kristoffersen helped with the analyses at the University of Oslo. J. Jacobs, N. Lucka and M. Elburg are indebted to BGR for the invitation to participate at the GEA expeditions. J. Jacobs wishes to thank Alfred-Wegener-Institute for Polar and Marine Research (AWI) and M. Elburg International Polar Foundation (IPF) and BELARE for providing polar clothing. The study was partly supported by the Deutsche Forschungsgemeinschaft (Grants LA 1080/9 to A. Laufer, BGR, and LI 745/15 to F. Lisker, Univ. Bremen) in the framework of the priority programme Antarctic Research with comparative investigations in Arctic ice areas. J. Jacobs work was funded in part by NFR-NARE. The manuscript benefited greatly from reviews by A. Kamei and S. Boger; their considerable efforts have been very much appreciated.</t>
  </si>
  <si>
    <t>0301-9268</t>
  </si>
  <si>
    <t>1872-7433</t>
  </si>
  <si>
    <t>PRECAMBRIAN RES</t>
  </si>
  <si>
    <t>Precambrian Res.</t>
  </si>
  <si>
    <t>10.1016/j.precamres.2014.10.014</t>
  </si>
  <si>
    <t>CC6ZG</t>
  </si>
  <si>
    <t>WOS:000350516900013</t>
  </si>
  <si>
    <t>Müller, MS; Massa, B; Phillips, RA; Dell'Omo, G</t>
  </si>
  <si>
    <t>Mueller, Martina S.; Massa, Bruno; Phillips, Richard A.; Dell'Omo, Giacomo</t>
  </si>
  <si>
    <t>Seabirds mated for life migrate separately to the same places: behavioural coordination or shared proximate causes?</t>
  </si>
  <si>
    <t>ANIMAL BEHAVIOUR</t>
  </si>
  <si>
    <t>behavioural strategy; carryover effects; global location sensor; GLS logger; inbreeding; mate fidelity; movement ecology; partner coordination</t>
  </si>
  <si>
    <t>SHEARWATER CALONECTRIS-DIOMEDEA; CORYS SHEARWATER; PAIR-BOND; REPRODUCTIVE-PERFORMANCE; INDIVIDUAL CONSISTENCY; ACTIVITY PATTERNS; BREEDING SUCCESS; PELAGIC SEABIRD; FIDELITY; STRATEGIES</t>
  </si>
  <si>
    <t>Long-term pair bonds occur in diverse animal taxa, but they are most common in birds, and can last from a few years to a lifetime. In many of these species, after the reproductive season, birds migrate to distant nonbreeding grounds where they remain for several months, and until recently, little was known about whether partners maintain contact during migration. This gap in knowledge was primarily due to past methodological difficulties in tracking long-term, large-scale movements of individuals. However, the development of new animal-borne geolocation devices has enabled researchers to track movements of individuals for a year or more. We tracked the annual migrations of both members of breeding pairs of Scopoli's shearwaters, Calonectris diomedea, breeding on Linosa Island (Italy) and found that although they did not migrate together, they did spend a similar number of days travelling to and from similar terminal nonbreeding areas. Although migration destinations were alike, they were not identical. That partners did not appear to travel or spend time together in the nonbreeding season suggests that similarities were not due to behavioural coordination. We performed additional analyses to uncover alternative, potential proximate mechanisms. First, we found that body mass of breeding adults during the chick-rearing period correlated positively with the decision to migrate further south, so conceivably pair members may migrate to similar areas because of shared reproductive costs; however, partners were not of similar body mass. Distances between nonbreeding areas for individuals that nested closer together were smaller than for individuals that nested far apart. As neighbours tend to be more closely related due to high natal philopatry, this suggests that similarities within pairs in migration behaviour may reflect the influence of shared genes on migration strategy. (C) 2015 The Association for the Study of Animal Behaviour. Published by Elsevier Ltd. All rights reserved.</t>
  </si>
  <si>
    <t>[Mueller, Martina S.] Nagoya Univ, Grad Sch Environm Studies, Nagoya, Aichi 4648601, Japan; [Massa, Bruno] Univ Palermo, Dept Agr &amp; Forest Sci, Palermo, Italy; [Phillips, Richard A.] British Antarctic Survey, Nat Environm Res Council, Cambridge CB3 0ET, England; [Dell'Omo, Giacomo] Ornis Italica, Rome, Italy</t>
  </si>
  <si>
    <t>Nagoya University; University of Palermo; UK Research &amp; Innovation (UKRI); Natural Environment Research Council (NERC); NERC British Antarctic Survey</t>
  </si>
  <si>
    <t>Müller, MS (corresponding author), Nagoya Univ, Grad Sch Environm Studies, Chikusa Ku, 1 Furo Cho, Nagoya, Aichi 4648601, Japan.</t>
  </si>
  <si>
    <t>martina.muller9@gmail.com</t>
  </si>
  <si>
    <t>Dell'Omo, Giacomo/0000-0002-9601-9675</t>
  </si>
  <si>
    <t>Ornis Italica; Regione Siciliana; Assessorato Risorse Agricole e Alimentari; JSPS; 'Pelagic Birds' [LIFE11 + NAT/IT/000093]; Natural Environment Research Council [bas0100025] Funding Source: researchfish; NERC [bas0100025] Funding Source: UKRI</t>
  </si>
  <si>
    <t>Ornis Italica; Regione Siciliana(Regione Sicilia); Assessorato Risorse Agricole e Alimentari; JSPS(Ministry of Education, Culture, Sports, Science and Technology, Japan (MEXT)Japan Society for the Promotion of Science); 'Pelagic Birds'; Natural Environment Research Council(UK Research &amp; Innovation (UKRI)Natural Environment Research Council (NERC)); NERC(UK Research &amp; Innovation (UKRI)Natural Environment Research Council (NERC))</t>
  </si>
  <si>
    <t>We thank Paolo Becciu for helping with fieldwork. Special thanks to Ken Yoda for comments on the manuscript and for support while it was written. Our research permit was provided by Regione Siciliana. The study was supported by Ornis Italica, Regione Siciliana and Assessorato Risorse Agricole e Alimentari with a grant to the Ringing Unit of Palermo and LIFE11 + NAT/IT/000093 'Pelagic Birds'. M.M. was funded by a JSPS postdoctoral fellowship.</t>
  </si>
  <si>
    <t>ACADEMIC PRESS LTD- ELSEVIER SCIENCE LTD</t>
  </si>
  <si>
    <t>24-28 OVAL RD, LONDON NW1 7DX, ENGLAND</t>
  </si>
  <si>
    <t>0003-3472</t>
  </si>
  <si>
    <t>1095-8282</t>
  </si>
  <si>
    <t>ANIM BEHAV</t>
  </si>
  <si>
    <t>Anim. Behav.</t>
  </si>
  <si>
    <t>10.1016/j.anbehav.2015.02.005</t>
  </si>
  <si>
    <t>Behavioral Sciences; Zoology</t>
  </si>
  <si>
    <t>CD4NC</t>
  </si>
  <si>
    <t>WOS:000351058700028</t>
  </si>
  <si>
    <t>Walton, DWH</t>
  </si>
  <si>
    <t>Walton, D. W. H.</t>
  </si>
  <si>
    <t>Failing to learn from inspections</t>
  </si>
  <si>
    <t>10.1017/S0954102015000061</t>
  </si>
  <si>
    <t>WOS:000351295300001</t>
  </si>
  <si>
    <t>Yoo, KC; Lee, MK; Yoon, HI; Lee, YI; Kang, CY</t>
  </si>
  <si>
    <t>Yoo, Kyu-Cheul; Lee, Min Kyung; Yoon, Ho Il; Lee, Yong Il; Kang, Cheon Yoon</t>
  </si>
  <si>
    <t>Hydrography of Marian Cove, King George Island, West Antarctica: implications for ice-proximal sedimentation during summer</t>
  </si>
  <si>
    <t>Antarctic Peninsula; CTDT; fjord; sediment; water structure</t>
  </si>
  <si>
    <t>SOUTH SHETLAND ISLANDS; SUSPENDED PARTICULATE MATTER; MAXWELL BAY; ENVIRONMENT; DEPOSITION; TRIBUTARY</t>
  </si>
  <si>
    <t>During the summer, from 1996-2000, vertical profiles of conductivity, temperature and transmissivity were obtained near the tidewater glacier of Marian Cove, King George Island, Antarctic Peninsula. The aims for the study were to determine the short-term variations of water structure due to hydrographic forcings and to understand sedimentation of suspended particulate matter in Antarctic fjord environments. Four distinct water layers were identified in the ice-proximal zone of the cove: i) a surface layer composed of cold and turbid meltwater, ii) a relatively warm Maxwell Bay inflow layer with characteristics of outer fjord water, iii) a turbid/cold mid-depth layer (40-70 m) originating from subglacial discharge, and iv) a deep layer comprised of the remnant winter water. The main factor influencing the characteristics of glacial meltwater layers and driving deposition of suspended particles in the cove is tidal forcing coupled with wind stress. The relatively small amount of meltwater discharge in Marian Cove yields low accumulation rates of non-biogenic sedimentary particles in the cove. The response to north-western and western winds, coupled with flood tide, may promote settling and sedimentation of suspended particles from turbid layers in the ice-proximal zone of the cove.</t>
  </si>
  <si>
    <t>[Yoo, Kyu-Cheul; Lee, Min Kyung; Yoon, Ho Il; Kang, Cheon Yoon] Korea Inst Ocean Sci &amp; Technol, Korea Polar Res Inst, Inchon 406840, South Korea; [Lee, Yong Il] Seoul Natl Univ, Sch Earth &amp; Environm Sci, Seoul 151747, South Korea</t>
  </si>
  <si>
    <t>Korea Polar Research Institute (KOPRI); Korea Institute of Ocean Science &amp; Technology (KIOST); Seoul National University (SNU)</t>
  </si>
  <si>
    <t>Lee, MK (corresponding author), Korea Inst Ocean Sci &amp; Technol, Korea Polar Res Inst, Inchon 406840, South Korea.</t>
  </si>
  <si>
    <t>mklee@kopri.re.kr</t>
  </si>
  <si>
    <t>Yoo, Kyu-Cheul/0000-0002-6186-7535</t>
  </si>
  <si>
    <t>KOPRI Grant [PP14010]</t>
  </si>
  <si>
    <t>KOPRI Grant(Korea Polar Research Institute of Marine Research Placement (KOPRI))</t>
  </si>
  <si>
    <t>We would like to thank the over-wintering party of the King Sejong Station for operation of the rubber boat in Marian Cove during the 1996-2000 KARP (Korea Antarctic Research Program) cruise. We are also grateful to the crew of RV Yuzhmorgeologya for all their help during the CTDT on-board measurements. This research was funded by KOPRI Grant PP14010. This manuscript benefited from constructive comments by the Editor Dr Laurence Padman and two anonymous reviewers.</t>
  </si>
  <si>
    <t>10.1017/S095410201400056X</t>
  </si>
  <si>
    <t>WOS:000351295300008</t>
  </si>
  <si>
    <t>Langford, ZL; Gooseff, MN; Lampkin, DJ</t>
  </si>
  <si>
    <t>Langford, Zachary L.; Gooseff, Michael N.; Lampkin, Derrick J.</t>
  </si>
  <si>
    <t>Spatiotemporal dynamics of wetted soils across a polar desert landscape</t>
  </si>
  <si>
    <t>McMurdo Dry Valleys; remote sensing; snow; soil moisture; streams; water tracks</t>
  </si>
  <si>
    <t>MCMURDO DRY VALLEYS; TAYLOR VALLEY; WATER; ANTARCTICA; CONNECTIVITY; GEOCHEMISTRY; ENVIRONMENT; SEEPS; SNOW</t>
  </si>
  <si>
    <t>Liquid water is scarce across the landscape of the McMurdo Dry Valleys (MDV), Antarctica, a 3800 km(2) ice-free region, and is chiefly associated with soils that are adjacent to streams and lakes (i.e. wetted margins) during the annual thaw season. However, isolated wetted soils have been observed at locations distal from water bodies. The source of water for the isolated patches of wet soil is potentially generated by a combination of infiltration from melting snowpacks, melting of pore ice at the ice table, and melting of buried segregation ice formed during winter freezing. High resolution remote sensing data gathered several times per summer in the MDV region were used to determine the spatial and temporal distribution of wet soils. The spatial consistency with which the wet soils occurred was assessed for the 2009-10 to 2011-12 summers. The remote sensing analyses reveal that cumulative area and number of wet soil patches varies among summers. The 2010-11 summer provided the most wetted soil area (10.21 km(2)) and 2009-10 covered the least (5.38 km(2)). These data suggest that wet soils are a significant component of the MDV cold desert land system and may become more prevalent as regional climate changes.</t>
  </si>
  <si>
    <t>[Langford, Zachary L.] Oak Ridge Natl Lab, Div Math &amp; Comp Sci, Oak Ridge, TN 37831 USA; [Langford, Zachary L.] Penn State Univ, Dept Civil &amp; Environm Engn, University Pk, PA 16802 USA; [Gooseff, Michael N.] Colorado State Univ, Dept Civil &amp; Environm Engn, Ft Collins, CO 80523 USA; [Lampkin, Derrick J.] Univ Maryland, Dept Atmospher &amp; Ocean Sci, College Pk, MD 20742 USA</t>
  </si>
  <si>
    <t>United States Department of Energy (DOE); Oak Ridge National Laboratory; Pennsylvania Commonwealth System of Higher Education (PCSHE); Pennsylvania State University; Pennsylvania State University - University Park; Colorado State University; University System of Maryland; University of Maryland College Park</t>
  </si>
  <si>
    <t>Langford, ZL (corresponding author), Oak Ridge Natl Lab, Div Math &amp; Comp Sci, Oak Ridge, TN 37831 USA.</t>
  </si>
  <si>
    <t>zach@climatemodeling.org</t>
  </si>
  <si>
    <t>Lampkin, Derrick/U-1693-2019; Gooseff, Michael N/N-6087-2015</t>
  </si>
  <si>
    <t>Gooseff, Michael N/0000-0003-4322-8315</t>
  </si>
  <si>
    <t>National Science Foundation's Office of Polar Programs [ANT-1045215]; US Government [DE-AC05-00OR22725]; Office of Polar Programs (OPP); Directorate For Geosciences [1115245] Funding Source: National Science Foundation</t>
  </si>
  <si>
    <t>National Science Foundation's Office of Polar Programs(National Science Foundation (NSF)); US Government; Office of Polar Programs (OPP); Directorate For Geosciences(National Science Foundation (NSF)NSF - Directorate for Geosciences (GEO))</t>
  </si>
  <si>
    <t>The authors wish to acknowledge the helpful suggestions of two anonymous reviewers. This project is funded through the National Science Foundation's Office of Polar Programs under grant number ANT-1045215 and the satellite imagery was provided by the PGC. The opinions, findings, and conclusions or recommendations expressed in this material are those of the authors and do not necessarily reflect the views of the National Science Foundation. The submitted manuscript has been authored by a contractor of the US Government under Contract No. DE-AC05-00OR22725. Accordingly, the US Government retains a non-exclusive, royalty-free license to publish or reproduce the published form of this contribution, or allow others to do so, for US Government purposes.</t>
  </si>
  <si>
    <t>10.1017/S0954102014000601</t>
  </si>
  <si>
    <t>WOS:000351295300009</t>
  </si>
  <si>
    <t>Bowman, DMJS</t>
  </si>
  <si>
    <t>Bowman, David M. J. S.</t>
  </si>
  <si>
    <t>What is the relevance of pyrogeography to the Anthropocene?</t>
  </si>
  <si>
    <t>ANTHROPOCENE REVIEW</t>
  </si>
  <si>
    <t>Earth System; environmental impacts; fire; geological time; hominins; humans; landscape burning; wildfire</t>
  </si>
  <si>
    <t>A defining feature of both the Anthropocene concept and the new discipline of pyrogeography is combustion of carbon-rich fuels by humans. A key objective of pyrogeography is understanding to what degree landscape fires set by hominins has overwritten natural fires through geological time, and whether these changes had substantial ecological knock-on effects. This research is essential to precisely define the onset of the Anthropocene. Nonetheless, the commonly used imprecise definition that the Anthropocene commenced at 1780 is a useful organising principle for pyrogeography because it provides a framework to understand the synergistic effects of anthropogenic global environment changes in shaping global fire activity following the Industrial Revolution.</t>
  </si>
  <si>
    <t>[Bowman, David M. J. S.] Univ Tasmania, Hobart, Tas, Australia</t>
  </si>
  <si>
    <t>Bowman, DMJS (corresponding author), Univ Tasmania, Sch Biol Sci, Private Bag 55, Hobart, Tas 7001, Australia.</t>
  </si>
  <si>
    <t>david.bowman@utas.edu.au</t>
  </si>
  <si>
    <t>Bowman, David M.J.S./A-2930-2011</t>
  </si>
  <si>
    <t>Bowman, David M.J.S./0000-0001-8075-124X</t>
  </si>
  <si>
    <t>Australian Government's National Environmental Research Programme and involves researchers from the University of Tasmania (UTAS); Australian National University (ANU); Murdoch University; Antarctic Climate and Ecosystems Cooperative Research Centre (ACE CRC); Griffith University; Charles Sturt University (CSU)</t>
  </si>
  <si>
    <t>Australian Government's National Environmental Research Programme and involves researchers from the University of Tasmania (UTAS)(Australian Government); Australian National University (ANU)(Australian National University); Murdoch University; Antarctic Climate and Ecosystems Cooperative Research Centre (ACE CRC)(Australian GovernmentDepartment of Industry, Innovation and ScienceCooperative Research Centres (CRC) Programme); Griffith University(Griffith University - Gold Coast Campus); Charles Sturt University (CSU)</t>
  </si>
  <si>
    <t>This research is an output from the Landscapes and Policy Research Hub. The hub is supported through funding from the Australian Government's National Environmental Research Programme and involves researchers from the University of Tasmania (UTAS), The Australian National University (ANU), Murdoch University, the Antarctic Climate and Ecosystems Cooperative Research Centre (ACE CRC), Griffith University and Charles Sturt University (CSU).</t>
  </si>
  <si>
    <t>SAGE PUBLICATIONS INC</t>
  </si>
  <si>
    <t>THOUSAND OAKS</t>
  </si>
  <si>
    <t>2455 TELLER RD, THOUSAND OAKS, CA 91320 USA</t>
  </si>
  <si>
    <t>2053-0196</t>
  </si>
  <si>
    <t>2053-020X</t>
  </si>
  <si>
    <t>ANTHROPOCENE REV</t>
  </si>
  <si>
    <t>Anthr. Rev.</t>
  </si>
  <si>
    <t>10.1177/2053019614547742</t>
  </si>
  <si>
    <t>Environmental Sciences; Environmental Studies; Geosciences, Multidisciplinary</t>
  </si>
  <si>
    <t>Environmental Sciences &amp; Ecology; Geology</t>
  </si>
  <si>
    <t>VC6QR</t>
  </si>
  <si>
    <t>WOS:000434524200005</t>
  </si>
  <si>
    <t>Lister, KN; Lamare, MD; Burritt, DJ</t>
  </si>
  <si>
    <t>Lister, Kathryn N.; Lamare, Miles D.; Burritt, David J.</t>
  </si>
  <si>
    <t>Pollutant resilience in embryos of the Antarctic sea urchin Sterechinus neumayeri reflects maternal antioxidant status</t>
  </si>
  <si>
    <t>AQUATIC TOXICOLOGY</t>
  </si>
  <si>
    <t>Antarctica; Sterechinus neumayeri; Oxidative stress; Antioxidant; Pollutants; Life-history</t>
  </si>
  <si>
    <t>OXIDATIVE STRESS; MCMURDO SOUND; TREMATOMUS-BERNACCHII; ADAMUSSIUM-COLBECKI; DAMAGES SPERM; DNA-DAMAGE; GLUTATHIONE; EXPOSURE; ASSAY; FERTILIZATION</t>
  </si>
  <si>
    <t>Legacy pollutants, including polycyclic aromatic hydrocarbons (PAHs) and metals, can occur in high concentrations in some Antarctic marine environments, particularly near scientific research stations. Oxidative stress is an important unifying feature underlying the toxicity of many chemical contaminants to aquatic organisms. However, the potential impacts of pollutants on the oxidative physiology of Antarctic marine invertebrates are not well documented. Sterechinus neumayeri is a common animal in the shallow subtidal benthos surrounding Antarctica, and is considered an important keystone species. The aim of the present study was to collect baseline oxidative biomarker data for S. neumayeri and to investigate the impacts of field exposure to chemical contaminants on gamete health and parent-to-offspring transfer of oxidative stress resilience. We analysed antioxidant enzyme activities, levels of the molecular antioxidant glutathione, protein carbonylation, lipid peroxidation and levels of 8-OHdG as oxidative stress biomarkers in S. neumayeri from a contaminant-impacted site near McMurdo Station and a relatively pristine site at Cape Evans. Biomarkers were analysed in adult gamete tissue and in early stage embryos exposed to AN8 fuel oil. PAHs were quantified as a proxy for contamination and were found to be elevated in urchins from the contaminated site (up to 231.67 ng/g DW). These contaminant-experienced adult urchins produced eggs with greater levels of a broad suite of antioxidants, particularly superoxide dismutase, catalase and glyoxalase-I, than those from Cape Evans. In addition, embryos that were derived from contaminant-experienced mothers were endowed with higher baseline levels of antioxidants, which conferred an enhanced capacity to minimize oxidative damage to lipids, proteins and DNA when exposed to AN8 fuel. This pattern was strongest following exposure to 900 ppm AN8, where lipid and protein damage was 5-7 times greater than baseline levels in contaminant-na ve female embryos in comparison to 3-4 times greater in contaminant-experienced female embryos. Despite this inherited resilience against oxidative stress, abnormal development was as high in these embryos when exposed to AN8 as in those derived from contaminant-na ve mothers (up to 80% abnormality), implying the conferred advantage may not translate to a fitness or survival gain, at least up to the blastulae stage. Our findings document the first evidence for parent-to-offspring transfer of oxidative stress resilience in an Antarctic marine invertebrate. (C) 2015 Elsevier B.V. All rights reserved.</t>
  </si>
  <si>
    <t>[Lister, Kathryn N.; Burritt, David J.] Univ Otago, Dept Bot, POB 56, Dunedin 9016, New Zealand; [Lister, Kathryn N.; Lamare, Miles D.] Univ Otago, Dept Marine Sci, Dunedin 9016, New Zealand</t>
  </si>
  <si>
    <t>University of Otago; University of Otago</t>
  </si>
  <si>
    <t>Lister, KN (corresponding author), Univ Otago, Dept Bot, POB 56, Dunedin 9016, New Zealand.</t>
  </si>
  <si>
    <t>kathryn.lister@otago.ac.nz</t>
  </si>
  <si>
    <t>Remy, Melanie/G-3598-2010</t>
  </si>
  <si>
    <t>Remy, Melanie/0000-0002-3238-2125</t>
  </si>
  <si>
    <t>University of Otago, an Antarctic New Zealand/Kelly Tarleton's postgraduate scholarship</t>
  </si>
  <si>
    <t>This research was supported by the University of Otago, an Antarctic New Zealand/Kelly Tarleton's postgraduate scholarship to K.L. and logistical support from Antarctica New Zealand via event K-068, 2012.</t>
  </si>
  <si>
    <t>0166-445X</t>
  </si>
  <si>
    <t>1879-1514</t>
  </si>
  <si>
    <t>AQUAT TOXICOL</t>
  </si>
  <si>
    <t>Aquat. Toxicol.</t>
  </si>
  <si>
    <t>10.1016/j.aquatox.2015.01.031</t>
  </si>
  <si>
    <t>Marine &amp; Freshwater Biology; Toxicology</t>
  </si>
  <si>
    <t>CE9QC</t>
  </si>
  <si>
    <t>WOS:000352177500008</t>
  </si>
  <si>
    <t>Yang, M; Zhang, H; Wang, SH; Zhou, JL; Zhou, X; Wang, LZ; Wang, LF; Wittenmyer, RA; Liu, HG; Meng, ZY; Ashley, MCB; Storey, JWV; Bayliss, D; Tinney, C; Wang, Y; Wu, DH; Liang, E; Yu, ZY; Fan, Z; Feng, LL; Gong, XF; Lawrence, JS; Liu, Q; Luong-Van, DM; Ma, J; Wu, ZY; Yan, J; Yang, HG; Yang, J; Yuan, XY; Zhang, TM; Zhu, ZX; Zou, H</t>
  </si>
  <si>
    <t>Yang, Ming; Zhang, Hui; Wang, Songhu; Zhou, Ji-Lin; Zhou, Xu; Wang, Lingzhi; Wang, Lifan; Wittenmyer, R. A.; Liu, Hui-Gen; Meng, Zeyang; Ashley, M. C. B.; Storey, J. W. V.; Bayliss, D.; Tinney, Chris; Wang, Ying; Wu, Donghong; Liang, Ensi; Yu, Zhouyi; Fan, Zhou; Feng, Long-Long; Gong, Xuefei; Lawrence, J. S.; Liu, Qiang; Luong-Van, D. M.; Ma, Jun; Wu, Zhenyu; Yan, Jun; Yang, Huigen; Yang, Ji; Yuan, Xiangyan; Zhang, Tianmeng; Zhu, Zhenxi; Zou, Hu</t>
  </si>
  <si>
    <t>ECLIPSING BINARIES FROM THE CSTAR PROJECT AT DOME A, ANTARCTICA</t>
  </si>
  <si>
    <t>ASTROPHYSICAL JOURNAL SUPPLEMENT SERIES</t>
  </si>
  <si>
    <t>binaries: eclipsing; catalogs; methods: data analysis; site testing; stars: statistics; techniques: photometric</t>
  </si>
  <si>
    <t>TRANSIT TIMING VARIATIONS; SKY AUTOMATED SURVEY; VARIABLE-STARS; LIGHT CURVES; CIRCUMBINARY PLANET; CONTACT BINARY; CLOSE BINARIES; DATA RELEASE; SPACED DATA; KEPLER</t>
  </si>
  <si>
    <t>The Chinese Small Telescope ARray (CSTAR) has observed an area around the Celestial South Pole at Dome A since 2008. About 20,000 light curves in the i band were obtained during the observation season lasting from 2008 March to July. The photometric precision achieves about 4 mmag at i = 7.5 and 20 mmag at i = 12 within a 30 s exposure time. These light curves are analyzed using Lomb-Scargle, Phase Dispersion Minimization, and Box Least Squares methods to search for periodic signals. False positives may appear as a variable signature caused by contaminating stars and the observation mode of CSTAR. Therefore, the period and position of each variable candidate are checked to eliminate false positives. Eclipsing binaries are removed by visual inspection, frequency spectrum analysis, and a locally linear embedding technique. We identify 53 eclipsing binaries in the field of view of CSTAR, containing 24 detached binaries, 8 semi-detached binaries, 18 contact binaries, and 3 ellipsoidal variables. To derive the parameters of these binaries, we use the Eclipsing Binaries via Artificial Intelligence method. The primary and secondary eclipse timing variations (ETVs) for semi-detached and contact systems are analyzed. Correlated primary and secondary ETVs confirmed by false alarm tests may indicate an unseen perturbing companion. Through ETV analysis, we identify two triple systems (CSTAR J084612.64-883342.9 and CSTAR J220502.55-895206.7). The orbital parameters of the third body in CSTAR J220502.55-895206.7 are derived using a simple dynamical model.</t>
  </si>
  <si>
    <t>[Yang, Ming; Zhang, Hui; Wang, Songhu; Zhou, Ji-Lin; Liu, Hui-Gen; Meng, Zeyang; Wang, Ying; Wu, Donghong; Liang, Ensi; Yu, Zhouyi] Nanjing Univ, Sch Astron &amp; Space Sci, Key Lab Modern Astron &amp; Astrophys, Nanjing 210046, Jiangsu, Peoples R China; [Zhang, Hui; Zhou, Ji-Lin] Collaborat Innovat Ctr Modern Astron &amp; Space Expl, Nanjing 210046, Jiangsu, Peoples R China; [Zhou, Xu; Wang, Lingzhi; Fan, Zhou; Liu, Qiang; Ma, Jun; Wu, Zhenyu; Yan, Jun; Zhang, Tianmeng; Zou, Hu] Chinese Acad Sci, Natl Astron Observ, Beijing 100012, Peoples R China; [Zhou, Xu; Fan, Zhou; Ma, Jun; Wu, Zhenyu; Zhang, Tianmeng; Zou, Hu] Chinese Acad Sci, Natl Astron Observ, Key Lab Opt Astron, Beijing 100012, Peoples R China; [Wang, Lifan; Yang, Ji; Zhu, Zhenxi] Chinese Acad Sci, Purple Mt Observ, Nanjing 210008, Jiangsu, Peoples R China; [Wittenmyer, R. A.; Ashley, M. C. B.; Storey, J. W. V.; Tinney, Chris; Lawrence, J. S.] Univ New S Wales, Sch Phys, Sydney, NSW 2052, Australia; [Bayliss, D.] Australian Natl Univ, Res Sch Astron &amp; Astrophys, Canberra, ACT 2611, Australia; [Gong, Xuefei; Yuan, Xiangyan] Nanjing Inst Astron Opt &amp; Technol, Nanjing 210042, Jiangsu, Peoples R China; [Lawrence, J. S.; Luong-Van, D. M.] Australian Astron Observ, Sydney, NSW 1710, Australia; [Yang, Huigen] Polar Res Inst China, Shanghai 200136, Peoples R China</t>
  </si>
  <si>
    <t>Nanjing University; Chinese Academy of Sciences; National Astronomical Observatory, CAS; Chinese Academy of Sciences; National Astronomical Observatory, CAS; Chinese Academy of Sciences; Nanjing Institute of Astronomical Optics &amp; Technology, NAOC, CAS; Purple Mountain Observatory, CAS; University of New South Wales Sydney; Australian National University; Chinese Academy of Sciences; Nanjing Institute of Astronomical Optics &amp; Technology, NAOC, CAS; Polar Research Institute of China</t>
  </si>
  <si>
    <t>Yang, M (corresponding author), Nanjing Univ, Sch Astron &amp; Space Sci, Key Lab Modern Astron &amp; Astrophys, Nanjing 210046, Jiangsu, Peoples R China.</t>
  </si>
  <si>
    <t>huizhang@nju.edu.cn; zhoujl@nju.edu.cn</t>
  </si>
  <si>
    <t>Yang, Ming/GWV-1365-2022; Zou, Hu/HGD-9992-2022; Liu, Hui-Gen/HLQ-5128-2023; Zhang, Huiming/HZH-4348-2023; Bayliss, Daniel D R/I-4635-2012; Lin, Fan/JZT-1441-2024</t>
  </si>
  <si>
    <t>Yang, Ming/0000-0002-6926-2872; Lin, Fan/0000-0002-7330-3833; Wang, Songhu/0000-0002-7846-6981; Lawrence, Jon/0000-0002-6998-6993; Wang, Lingzhi/0000-0002-1094-3817; Wu, Dong-Hong/0000-0001-9424-3721; Tinney, C.G./0000-0002-7595-0970; zhang, hui/0000-0003-3491-6394; Ashley, Michael/0000-0003-1412-2028; Liu, Hui-Gen/0000-0001-5162-1753</t>
  </si>
  <si>
    <t>Key Development Program of Basic Research of China [2013CB834900]; National Natural Science Foundations of China [10925313, 11003010, 11333002]; Strategic Priority Research Program The Emergence of Cosmological Structures of the Chinese Academy of Sciences [XDB09000000]; Natural Science Foundation for the Youth of Jiangsu Province [BK20130547]; Jiangsu Province Innovation for PhD candidate [KYZZ_0030, KYLX_0031]; 985 Project of Ministration of Education and Superiority Discipline Construction Project of Jiangsu Province</t>
  </si>
  <si>
    <t>Key Development Program of Basic Research of China; National Natural Science Foundations of China(National Natural Science Foundation of China (NSFC)); Strategic Priority Research Program The Emergence of Cosmological Structures of the Chinese Academy of Sciences; Natural Science Foundation for the Youth of Jiangsu Province; Jiangsu Province Innovation for PhD candidate; 985 Project of Ministration of Education and Superiority Discipline Construction Project of Jiangsu Province</t>
  </si>
  <si>
    <t>We are grateful to Andrej Prsa for helpful discussions and for sharing his PHOEBE script with us. We thank Xiaobin Zhang and Changqing Luo for their helpful comments. We sincerely appreciate the crew involved in the CSTAR project and the Chinese Antarctic Science team who delivered and set up CSTAR at Dome A for the first time. We are also grateful to the High Performance Computing Center (HPCC) of Nanjing University for doing the numerical calculations in this paper on its IBM Blade cluster system. This research has been supported by the Key Development Program of Basic Research of China (No. 2013CB834900), the National Natural Science Foundations of China (Nos. 10925313, 11003010, and 11333002), Strategic Priority Research Program The Emergence of Cosmological Structures of the Chinese Academy of Sciences (grant No. XDB09000000), the Natural Science Foundation for the Youth of Jiangsu Province (No. BK20130547), Jiangsu Province Innovation for PhD candidate (No. KYZZ_0030 and KYLX_0031), 985 Project of Ministration of Education and Superiority Discipline Construction Project of Jiangsu Province.</t>
  </si>
  <si>
    <t>0067-0049</t>
  </si>
  <si>
    <t>1538-4365</t>
  </si>
  <si>
    <t>ASTROPHYS J SUPPL S</t>
  </si>
  <si>
    <t>Astrophys. J. Suppl. Ser.</t>
  </si>
  <si>
    <t>10.1088/0067-0049/217/2/28</t>
  </si>
  <si>
    <t>CG8GK</t>
  </si>
  <si>
    <t>WOS:000353545100009</t>
  </si>
  <si>
    <t>Zheng, F; Li, JP; Clark, RT; Ding, RQ; Li, F; Wang, L</t>
  </si>
  <si>
    <t>Zheng, Fei; Li, Jianping; Clark, Robin T.; Ding, Ruiqing; Li, Fei; Wang, Lei</t>
  </si>
  <si>
    <t>Influence of the boreal spring Southern Annular Mode on summer surface air temperature over northeast China</t>
  </si>
  <si>
    <t>ATMOSPHERIC SCIENCE LETTERS</t>
  </si>
  <si>
    <t>Southern Annular Mode (SAM); summer surface air temperature; cloudiness; radiation budget</t>
  </si>
  <si>
    <t>ANTARCTIC OSCILLATION; VARIABILITY; HEMISPHERE; PRECIPITATION; CIRCULATION; INDEX</t>
  </si>
  <si>
    <t>Previous evidence has showed that the boreal spring Southern Annular Mode (SAM) regulates summer monsoon precipitation in East Asian subtropics through the Northern Indian Ocean sea surface temperature (NIO SST). This paper further demonstrates how a positive (negative) boreal spring SAM is usually followed by a warmer (cooler) summer over northeast China (NEC), suggesting impacts of the SAM even extend to the northern mid-latitudes. A positive spring SAM usually leads to anomalous anticyclonic sinking motion over NEC during summer through the NIO SST, which results in cloud reduction and changes in radiation, and thus surface warming.</t>
  </si>
  <si>
    <t>[Zheng, Fei; Ding, Ruiqing] Chinese Acad Sci, Inst Atmospher Phys, State Key Lab Numer Modeling Atmospher Sci &amp; Geop, Beijing, Peoples R China; [Li, Jianping] Beijing Normal Univ, Coll Global Change &amp; Earth Syst Sci, Beijing 100875, Peoples R China; [Li, Jianping] Joint Ctr Global Change Studies, Beijing, Peoples R China; [Clark, Robin T.] Met Off, Hadley Ctr, Exeter, Devon, England; [Li, Fei] Chinese Acad Sci, Inst Atmospher Phys, State Key Lab Atmospher Boundary Layer Phys &amp; Atm, Beijing, Peoples R China; [Wang, Lei] Peking Univ, Sch Phys, Beijing 100871, Peoples R China; [Wang, Lei] Natl Marine Environm Forecasting Ctr, Key Lab Res Marine Hazards Forecasting, Beijing 100081, Peoples R China</t>
  </si>
  <si>
    <t>Chinese Academy of Sciences; Institute of Atmospheric Physics, CAS; Beijing Normal University; Met Office - UK; Hadley Centre; Chinese Academy of Sciences; Institute of Atmospheric Physics, CAS; Peking University; National Marine Environmental Forecasting Center</t>
  </si>
  <si>
    <t>Li, JP (corresponding author), Beijing Normal Univ, Coll Global Change &amp; Earth Syst Sci, Beijing 100875, Peoples R China.</t>
  </si>
  <si>
    <t>ljp@bnu.edu.cn</t>
  </si>
  <si>
    <t>Li, Fei/ABE-8179-2020; Li, Jianping/I-2661-2012; Clark, Robin/JDD-8399-2023; Zheng, Fei/AAQ-4559-2020; Zheng, Fei/AAV-7512-2021; Li, Fei/ABN-0225-2022</t>
  </si>
  <si>
    <t>Li, Fei/0000-0002-4301-8409; Zheng, Fei/0000-0001-6135-6148; Zheng, Fei/0000-0001-6135-6148;</t>
  </si>
  <si>
    <t>China Special Fund for Meteorological Research in the Public Interest [GYHY201306031]; 973 Program [2013CB430200]; NSFC Key Project [41030961]; Joint DECC/Defra Met Office Hadley Centre Climate Programme [GA01101]</t>
  </si>
  <si>
    <t>China Special Fund for Meteorological Research in the Public Interest; 973 Program(National Basic Research Program of China); NSFC Key Project(National Natural Science Foundation of China (NSFC)); Joint DECC/Defra Met Office Hadley Centre Climate Programme</t>
  </si>
  <si>
    <t>This work was jointly supported by the China Special Fund for Meteorological Research in the Public Interest (GYHY201306031), the 973 Program (2013CB430200), and the NSFC Key Project (41030961). Dr Robin Clark was supported by the Joint DECC/Defra Met Office Hadley Centre Climate Programme (GA01101). Thanks to the editor Dr Arthur J. Miller and the two anonymous reviewers for their comments and suggestions that helped us to improve the manuscript.</t>
  </si>
  <si>
    <t>1530-261X</t>
  </si>
  <si>
    <t>ATMOS SCI LETT</t>
  </si>
  <si>
    <t>Atmos. Sci. Lett.</t>
  </si>
  <si>
    <t>10.1002/asl2.541</t>
  </si>
  <si>
    <t>CH3HI</t>
  </si>
  <si>
    <t>WOS:000353920000010</t>
  </si>
  <si>
    <t>Chen, C; Copley, JT; Linse, K; Rogers, AD; Sigwart, J</t>
  </si>
  <si>
    <t>Chen, Chong; Copley, Jonathan T.; Linse, Katrin; Rogers, Alex D.; Sigwart, Julia</t>
  </si>
  <si>
    <t>How the mollusc got its scales: convergent evolution of the molluscan scleritome</t>
  </si>
  <si>
    <t>BIOLOGICAL JOURNAL OF THE LINNEAN SOCIETY</t>
  </si>
  <si>
    <t>Aculifera; Halkieria; Polyplacophora; scaly-foot gastropod; Wiwaxia</t>
  </si>
  <si>
    <t>ARCHAEOGASTROPOD LIMPETS; SUPERFAMILY; ACOCHLIDIA; GASTROPODS; PHYLOGENY; ORIGIN</t>
  </si>
  <si>
    <t>Radiation of dramatically disparate forms among the phylum Mollusca remains a key question in metazoan evolution, and requires careful evaluation of homology of hard parts throughout the deep fossil record. Enigmatic early Cambrian taxa such as Halkieria and Wiwaxia (in the clade Halwaxiida) have been proposed to represent stem-group aculiferan molluscs (Caudofoveata+Solenogastres+Polyplacophora), as complex scleritomes were considered to be unique to aculiferans among extant molluscs. The scaly-foot gastropod' (Neomphalina: Peltospiridae) from hydrothermal vents of the Indian Ocean, however, also carries dermal sclerites and thus challenges this inferred homology. Despite superficial similarities to various mollusc sclerites, the scaly-foot gastropod sclerites are secreted in layers covering outpockets of epithelium and are largely proteinaceous, while chiton (Polyplacophora: Chitonida) sclerites are secreted to fill an invaginated cuticular chamber and are largely calcareous. Marked differences in the underlying epithelium of the scaly-foot gastropod sclerites and operculum suggest that the sclerites do not originate from multiplication of the operculum. This convergence in different classes highlights the ability of molluscs to adapt mineralized dermal structures, as supported by the extensive early fossil record of molluscs with scleritomes. Sclerites of halwaxiids are morphologically variable, undermining the assumed affinity of specific taxa with chitons, or the larger putative clade Aculifera. Comparisons with independently derived similar structures in living molluscs are essential for determining homology among fossils and their position with respect to the enigmatic evolution of molluscan shell forms in deep time.(c) 2015 The Linnean Society of London, Biological Journal of the Linnean Society, 2015, 114, 949-954.</t>
  </si>
  <si>
    <t>[Chen, Chong; Rogers, Alex D.] Univ Oxford, Dept Zool, Oxford OX1 3PS, England; [Copley, Jonathan T.] Univ Southampton, Ocean &amp; Earth Sci, Southampton SO14 3ZH, Hants, England; [Linse, Katrin] British Antarctic Survey, Cambridge CB3 0ET, England; [Sigwart, Julia] Queens Univ Belfast, Marine Lab, Portaferry BT22 1PF, Down, North Ireland</t>
  </si>
  <si>
    <t>University of Oxford; University of Southampton; UK Research &amp; Innovation (UKRI); Natural Environment Research Council (NERC); NERC British Antarctic Survey; Queens University Belfast</t>
  </si>
  <si>
    <t>Chen, C (corresponding author), Univ Oxford, Dept Zool, Tinbergen Bldg,South Parks Rd, Oxford OX1 3PS, England.</t>
  </si>
  <si>
    <t>chong.chen@zoo.ox.ac.uk</t>
  </si>
  <si>
    <t>Copley, Jon/I-7076-2012; Sigwart, Julia/J-2928-2014; Chen, Chong/F-7489-2019</t>
  </si>
  <si>
    <t>Copley, Jon/0000-0003-3333-4325; Rogers, Alex David/0000-0002-4864-2980; Linse, Katrin/0000-0003-3477-3047; Sigwart, Julia/0000-0002-3005-6246; Chen, Chong/0000-0002-5035-4021</t>
  </si>
  <si>
    <t>Malacological Society of London; NERC [NE/H012087/1]; NERC [NE/H012087/1, NE/F005504/1, bas0100026] Funding Source: UKRI; Natural Environment Research Council [bas0100026, NE/F005504/1, NE/H012087/1] Funding Source: researchfish</t>
  </si>
  <si>
    <t>Malacological Society of London; NERC(UK Research &amp; Innovation (UKRI)Natural Environment Research Council (NERC)); NERC(UK Research &amp; Innovation (UKRI)Natural Environment Research Council (NERC)); Natural Environment Research Council(UK Research &amp; Innovation (UKRI)Natural Environment Research Council (NERC))</t>
  </si>
  <si>
    <t>This research was supported by a Malacological Society of London Research Grant to C.C. The master and crew of the RRS James Cook as well as pilots and technical teams of ROV Kiel 6000 are acknowledged for their great support during the expedition JC67, funded by NERC Small Research Grant NE/H012087/1 to J.T.C. Enrico Schwabe (Zoologische Staatsammlung, Munich) is thanked for providing specimens of Enoplochiton niger. Dr Hiromi Watanabe and Dr Ken Takai (Japan Agency for Marine-Earth Science and Technology) kindly allowed access to scaly-foot gastropod specimens from the Central Indian Ridge. Finally, we would like to thank two anonymous reviewers for their helpful comments.</t>
  </si>
  <si>
    <t>0024-4066</t>
  </si>
  <si>
    <t>1095-8312</t>
  </si>
  <si>
    <t>BIOL J LINN SOC</t>
  </si>
  <si>
    <t>Biol. J. Linnean Soc.</t>
  </si>
  <si>
    <t>10.1111/bij.12462</t>
  </si>
  <si>
    <t>CD6NT</t>
  </si>
  <si>
    <t>WOS:000351206700018</t>
  </si>
  <si>
    <t>Quillfeldt, P; Cherel, Y; Delord, K; Weimerkirch, H</t>
  </si>
  <si>
    <t>Quillfeldt, Petra; Cherel, Yves; Delord, Karine; Weimerkirch, Henri</t>
  </si>
  <si>
    <t>Cool, cold or colder? Spatial segregation of prions and blue petrels is explained by differences in preferred sea surface temperatures</t>
  </si>
  <si>
    <t>Biology Letters</t>
  </si>
  <si>
    <t>ecological segregation; habitat modelling; non-breeding ecology; resource partitioning</t>
  </si>
  <si>
    <t>SOUTHERN INDIAN-OCEAN; FEEDING ECOLOGY; ILES-KERGUELEN; COOCCURRENCE; CALIFORNIA; SEABIRDS</t>
  </si>
  <si>
    <t>The Southern Ocean provides one of the largest environmental gradients on Earth that lacks geographical barriers, and small but highly mobile petrels living there may offer fine models of evolution of diversity along environmental gradients. Using geolocation devices, we investigated the winter distribution of closely related petrel species breeding sympatrically in the southern Indian Ocean, and applied ecological niche models to compare environmental conditions in the habitat used. We show that thin-billed prions (Pachyptila belcheri), Antarctic prions (Pachyptila desolata) and blue petrels (Halobaena caerulea) from the Kerguelen archipelago in the southern Indian Ocean segregate latitudinally, sea surface temperature being the most important variable separating the distribution of the species. Antarctic prions spent the winter north of the Polar Front in temperate waters, whereas blue petrels were found south of the Polar Front in Antarctic waters. Thin-billed prions preferred intermediate latitudes and temperatures. Stable isotope values of feathers reflected this near complete niche separation across an ecological gradient that spans large scales, and suggest evolutionary isolation by environment. In pelagic seabirds that exploit large areas of ocean, spatial niche partitioning may not only facilitate coexistence among ecologically similar species, but may also have driven their evolution in the absence of geographical barriers.</t>
  </si>
  <si>
    <t>[Quillfeldt, Petra] Univ Giessen, Dept Anim Ecol &amp; Systemat, D-35392 Giessen, Germany; [Cherel, Yves; Delord, Karine; Weimerkirch, Henri] Univ La Rochelle, CNRS, UMR 7372, Ctr Etud Biol Chize, F-79360 Villiers En Bois, France</t>
  </si>
  <si>
    <t>Justus Liebig University Giessen; La Rochelle Universite; Centre National de la Recherche Scientifique (CNRS); CNRS - Institute of Ecology &amp; Environment (INEE)</t>
  </si>
  <si>
    <t>Quillfeldt, P (corresponding author), Univ Giessen, Dept Anim Ecol &amp; Systemat, D-35392 Giessen, Germany.</t>
  </si>
  <si>
    <t>petra.quillfeldt@bio.uni-giessen.de</t>
  </si>
  <si>
    <t>Quillfeldt, Petra/A-9549-2009</t>
  </si>
  <si>
    <t>Quillfeldt, Petra/0000-0002-4450-8688</t>
  </si>
  <si>
    <t>Programme IPEV [109]; Heisenberg programme (DFG) [Qu 148-5]</t>
  </si>
  <si>
    <t>Programme IPEV; Heisenberg programme (DFG)</t>
  </si>
  <si>
    <t>Fieldwork at Kerguelen was supported by Programme IPEV no. 109 to H.W. P.Q. was supported by a grant of the Heisenberg programme (DFG, Qu 148-5).</t>
  </si>
  <si>
    <t>10.1098/rsbl.2014.1090</t>
  </si>
  <si>
    <t>CG5QV</t>
  </si>
  <si>
    <t>WOS:000353349400007</t>
  </si>
  <si>
    <t>Bradwell, T; Stoker, MS</t>
  </si>
  <si>
    <t>Bradwell, Tom; Stoker, Martyn S.</t>
  </si>
  <si>
    <t>Submarine sediment and landform record of a palaeo-ice stream within the British-Irish Ice Sheet</t>
  </si>
  <si>
    <t>BOREAS</t>
  </si>
  <si>
    <t>LAST GLACIAL MAXIMUM; TROUGH MOUTH FANS; WEST GREENLAND; SUBGLACIAL BEDFORMS; CONTINENTAL-SHELF; BARENTS SEA; FLOW; BEDROCK; DEGLACIATION; DYNAMICS</t>
  </si>
  <si>
    <t>This paper examines marine geophysical and geological data, and new multibeam bathymetry data to describe the Pleistocene sediment and landform record of a large ice-stream system that drained approximate to 3% of the entire British-Irish Ice Sheet at its maximum extent. Starting on the outer continental shelf NW of Scotland we describe: the ice-stream terminus environment and depocentre on the outer shelf and continental slope; sediment architecture and subglacial landforms on the mid-shelf and in a large marine embayment (the Minch); moraines and grounding line features on the inner shelf and in the fjordic zone. We identify new soft-bed (sediment) and hard-bed (bedrock) subglacial landform assemblages in the central and inner parts of the Minch that confirm the spatial distribution, coherence and trajectory of a grounded fast-flowing ice-sheet corridor. These include strongly streamlined bedrock forms and megagrooves indicating a high degree of ice-bed coupling in a zone of flow convergence associated with ice-stream onset; and a downstream bedform evolution (short drumlins to km-scale glacial lineations) suggesting an ice-flow velocity transition associated with a bed substrate and roughness change in the ice-stream trunk. Chronology is still lacking for the timing of ice-stream demise; however, the seismic stratigraphy, absence of moraines or grounding-line features, and presence of well-preserved subglacial bedforms and iceberg scours, combined with the landward deepening bathymetry, all suggest that frontal retreat in the Minch was probably rapid, via widespread calving, before stabilization in the nearshore zone. Large moraine complexes recording a coherent, apparently long-lived, ice-sheet margin position only 5-15km offshore strongly support this model. Reconstructed ice-discharge values for the Minch ice stream (12-20 Gt a(-1)) are comparable to high mass-flux ice streams today, underlining it as an excellent palaeo-analogue for recent rapid change at the margins of the Greenland and West Antarctic Ice Sheets.</t>
  </si>
  <si>
    <t>[Bradwell, Tom; Stoker, Martyn S.] British Geol Survey, Edinburgh EH9 3LA, Midlothian, Scotland</t>
  </si>
  <si>
    <t>UK Research &amp; Innovation (UKRI); Natural Environment Research Council (NERC); NERC British Geological Survey</t>
  </si>
  <si>
    <t>Bradwell, T (corresponding author), British Geol Survey, W Mains Rd, Edinburgh EH9 3LA, Midlothian, Scotland.</t>
  </si>
  <si>
    <t>tom.bradwell@stir.ac.uk</t>
  </si>
  <si>
    <t>Bradwell, Tom/0000-0003-0947-3309; Stoker, Martyn/0000-0002-5314-0950</t>
  </si>
  <si>
    <t>BGS-NERC (Energy &amp; Marine Geology Directorate); NERC; NERC [NE/J009768/1, bgs05015] Funding Source: UKRI; Natural Environment Research Council [bgs05015, NE/J009768/1] Funding Source: researchfish</t>
  </si>
  <si>
    <t>BGS-NERC (Energy &amp; Marine Geology Directorate); NERC(UK Research &amp; Innovation (UKRI)Natural Environment Research Council (NERC)); NERC(UK Research &amp; Innovation (UKRI)Natural Environment Research Council (NERC)); Natural Environment Research Council(UK Research &amp; Innovation (UKRI)Natural Environment Research Council (NERC))</t>
  </si>
  <si>
    <t>This research was funded by BGS-NERC (Energy &amp; Marine Geology Directorate) and is a scientific contribution to the MAREMAP programme. This work was largely undertaken prior to the start of the NERC-funded (Consortium Grant) BRITICE-CHRONO project, but has been partly supported by the consortium and has benefitted subsequently from conversations with several consortium members (most notably Chris Clark). Rhys Cooper (BGS) is thanked for processing MBES data. MCA (UK Civil Hydrography Programme) multibeam survey data is Crown Copyright and is provided by the Maritime and Coastguard Agency, who are gratefully acknowledged. Singlebeam bathymetry data is from the Olex database, accessed under license by BGS/NERC. The two anonymous reviewers and the editor (Jan A. Piotrowski) are thanked for their comments. Published with the permission of the Executive Director, BGS (NERC).</t>
  </si>
  <si>
    <t>0300-9483</t>
  </si>
  <si>
    <t>1502-3885</t>
  </si>
  <si>
    <t>Boreas</t>
  </si>
  <si>
    <t>10.1111/bor.12111</t>
  </si>
  <si>
    <t>CE5EB</t>
  </si>
  <si>
    <t>WOS:000351852200001</t>
  </si>
  <si>
    <t>Thomas, ER; Bracegirdle, TJ</t>
  </si>
  <si>
    <t>Thomas, Elizabeth R.; Bracegirdle, Thomas J.</t>
  </si>
  <si>
    <t>Precipitation pathways for five new ice core sites in Ellsworth Land, West Antarctica</t>
  </si>
  <si>
    <t>Antarctica; Climate variability; Ice cores; Precipitation; Back trajectories</t>
  </si>
  <si>
    <t>CLIMATE; VARIABILITY; PENINSULA; ACCUMULATION; REANALYSES; PACIFIC</t>
  </si>
  <si>
    <t>Ice cores provide a wealth of information about past climate and atmospheric circulation however a good understanding of the precipitation patterns, potential source regions and transport pathways is essential in their interpretation. Here we investigate the precipitation pathways for a transect of five new ice cores drilled in the southern Antarctic Peninsula and Ellsworth Land. We utilize in situ observations from automatic weather stations to confirm that the European Centre for Medium-Range Weather Forecasts ERA-Interim reanalysis data adequately captures annual and sub-annual variability, with evidence of a slight cold bias in the 2 m temperatures. Back trajectory analysis, from the British Atmospheric Data Centre trajectory service, reveals that warm and snowy years are associated with air masses that originate (5 days before reaching the site) from the Amundsen-Bellingshausen Sea, while cold and dry years are associated with air masses from the Antarctic continent. There is a clear seasonal migration in the trajectories at each site, reflecting the east to west migration of the Amundsen Sea Low, known to have a strong influence on climate in this region.</t>
  </si>
  <si>
    <t>[Thomas, Elizabeth R.; Bracegirdle, Thomas J.] British Antarctic Survey, Cambridge CB3 0ET, England</t>
  </si>
  <si>
    <t>Thomas, ER (corresponding author), British Antarctic Survey, Cambridge CB3 0ET, England.</t>
  </si>
  <si>
    <t>lith@bas.ac.uk</t>
  </si>
  <si>
    <t>Thomas, Elizabeth Ruth/ADF-3660-2022; Bracegirdle, Tom/AAD-6060-2020</t>
  </si>
  <si>
    <t>Thomas, Elizabeth Ruth/0000-0002-3010-6493; Bracegirdle, Thomas/0000-0002-8868-4739</t>
  </si>
  <si>
    <t>British Antarctic Survey core programme; Natural Environment Research Council [NE/J020710/1]; Natural Environment Research Council [bas0100024, NE/J020710/1, bas0100023] Funding Source: researchfish; NERC [NE/J020710/1, bas0100024, bas0100023] Funding Source: UKRI</t>
  </si>
  <si>
    <t>British Antarctic Survey core programme; Natural Environment Research Council(UK Research &amp; Innovation (UKRI)Natural Environment Research Council (NERC)); Natural Environment Research Council(UK Research &amp; Innovation (UKRI)Natural Environment Research Council (NERC)); NERC(UK Research &amp; Innovation (UKRI)Natural Environment Research Council (NERC))</t>
  </si>
  <si>
    <t>This work was funded by the British Antarctic Survey core programme and part funded by the Natural Environment Research Council (Grant NE/J020710/1). We would like to thank ECMWF for the reanalysis data, BADC for their trajectory service, the Rothera Met team (S. Colwell and others) for deploying the AWS and D. Bromwich and an anonymous reviewer for their valued suggestions.</t>
  </si>
  <si>
    <t>10.1007/s00382-014-2213-6</t>
  </si>
  <si>
    <t>WOS:000351458300021</t>
  </si>
  <si>
    <t>Zunz, V; Goosse, H; Dubinkina, S</t>
  </si>
  <si>
    <t>Zunz, Violette; Goosse, Hugues; Dubinkina, Svetlana</t>
  </si>
  <si>
    <t>Impact of the initialisation on the predictability of the Southern Ocean sea ice at interannual to multi-decadal timescales</t>
  </si>
  <si>
    <t>Predictability; Initialisation; Data assimilation; Southern Ocean; Sea ice</t>
  </si>
  <si>
    <t>CLIMATE PREDICTABILITY; SYSTEM MODEL; TRENDS; VARIABILITY; PREDICTION; EXTENT; CIRCULATION</t>
  </si>
  <si>
    <t>In this study, we assess systematically the impact of different initialisation procedures on the predictability of the sea ice in the Southern Ocean. These initialisation strategies are based on three data assimilation methods: the nudging, the particle filter with sequential importance resampling and the nudging proposal particle filter. An Earth system model of intermediate complexity is used to perform hindcast simulations in a perfect model approach. The predictability of the Antarctic sea ice at interannual to multi-decadal timescales is estimated through two aspects: the spread of the hindcast ensemble, indicating the uncertainty of the ensemble, and the correlation between the ensemble mean and the pseudo-observations, used to assess the accuracy of the prediction. Our results show that at decadal timescales more sophisticated data assimilation methods as well as denser pseudo-observations used to initialise the hindcasts decrease the spread of the ensemble. However, our experiments did not clearly demonstrate that one of the initialisation methods systematically provides with a more accurate prediction of the sea ice in the Southern Ocean than the others. Overall, the predictability at interannual timescales is limited to 3 years ahead at most. At multi-decadal timescales, the trends in sea ice extent computed over the time period just after the initialisation are clearly better correlated between the hindcasts and the pseudo-observations if the initialisation takes into account the pseudo-observations. The correlation reaches values larger than 0.5 in winter. This high correlation has likely its origin in the slow evolution of the ocean ensured by its strong thermal inertia, showing the importance of the quality of the initialisation below the sea ice.</t>
  </si>
  <si>
    <t>[Zunz, Violette; Goosse, Hugues] Catholic Univ Louvain, Georges Lemaitre Ctr Earth &amp; Climate Res, Earth &amp; Life Inst, Louvain La Neuve, Belgium; [Dubinkina, Svetlana] Ctr Wiskunde &amp; Informat, Amsterdam, Netherlands</t>
  </si>
  <si>
    <t>Universite Catholique Louvain</t>
  </si>
  <si>
    <t>Zunz, V (corresponding author), Catholic Univ Louvain, Georges Lemaitre Ctr Earth &amp; Climate Res, Earth &amp; Life Inst, Louvain La Neuve, Belgium.</t>
  </si>
  <si>
    <t>violette.zunz@uclouvain.be</t>
  </si>
  <si>
    <t>Dubinkina, Svetlana/0000-0003-2187-5909</t>
  </si>
  <si>
    <t>Belgian Federal Science Policy (Research Program on Science for a Sustainable Development); Fond de la Recherche Scientifique de Belgique (FRS-FNRS)</t>
  </si>
  <si>
    <t>Belgian Federal Science Policy (Research Program on Science for a Sustainable Development); Fond de la Recherche Scientifique de Belgique (FRS-FNRS)(Fonds de la Recherche Scientifique - FNRS)</t>
  </si>
  <si>
    <t>V. Zunz is Research Fellow with the Fonds pour la formation la Recherche dans l'Industrie et dans l'Agronomie (FRIA-Belgium). H. Goosse is Senior Research Associate with the Fonds National de la Recherche Scientifique (F.R.S. - FNRS-Belgium). This work is supported by the Belgian Federal Science Policy (Research Program on Science for a Sustainable Development). Computational resources have been provided by the supercomputing facilities of the Universite catholique de Louvain (CISM/UCL) and the Consortium des Equipements de Calcul Intensif en Federation Wallonie Bruxelles (CECI) funded by the Fond de la Recherche Scientifique de Belgique (FRS-FNRS). We thank three anonymous referees for their careful reading and constructive comments.</t>
  </si>
  <si>
    <t>10.1007/s00382-014-2344-9</t>
  </si>
  <si>
    <t>WOS:000351458300032</t>
  </si>
  <si>
    <t>Yamamoto, T; Trathan, PN</t>
  </si>
  <si>
    <t>Yamamoto, T.; Trathan, P. N.</t>
  </si>
  <si>
    <t>Evidences of moon-related effects on animal behaviour</t>
  </si>
  <si>
    <t>CLINICAL OBESITY</t>
  </si>
  <si>
    <t>[Yamamoto, T.] Nagoya Univ, Grad Sch Environm Studies, Nagoya, Aichi, Japan; [Trathan, P. N.] British Antarctic Survey, Nat Environm Res Council, Cambridge, England</t>
  </si>
  <si>
    <t>Nagoya University; UK Research &amp; Innovation (UKRI); Natural Environment Research Council (NERC); NERC British Antarctic Survey</t>
  </si>
  <si>
    <t>Yamamoto, T (corresponding author), Nagoya Univ, Grad Sch Environm Studies, Nagoya, Aichi, Japan.</t>
  </si>
  <si>
    <t>Grants-in-Aid for Scientific Research [15J07507] Funding Source: KAKEN</t>
  </si>
  <si>
    <t>111 RIVER ST, HOBOKEN, NJ 07030 USA</t>
  </si>
  <si>
    <t>1758-8103</t>
  </si>
  <si>
    <t>1758-8111</t>
  </si>
  <si>
    <t>CLIN OBES</t>
  </si>
  <si>
    <t>Clin. Obes.</t>
  </si>
  <si>
    <t>10.1111/cob.12098</t>
  </si>
  <si>
    <t>Endocrinology &amp; Metabolism</t>
  </si>
  <si>
    <t>V08TN</t>
  </si>
  <si>
    <t>WOS:000214097800001</t>
  </si>
  <si>
    <t>Erdmann, M; Fischer, LA; France, L; Zhang, C; Godard, M; Koepke, J</t>
  </si>
  <si>
    <t>Erdmann, Martin; Fischer, Lennart A.; France, Lyderic; Zhang, Chao; Godard, Marguerite; Koepke, Juergen</t>
  </si>
  <si>
    <t>Anatexis at the roof of an oceanic magma chamber at IODP Site 1256 (equatorial Pacific): an experimental study</t>
  </si>
  <si>
    <t>CONTRIBUTIONS TO MINERALOGY AND PETROLOGY</t>
  </si>
  <si>
    <t>Experimental petrology; Partial melting; Fast-spreading mid-ocean ridge; Oceanic plagiogranite; Granoblastic hornfels; Conductive boundary layer</t>
  </si>
  <si>
    <t>PHASE-EQUILIBRIA; MIDOCEAN RIDGES; OXYGEN FUGACITY; SEISMIC STRUCTURE; ANTARCTIC RISE; OMAN OPHIOLITE; SPREADING RATE; MORB GLASSES; WATER; GABBRO</t>
  </si>
  <si>
    <t>Replenished axial melt lenses at fast-spreading mid-oceanic ridges may move upward and intrude into the overlying hydrothermally altered sheeted dikes, resulting in high-grade contact metamorphism with the potential to trigger anatexis in the roof rocks. Assumed products of this process are anatectic melts of felsic composition and granoblastic, two-pyroxene hornfels, representing the residue after partial melting. Integrated Ocean Drilling Program Expeditions 309, 312, and 335 at Site 1256 (eastern equatorial Pacific) sampled such a fossilized oceanic magma chamber. In this study, we simulated magma chamber roof rock anatectic processes by performing partial melting experiments using six different protoliths from the Site 1256 sheeted dike complex, spanning a lithological range from poorly to strongly altered basalts to partially or fully recrystallized granoblastic hornfels. Results show that extensively altered starting material lacking primary magmatic minerals cannot reproduce the chemistry of natural felsic rocks recovered in ridge environments, especially elements sensitive to hydrothermal alteration (e.g., K, Cl). Natural geochemical trends are reproduced through partial melting of moderately altered basalts from the lower sheeted dikes. Two-pyroxene hornfels, the assumed residue, were reproduced only at low melting degrees (&lt;20 vol%). The overall amphibole absence in the experiments confirms the natural observation that amphibole is not produced during peak metamorphism. Comparing experimental products with the natural equivalents reveals that water activity (aH(2)O) was significantly reduced during anatectic processes, mainly based on lower melt aluminum oxide and lower plagioclase anorthite content at lower aH(2)O. High silica melt at the expected temperature (1000-1050 degrees C; peak thermal overprint of two-pyroxene hornfels) could only be reproduced in the experimental series performed at aH(2)O = 0.1.</t>
  </si>
  <si>
    <t>[Erdmann, Martin; Fischer, Lennart A.; Zhang, Chao; Koepke, Juergen] Leibniz Univ Hannover, Inst Mineral, D-30167 Hannover, Germany; [France, Lyderic] Univ Lorraine, CNRS, CRPG, UMR 7358, F-54501 Vandoeuvre Les Nancy, France; [Godard, Marguerite] Univ Montpellier 2, Geosci, F-34095 Montpellier, France</t>
  </si>
  <si>
    <t>Leibniz University Hannover; Universite de Lorraine; Centre National de la Recherche Scientifique (CNRS); CNRS - National Institute for Earth Sciences &amp; Astronomy (INSU); Universite de Montpellier</t>
  </si>
  <si>
    <t>Erdmann, M (corresponding author), Leibniz Univ Hannover, Inst Mineral, Callinstr 3, D-30167 Hannover, Germany.</t>
  </si>
  <si>
    <t>m.erdmann@mineralogie.uni-hannover.de</t>
  </si>
  <si>
    <t>Zhang, Chao/P-4689-2019; Godard, Marguerite/A-7127-2008</t>
  </si>
  <si>
    <t>Zhang, Chao/0000-0001-7019-5075; Godard, Marguerite/0000-0003-3097-5135; Fischer, Lennart Alexander/0000-0002-9304-3047; France, Lyderic/0000-0003-1138-0072</t>
  </si>
  <si>
    <t>US National Science Foundation (NSF); Consortium for Ocean Leadership (COL); Deutsche Forschungsgemeinschaft [KO 1723/13]</t>
  </si>
  <si>
    <t>US National Science Foundation (NSF)(National Science Foundation (NSF)); Consortium for Ocean Leadership (COL); Deutsche Forschungsgemeinschaft(German Research Foundation (DFG))</t>
  </si>
  <si>
    <t>We thank Otto Dietrich and Julian Feige for their careful sample preparation. The manuscript has been substantially improved after thorough reviews by M. Perfit and two anonymous reviewers. This research used samples and/or data provided by the International Ocean Drilling Program (IODP). IODP is sponsored by the US National Science Foundation (NSF) and participating countries under management of the Consortium for Ocean Leadership (COL). Funding for this research was provided by grants from the Deutsche Forschungsgemeinschaft (KO 1723/13).</t>
  </si>
  <si>
    <t>0010-7999</t>
  </si>
  <si>
    <t>1432-0967</t>
  </si>
  <si>
    <t>CONTRIB MINERAL PETR</t>
  </si>
  <si>
    <t>Contrib. Mineral. Petrol.</t>
  </si>
  <si>
    <t>10.1007/s00410-015-1136-5</t>
  </si>
  <si>
    <t>Geochemistry &amp; Geophysics; Mineralogy</t>
  </si>
  <si>
    <t>CF8ZV</t>
  </si>
  <si>
    <t>WOS:000352851900006</t>
  </si>
  <si>
    <t>Trimborn, S; Hoppe, CJM; Taylor, BB; Bracher, A; Hassler, C</t>
  </si>
  <si>
    <t>Trimborn, Scarlett; Hoppe, Clara J. M.; Taylor, Bettina B.; Bracher, Astrid; Hassler, Christel</t>
  </si>
  <si>
    <t>Physiological characteristics of open ocean and coastal phytoplankton communities of Western Antarctic Peninsula and Drake Passage waters</t>
  </si>
  <si>
    <t>Photophysiology; Primary production; Southern Ocean; Inorganic carbon uptake; Iron uptake; Humic-like substances</t>
  </si>
  <si>
    <t>CATHODIC STRIPPING VOLTAMMETRY; ICE ZONE WEST; SOUTHERN-OCEAN; IRON LIMITATION; SEA-ICE; CARBON ACQUISITION; HUMIC SUBSTANCES; SEAWATER; ASSEMBLAGES; ACID</t>
  </si>
  <si>
    <t>Photophysiological processes as well as uptake characteristics of iron and inorganic carbon were studied in inshore phytoplankton assemblages of the Western Antarctic Peninsula (WAP) and offshore assemblages of the Drake Passage. Chlorophyll a concentrations and primary productivity decreased from in- to offshore waters. The inverse relationship between low maximum quantum yields of photochemistry in PSII (F-v/F-m) and large sizes of functional absorption cross sections (sigma(PSII)) in offshore communities indicated iron-limitation. Congruently, the negative correlation between F-v/F-m values and iron uptake rates across our sampling locations suggest an overall better iron uptake capacity in iron-limited pelagic phytoplanlcton communities. Highest iron uptake capacities could be related to relative abundances of the haptophyte Phaeocystis antarctica. As chlorophyll a-specific concentrations of humic-like substances were similarly high in offshore and inshore stations, we suggest humic-like substances may play an important role in iron chemistry in both coastal and pelagic phytoplankton assemblages. Regarding inorganic carbon uptake kinetics, the measured maximum short-term uptake rates (V-max(CO2)) and apparent half-saturation constants (K-1/2(CO2)) did not differ between offshore and inshore phytoplankton. Moreover, V-max(CO2) and K-1/2(CO2) did not exhibit any CO2-dependent trend over the natural pCO(2) range from 237 to 507 mu atm. K-1/2(CO2) strongly varied among the sampled phytoplankton communities, ranging between 3.5 and 35.3 mu mol L-1 CO2. While in many of the sampled phytoplanlcton communities, the operation of carbon-concentrating mechanisms (CCMs) was indicated by low K-1/2(CO2) values relative to ambient CO2 concentrations, some coastal sites exhibited higher values, suggesting down-regulated CCMs. Overall, our results demonstrate a complex interplay between photophysiological processes, iron and carbon uptake of phytoplankton communities of the WAP and the Drake Passage. (C) 2015 The Authors. Published by Elsevier Ltd.</t>
  </si>
  <si>
    <t>[Trimborn, Scarlett; Hoppe, Clara J. M.; Taylor, Bettina B.; Bracher, Astrid] Helmholtz Ctr Polar &amp; Marine Res, Alfred Wegener Inst, Handelshafen 12, D-27570 Bremerhaven, Germany; [Trimborn, Scarlett; Bracher, Astrid] Univ Bremen, D-28359 Bremen, Germany; [Hassler, Christel] Univ Bremen, Inst Environm Phys, D-28359 Bremen, Germany; [Hassler, Christel] Univ Geneva, Inst FA Forel, CH-1290 Versoix, Switzerland; [Hassler, Christel] Univ Technol Sydney, Plant Funct Biol &amp; Climate Change Cluster, Broadway, NSW 2007, Australia</t>
  </si>
  <si>
    <t>Helmholtz Association; Alfred Wegener Institute, Helmholtz Centre for Polar &amp; Marine Research; University of Bremen; University of Bremen; University of Geneva; University of Technology Sydney</t>
  </si>
  <si>
    <t>Trimborn, S (corresponding author), Helmholtz Ctr Polar &amp; Marine Res, Alfred Wegener Inst, Handelshafen 12, D-27570 Bremerhaven, Germany.</t>
  </si>
  <si>
    <t>scarlett.trimborn@awi.de; clara.hoppe@awi.de; bettina.taylor@awi.de; astrid.bracher@awi.de; Christel.Hassler@unige.ch</t>
  </si>
  <si>
    <t>Hoppe, Clara Jule Marie/AFT-1558-2022; Trimborn, Scarlett/AAM-1061-2021; Bracher, Astrid/I-2672-2013; Bracher, Astrid/B-7805-2013</t>
  </si>
  <si>
    <t>Hoppe, Clara Jule Marie/0000-0002-2509-0546; Trimborn, Scarlett/0000-0003-1434-9927; Bracher, Astrid/0000-0003-3025-5517; Hassler, Christel/0000-0002-8976-5469</t>
  </si>
  <si>
    <t>German Science Foundation [TR-899/2]; Helmholtz Impulse Fond (HGF Young Investigators Group EcoTrace); European Research Council (ERC) under the European Community's Seventh Framework Programme; Helmholtz Impulse Fond (HGF Young Investigators Group Phytooptics); Swiss National Science Foundation Professor Fellowship [PP00P2_138955]; UTS Chancellor Post-doctoral Fellowship; Australian Research Council [DP1092892]; Australian Research Council [DP1092892] Funding Source: Australian Research Council; Swiss National Science Foundation (SNF) [PP00P2_138955] Funding Source: Swiss National Science Foundation (SNF)</t>
  </si>
  <si>
    <t>German Science Foundation(German Research Foundation (DFG)); Helmholtz Impulse Fond (HGF Young Investigators Group EcoTrace); European Research Council (ERC) under the European Community's Seventh Framework Programme(European Research Council (ERC)); Helmholtz Impulse Fond (HGF Young Investigators Group Phytooptics); Swiss National Science Foundation Professor Fellowship(Swiss National Science Foundation (SNSF)); UTS Chancellor Post-doctoral Fellowship; Australian Research Council(Australian Research Council); Australian Research Council(Australian Research Council); Swiss National Science Foundation (SNF)(Swiss National Science Foundation (SNSF))</t>
  </si>
  <si>
    <t>We thank C.D. Payne, U. Richter and C. Couture for field assistance as well as L Wischnewski, T. Brenneis, S. Wiegmann and J. Holscher for laboratory assistance. Thanks also to M. Hoppema and G. Rohardt, who kindly provided nutrient, salinity and temperature data of the sampled stations. Finally, we would like to thank the cruise leader, captain and crew of RV Polarstern during ANTXXVII/2. S.T. was funded by the German Science Foundation (TR-899/2) as well as the Helmholtz Impulse Fond (HGF Young Investigators Group EcoTrace). This work was further supported by research grants from the European Research Council (ERC) under the European Community's Seventh Framework Programme (to C.J.M.H., FP7/2007-2013) and to B.T. and A.B. by Helmholtz Impulse Fond (HGF Young Investigators Group Phytooptics). C.H. was funded by a Swiss National Science Foundation Professor Fellowship (PP00P2_138955), a UTS Chancellor Post-doctoral Fellowship and the Australian Research Council (Discovery Project DP1092892). We also would like to thank two anonymous reviewers who helped to improve the quality of the manuscript.</t>
  </si>
  <si>
    <t>10.1016/j.dsr.2014.12.010</t>
  </si>
  <si>
    <t>CE2PD</t>
  </si>
  <si>
    <t>WOS:000351656600012</t>
  </si>
  <si>
    <t>Martin, T; Park, W; Latif, M</t>
  </si>
  <si>
    <t>Martin, Torge; Park, Wonsun; Latif, Mojib</t>
  </si>
  <si>
    <t>Southern Ocean forcing of the North Atlantic at multi-centennial time scales in the Kiel Climate Model</t>
  </si>
  <si>
    <t>Climate variability; Deep convection; Meridional ocean circulation; Bi-polar ocean seesaw</t>
  </si>
  <si>
    <t>THERMOHALINE CIRCULATION; SURFACE; SEESAW</t>
  </si>
  <si>
    <t>Internal multi-centennial variability of open ocean deep convection in the Atlantic sector of the Southern Ocean impacts the strength of the Atlantic Meridional Overturning Circulation (AMOC) in the Kiel Climate Model. The northward extent of Antarctic Bottom Water (AABW) strongly depends on the state of Weddell Sea deep convection. The retreat of AABW results in an enhanced meridional density gradient that drives an increase in the strength and vertical extent of the North Atlantic Deep Water (NADW) cell. This shows, for instance, as a peak in AMOC strength at 30 N about a century after Weddell Sea deep convection has ceased. The stronger southward flow of NADW is compensated by an expansion of the North Atlantic subpolar gyre and an acceleration of the North Atlantic Current, indicating greater deep water formation. Contractions of the North Atlantic subpolar gyre enable warm water anomalies, which evolved in response to deep convection events in the Southern Ocean, to penetrate farther to the north, eventually weakening the AMOC and closing a quasi-centennial cycle. Gyre contractions are accompanied by increases in sea level of up to 20 cm/century in some areas of the North Atlantic. In the Southern Ocean itself, the heat loss during the convective regime 'results in a sea surface height decrease on the order of 10 cm/century, with a maximum of 30 cm/century in the Weddell Sea. Hence, the impact of the Southern Ocean Centennial Variability (SOCV) on regional as well as North Atlantic sea level is of the same order of magnitude as the rise of global average sea level during the 20th century, which amounts to about 15-20 cm. This suggests that internal variability on a centennial time scale cannot be neglected a priori in assessments of 20th and 21st century AMOC and regional sea level change. (C) 2014 Elsevier Ltd. All rights reserved.</t>
  </si>
  <si>
    <t>[Martin, Torge] Univ Washington, Appl Phys Lab, Polar Sci Ctr, Seattle, WA 98105 USA; [Park, Wonsun; Latif, Mojib] Helmholtz Ctr Ocean Res Kiel, Kiel, Germany; [Latif, Mojib] Univ Kiel, Kiel, Germany</t>
  </si>
  <si>
    <t>University of Washington; University of Washington Seattle; Helmholtz Association; GEOMAR Helmholtz Center for Ocean Research Kiel; University of Kiel</t>
  </si>
  <si>
    <t>Martin, T (corresponding author), Univ Washington, Appl Phys Lab, Polar Sci Ctr, Seattle, WA 98105 USA.</t>
  </si>
  <si>
    <t>torge.martin@gmail.com</t>
  </si>
  <si>
    <t>Martin, Torge/H-2613-2017; Park, Wonsun/J-8097-2012; Latif, Mojib/C-2428-2016</t>
  </si>
  <si>
    <t>Park, Wonsun/0000-0002-6345-8428; Martin, Torge/0000-0002-0882-8780; Latif, Mojib/0000-0003-1079-5604</t>
  </si>
  <si>
    <t>BMBF RACE Project; EU NACLIM project</t>
  </si>
  <si>
    <t>BMBF RACE Project(Federal Ministry of Education &amp; Research (BMBF)); EU NACLIM project</t>
  </si>
  <si>
    <t>This work was supported by the BMBF RACE Project and the EU NACLIM project. The model integrations were performed at the computing center of Kiel University. We thank two anonymous reviewers for their pointed comments, which helped to greatly improve this study.</t>
  </si>
  <si>
    <t>10.1016/j.dsr2.2014.01.018</t>
  </si>
  <si>
    <t>WOS:000354342300005</t>
  </si>
  <si>
    <t>Burgess, SD; Bowring, SA; Fleming, TH; Elliot, DH</t>
  </si>
  <si>
    <t>Burgess, S. D.; Bowring, S. A.; Fleming, T. H.; Elliot, D. H.</t>
  </si>
  <si>
    <t>High-precision geochronology links the Ferrar large igneous province with early-Jurassic ocean anoxia and biotic crisis</t>
  </si>
  <si>
    <t>large igneous province; mass extinction; ocean anoxic event; geochronology</t>
  </si>
  <si>
    <t>CARBON-ISOTOPE EXCURSION; ZIRCON U-PB; TRANSANTARCTIC MOUNTAINS; ANTARCTICA IMPLICATIONS; TOARCIAN STAGE; DOLERITE SILLS; EVENT; EXTINCTION; DURATION; ORIGIN</t>
  </si>
  <si>
    <t>Apparent synchrony between eruption/emplacement of large igneous province (LIP) magmas and mass extinction has led to the implication of magmatism as a primary trigger of global scale environmental change. Evaluating the efficacy of magmatism as a driver of global change depends on the relative timing of magmatism and environmental change, and the magma effusion/intrusion rate, both of which can be constrained by high-precision geochronology. Early Jurassic (Pliensbachian-Toarcian) global ocean anoxia and acidification, carbon isotope perturbations, and biotic crisis have been linked to synchronous eruption and emplacement of the Karoo and Ferrar LIPs. To better constrain the timing and duration of Ferrar magmatism, we apply the single crystal, chemical abrasion U-Pb ID-TIMS method to zircon crystals isolated from twenty Ferrar LIP sills and lavas, and the Dufek intrusion. Dates suggest that both intrusive and extrusive Ferrar magmatism occurred over an interval of 349 +/- 49 kyr, beginning with intrusive magmatism as early as 182.779 +/- 0.033 Ma. Lava eruption was synchronous with, and in some cases postdates intrusion. When coupled with existing geochronology on the Karoo province, our dates confirm broad synchrony between Karoo and Ferrar magmatism, though Karoo magmatism began demonstrably prior to Ferrar magmatism, starting as early as 183.246 +/- 0.045 Ma. The short-lived magmatic history of the Ferrar LIP makes it a plausible trigger for early-Jurassic environmental change. Published by Elsevier B.V.</t>
  </si>
  <si>
    <t>[Burgess, S. D.; Bowring, S. A.] MIT, Dept Earth Atmospher &amp; Planetary Sci, Cambridge, MA USA; [Fleming, T. H.] So Connecticut State Univ, Dept Earth Sci, New Haven, CT 06515 USA; [Elliot, D. H.] Ohio State Univ, Sch Earth Sci, Columbus, OH 43210 USA</t>
  </si>
  <si>
    <t>Massachusetts Institute of Technology (MIT); Connecticut State University System; Southern Connecticut State University; University System of Ohio; Ohio State University</t>
  </si>
  <si>
    <t>Burgess, SD (corresponding author), US Geol Survey, Volcano Sci Ctr, 345 Middlefield Rd, Menlo Pk, CA 94025 USA.</t>
  </si>
  <si>
    <t>sburgess@usgs.gov</t>
  </si>
  <si>
    <t>Fleming, Thomas/0000-0001-7091-7699</t>
  </si>
  <si>
    <t>National Science Foundation [PLR-0739726, ANT-0739726, EAR-0931839, PLR-0739732, PLR-0739720]; Office of Polar Programs (OPP); Directorate For Geosciences [1141906] Funding Source: National Science Foundation</t>
  </si>
  <si>
    <t>National Science Foundation(National Science Foundation (NSF)); Office of Polar Programs (OPP); Directorate For Geosciences(National Science Foundation (NSF)NSF - Directorate for Geosciences (GEO))</t>
  </si>
  <si>
    <t>The authors would like to acknowledge careful and thoughtful reviews by two anonymous reviewers and funding from National Science Foundation grants PLR-0739726, ANT-0739726, EAR-0931839 (Bowring), PLR-0739732 (Fleming), PLR-0739720 (Elliot). Samples with the prefix PRR were made available through the United States Antarctic Rock Repository at Ohio State University. Bruce Marsh, Johns Hopkins University, kindly provided sample A-236-A.</t>
  </si>
  <si>
    <t>10.1016/j.epsl.2015.01.037</t>
  </si>
  <si>
    <t>WOS:000350929600009</t>
  </si>
  <si>
    <t>Utescher, T; Bondarenko, OV; Mosbrugger, V</t>
  </si>
  <si>
    <t>Utescher, Torsten; Bondarenko, Olesya V.; Mosbrugger, Volker</t>
  </si>
  <si>
    <t>The Cenozoic Cooling - continental signals from the Atlantic and Pacific side of Eurasia</t>
  </si>
  <si>
    <t>Cenozoic Cooling; Eurasia; Primory'e; continental palaeoclimate; North Atlantic Current; East Asian Monsoon System</t>
  </si>
  <si>
    <t>LATE MIOCENE; COEXISTENCE APPROACH; QUANTITATIVE RECONSTRUCTIONS; FAR-EAST; CLIMATE; EVOLUTION; PRECIPITATION; PALEOCLIMATE; VEGETATION; EUROPE</t>
  </si>
  <si>
    <t>The evolution of Cenozoic continental climate signals from the Atlantic and Pacific side of Eurasia can be assessed for the first time by comparing climate records obtained for two mid-latitudinal regions. For the West, a detailed climate record over the past 45 Ma, based on palaeofloras from two Northern German Cenozoic basins (Mosbrugger et al., 2005) revealed major trends and shorter-term events throughout the Cenozoic Cooling, thus testifying the close correlation of continental and marine temperature evolution as derived from oxygen isotopes (Zachos et al., 2008). Using the same methodology, we analyze a total of 14 floral horizons originating from continental strata of Southern Primory'e (Russia) in order to study the evolution at the eastern side of the continent. The Primory'e record spans the middle Eocene to early Pleistocene. As the coeval record for the Atlantic side, it reflects major global signals of Cenozoic climate change such as the temperature decline throughout the late Eocene, coinciding with the growth of Antarctic Ice-sheets, warming during the Mid-Miocene Climatic Optimum, and step-wise cooling throughout the later Neogene. The comparison of both records reveals differing regional patterns. The considerable longitudinal temperature gradient, currently existing between both study areas, already began to evolve during the Aquitanian, and was very significant during the Mid-Miocene Climatic Optimum. The temperature offset between East and West is likely attributable to an effective North Atlantic Current, already operational from the late early Miocene onwards bringing about mild winters and low seasonality in Western Europe, while in Primory'e, seasonality steadily increased from the late Oligocene on. The strong late Pliocene decline of cold month mean temperatures recorded in Primory'e is supposed to coincide with the establishment of the Siberian High as semi-permanent structure of the Northern Hemisphere circulation pattern. When comparing the precipitation records obtained for both study areas, an unexpected co-variability at the longer-term (in the order of 5-20 Ma) is noted, pointing to continent-wide hydrological changes. The steady decline of mean annual precipitation in the Primory'e record, beginning in the Bartonian and culminating in the Aquitanian, coincides with an aridity increase reported from coeval Chinese inland localities of the mid-latitudes. The seasonality patterns of rainfall point to progressive intensification of the East Asian Summer Monsoon in Primory'e since the later Tortonian while the post-Zanclean decline of the precipitation of the dry season can be related to an increasing impact of the winter monsoon. (C) 2015 Elsevier B.V. All rights reserved.</t>
  </si>
  <si>
    <t>[Utescher, Torsten; Mosbrugger, Volker] Senckenberg Res Inst &amp; Nat Hist Museum, Biodivers &amp; Climate Res Ctr LOEWE BiK F, D-60325 Frankfurt, Germany; [Utescher, Torsten] Univ Bonn, Steinmann Inst, D-53115 Bonn, Germany; [Bondarenko, Olesya V.] Russian Acad Sci, Far Eastern Branch, Vladivostok 690022, Russia</t>
  </si>
  <si>
    <t>Senckenberg Gesellschaft fur Naturforschung (SGN); University of Bonn; Russian Academy of Sciences</t>
  </si>
  <si>
    <t>Utescher, T (corresponding author), Univ Bonn, Steinmann Inst, Nussallee 8, D-53115 Bonn, Germany.</t>
  </si>
  <si>
    <t>utescher@geo.uni-bonn.de</t>
  </si>
  <si>
    <t>Bondarenko, Olesia/Y-6877-2019</t>
  </si>
  <si>
    <t>Bondarenko, Olesia/0000-0002-7218-7586</t>
  </si>
  <si>
    <t>Russian Academy of Sciences [12-I-P28-01]; Chinese Academy of Sciences [2013Y1SA002]; National Natural Science Foundation of China [31350110504]; German Science Foundation (DFG) [MI 926/8-1]</t>
  </si>
  <si>
    <t>Russian Academy of Sciences(Russian Academy of Sciences); Chinese Academy of Sciences(Chinese Academy of Sciences); National Natural Science Foundation of China(National Natural Science Foundation of China (NSFC)); German Science Foundation (DFG)(German Research Foundation (DFG))</t>
  </si>
  <si>
    <t>We would like to thank our colleagues for their lively interest in our work. We are grateful to Boris I. Pavlutkin (Geological Institute FEB RAS, Vladivostok) for valuable information on the geology and palaeobotanical records of Primory'e. We are thankful to Robert A. Spicer and an anonymous reviewer for carefully revising the manuscript and for their valuable suggestions. O.V. Bondarenko is indebted to the Russian Academy of Sciences (project 12-I-P28-01), the Chinese Academy of Sciences (grant 2013Y1SA002), and the National Natural Science Foundation of China (grant 31350110504). T. Utescher thanks the German Science Foundation (DFG) for the financial support provided (MI 926/8-1). This study is a contribution to NECLIME (Neogene Climate Evolution of Eurasia).</t>
  </si>
  <si>
    <t>10.1016/j.epsl.2015.01.019</t>
  </si>
  <si>
    <t>WOS:000350929600012</t>
  </si>
  <si>
    <t>Margold, M; Stokes, CR; Clark, CD</t>
  </si>
  <si>
    <t>Margold, Martin; Stokes, Chris R.; Clark, Chris D.</t>
  </si>
  <si>
    <t>Ice streams in the Laurentide Ice Sheet: Identification, characteristics and comparison to modern ice sheets</t>
  </si>
  <si>
    <t>EARTH-SCIENCE REVIEWS</t>
  </si>
  <si>
    <t>Ice streams; Laurentide Ice Sheet; Glacial landform record; Deglaciation; Ice sheet dynamics; Ice velocity pattern</t>
  </si>
  <si>
    <t>SCALE GLACIAL LINEATIONS; MELTWATER MEGAFLOOD HYPOTHESIS; LATE WISCONSINAN GLACIATION; LAKE-MICHIGAN LOBE; SOUTHEASTERN BAFFIN-ISLAND; NORTH-EASTERN LAURENTIDE; CONTINUUM MIXTURE MODEL; ALBERTA FLOW PATHS; YORK DRUMLIN FIELD; JOHN SHAWS PAPER</t>
  </si>
  <si>
    <t>This paper presents a comprehensive review and synthesis of ice streams in the Laurentide Ice Sheet (LIS) based on a new mapping inventory that includes previously hypothesised ice streams and includes a concerted effort to search for others from across the entire ice sheet bed. The inventory indudes 117 ice streams, which have been identified based on a variety of evidence including their bedform imprint, large-scale geomorphology/ topography, till properties, and ice rafted debris in ocean sediment records. Despite uncertainty in identifying ice streams in hard bedrock areas, it is unlikely that any major ice streams have been missed. During the Last Glacial Maximum, Laurentide ice streams formed a drainage pattern that bears close resemblance to the present day velocity patterns in modern ice sheets. Large ice streams had extensive onset zones and were fed by multiple tributaries and, where ice drained through regions of high relief, the spacing of ice streams shows a degree of spatial self-organisation which has hitherto not been recognised. Topography exerted a primary control on the location of ice streams, but there were large areas along the western and southern margin of the ice sheet where the bed was composed of weaker sedimentary bedrock, and where networks of ice streams switched direction repeatedly and probably over short time scales. As the ice sheet retreated onto its low relief interior, several ice streams show no correspondence with topography or underlying geology, perhaps facilitated by localised build-up of pressurised subglacial meltwater. They differed from most other ice stream tracks in having much lower length-to-width ratios and have no modern analogues. There have been very few attempts to date the initiation and cessation of ice streams, but it is clear that ice streams switched on and off during deglaciation, rather than maintaining the same trajectory as the ice margin retreated. We provide a first order estimate of changes in ice stream activity during deglaciation and show that around 30% of the margin was drained by ice streams at the LGM (similar to that for present day Antarctic ice sheets), but this decreases to 15% and 12% at 12 cal ka BP and 10 cal ka BP, respectively. The extent to which these changes in the ice stream drainage network represent a simple and predictable readjustment to a changing mass balance driven by climate, or internal ice dynamical feedbacks unrelated to climate (or both) is largely unknown and represents a key area for future work to address. (C) 2015 The Authors. Published by Elsevier B.V.</t>
  </si>
  <si>
    <t>[Margold, Martin; Stokes, Chris R.] Univ Durham, Dept Geog, Lower Mountjoy, Durham DH1 3LE, England; [Clark, Chris D.] Univ Sheffield, Dept Geog, Western Bank, Sheffield S10 2TN, S Yorkshire, England</t>
  </si>
  <si>
    <t>Durham University; University of Sheffield</t>
  </si>
  <si>
    <t>Margold, M (corresponding author), Univ Durham, Dept Geog, Lower Mountjoy, S Rd, Durham DH1 3LE, England.</t>
  </si>
  <si>
    <t>martin.margold@durham.ac.uk</t>
  </si>
  <si>
    <t>Stokes, Chris/A-1957-2011; clark, chris/C-3830-2009; Margold, Martin/V-4634-2018</t>
  </si>
  <si>
    <t>Stokes, Chris/0000-0003-3355-1573; clark, chris/0000-0002-1021-6679; Margold, Martin/0000-0001-5834-850X</t>
  </si>
  <si>
    <t>Natural Environment Research Council [NE/J00782X/1]; NERC [NE/J00782X/1, NE/J007455/1] Funding Source: UKRI; Natural Environment Research Council [NE/J007455/1, NE/J00782X/1] Funding Source: researchfish</t>
  </si>
  <si>
    <t>Natural Environment Research Council(UK Research &amp; Innovation (UKRI)Natural Environment Research Council (NERC)); NERC(UK Research &amp; Innovation (UKRI)Natural Environment Research Council (NERC)); Natural Environment Research Council(UK Research &amp; Innovation (UKRI)Natural Environment Research Council (NERC))</t>
  </si>
  <si>
    <t>We thank Carrie Jennings and Sven Lukas for their constructive comments on the earlier version of the manuscript. This work was supported by the Natural Environment Research Council (grant number NE/J00782X/1). Underlying data are available by request to M. Margold.</t>
  </si>
  <si>
    <t>0012-8252</t>
  </si>
  <si>
    <t>1872-6828</t>
  </si>
  <si>
    <t>EARTH-SCI REV</t>
  </si>
  <si>
    <t>Earth-Sci. Rev.</t>
  </si>
  <si>
    <t>10.1016/j.earscirev.2015.01.011</t>
  </si>
  <si>
    <t>CE6VW</t>
  </si>
  <si>
    <t>WOS:000351977300005</t>
  </si>
  <si>
    <t>Dorneles, PR; Lailson-Brito, J; Secchi, ER; Dirtu, AC; Weijs, L; Dalla Rosa, L; Bassoi, M; Cunha, HA; Azevedo, AF; Covaci, A</t>
  </si>
  <si>
    <t>Dorneles, Paulo R.; Lailson-Brito, Jose; Secchi, Eduardo R.; Dirtu, Alin C.; Weijs, Liesbeth; Dalla Rosa, Luciano; Bassoi, Manuela; Cunha, Haydee A.; Azevedo, Alexandre F.; Covaci, Adrian</t>
  </si>
  <si>
    <t>Levels and profiles of chlorinated and brominated contaminants in Southern Hemisphere humpback whales, Megaptera novaeangliae</t>
  </si>
  <si>
    <t>ENVIRONMENTAL RESEARCH</t>
  </si>
  <si>
    <t>Antarctic Peninsula; Organohalogen compounds; Methoxylated PBDEs; Marine mammals; Discriminant function analysis; Year-to-year variation; Sex-related differences; Polar areas</t>
  </si>
  <si>
    <t>POLYBROMINATED DIPHENYL ETHERS; PERSISTENT ORGANIC POLLUTANTS; POLYCYCLIC AROMATIC-HYDROCARBONS; HALOGENATED NATURAL-PRODUCTS; BELGIAN NORTH-SEA; MARINE MAMMALS; ORGANOCHLORINE CONTAMINANTS; FLAME RETARDANTS; POLYCHLORINATED-BIPHENYLS; SOTALIA-GUIANENSIS</t>
  </si>
  <si>
    <t>The study documents the levels and profiles of selected contaminants [polychlorinated biphenyls (PCBs), organochlorine pesticides (OCPs), polybrominated diphenyl ethers (PBDEs) and methoxylated PBDEs (MeO-PBDE5)] in blubber biopsy samples collected from humpback whales (Megaptera novaeangliae) in Antarctic Peninsula waters. In addition, we investigated year-to-year and sex-related differences in the bioaccumulation patterns. Except for hexachlorobenzene (HCB), whose concentrations were in the same range as those found in whales from the Northern Hemisphere, levels of all other compounds were lower in Southern Hemisphere whales compared to literature data on animals from the Arctic and subarctic region. The mean contribution to the sum of all anthropogenic organohalogen compounds (Sigma OHC) decreased in the following order Sigma PCBs (44%) &gt; HCB (31%) &gt; Sigma DDXs (13%) &gt; Sigma CHLs (4.6%) &gt; Sigma HCHs (4.4%) &gt; Sigma PBDEs (0.9%). The predominant compounds within each chemical class were: PCBs 153, 149, 101 and 138; p,p'-DDE; gamma-HCH; trans-nonachlor; PBDEs 99 and 47. The most dominant MeO-PBDE congener was 6-MeO-BDE 47. As samples were collected during three consecutive summer seasons, year-to-year trends could be assessed indicating a significant decrease from 2000 to 2003 for Sigma CHL levels. Higher Sigma PBDE concentrations and higher values of the Sigma PBDE / Sigma MeO-PBDE ratio, as well as higher ratios between the two MeO-BDEs (2'-MeO-BDE 68/6-MeO-BDE 47) were found in females compared to males. Higher Sigma MeO-PBDE concentrations and higher values of the ratios between the lower chlorinated and the higher chlorinated PCBs were found in males than in females. In addition, five out of six significant differences found through discriminant function analysis were gender-related. The literature reports both feeding in mid- to low-latitudes and sex-related differences in migration patterns for humpback whales from the Southern Hemisphere, indicating that the hypothesis of dietary differences between males and females cannot be excluded. Nevertheless, additional studies are required for further investigation of this hypothesis. (C) 2015 Elsevier Inc. All rights reserved.</t>
  </si>
  <si>
    <t>[Dorneles, Paulo R.] Univ Fed Rio de Janeiro, Inst Biophys, Radioisotope Lab, Rio De Janeiro, Brazil; [Lailson-Brito, Jose; Cunha, Haydee A.; Azevedo, Alexandre F.] Rio De Janeiro State Univ UERJ, Sch Oceanog, Aquat Mammal &amp; Bioindicator Lab MAQUA, Rio De Janeiro, Brazil; [Secchi, Eduardo R.; Dalla Rosa, Luciano; Bassoi, Manuela] Univ Fed Rio Grande FURG, Inst Oceanografia, Lab Ecol Conservacao Megafauna Marin, Rio Grande, RS, Brazil; [Dirtu, Alin C.; Weijs, Liesbeth; Covaci, Adrian] Univ Antwerp, Toxicol Ctr, Dept Pharmaceut Sci, Antwerp, Belgium; [Dirtu, Alin C.] Al L Cuza Univ Iasi, Dept Chem, Iasi, Romania; [Weijs, Liesbeth; Covaci, Adrian] Univ Antwerp, Dept Biol, Syst Physiol &amp; Ecotoxicol Res SPHERE, Antwerp, Belgium; [Cunha, Haydee A.] Fed Univ Rio De Janeiro UFRJ, Inst Biol, Lab Biodiversidade Mol, Rio De Janeiro, RJ, Brazil</t>
  </si>
  <si>
    <t>Universidade Federal do Rio de Janeiro; Universidade do Estado do Rio de Janeiro; Universidade Federal do Rio Grande; University of Antwerp; Alexandru Ioan Cuza University; University of Antwerp</t>
  </si>
  <si>
    <t>Dorneles, PR (corresponding author), Univ Fed Rio de Janeiro, CCS, IBCCF, LREPF, Ave Carlos Chagas Filho,373 Edificio CCS,Sala G0-, BR-21941902 Rio De Janeiro, RJ, Brazil.</t>
  </si>
  <si>
    <t>dorneles@biof.ufrj.br</t>
  </si>
  <si>
    <t>Secchi, Eduardo/D-5038-2013; Covaci, Adrian/A-9058-2008; AZEVEDO, ALEXANDRENDRE REIS DE/HII-5648-2022; Brito, Jose Lailson/B-3572-2013; Dorneles, Paulo R/M-2049-2013; Cunha, Haydee A/O-1940-2017; Rosa, Luciano Dalla/D-5660-2012; Secchi, Eduardo R./ABF-1191-2020; Azevedo, Alexandre/B-9660-2013; Weijs, Liesbeth/B-6731-2016; DIRTU, Alin Constantin/P-1525-2014</t>
  </si>
  <si>
    <t>Secchi, Eduardo/0000-0001-9087-9909; Covaci, Adrian/0000-0003-0527-1136; Brito, Jose Lailson/0000-0001-8366-458X; Cunha, Haydee A/0000-0002-8554-0238; Rosa, Luciano Dalla/0000-0002-1583-6471; Secchi, Eduardo R./0000-0001-9087-9909; Azevedo, Alexandre/0000-0002-3754-9035; Weijs, Liesbeth/0000-0002-2399-1711; Dorneles, Paulo/0000-0003-0296-739X; DIRTU, Alin Constantin/0000-0002-8144-5807</t>
  </si>
  <si>
    <t>Interministerial Commission for the Resources of the Sea (CIRM)/Brazilian Navy; Brazilian Council for Scientific Research and Development (CNPq); Research Foundation Flanders (FWO); University of Antwerp; CNPq [PQ-2, PQ-1D]; FAPERJ (JCNE); UERJ (Prociencia); [PQ 307843/2011- 4]</t>
  </si>
  <si>
    <t>Interministerial Commission for the Resources of the Sea (CIRM)/Brazilian Navy; Brazilian Council for Scientific Research and Development (CNPq)(Conselho Nacional de Desenvolvimento Cientifico e Tecnologico (CNPQ)); Research Foundation Flanders (FWO)(FWO); University of Antwerp; CNPq(Conselho Nacional de Desenvolvimento Cientifico e Tecnologico (CNPQ)); FAPERJ (JCNE)(Fundacao Carlos Chagas Filho de Amparo a Pesquisa do Estado do Rio De Janeiro (FAPERJ)); UERJ (Prociencia);</t>
  </si>
  <si>
    <t>The Brazilian Antarctic Program (PROANTAR) is sponsored by the Interministerial Commission for the Resources of the Sea (CIRM)/Brazilian Navy in collaboration with the Brazilian Council for Scientific Research and Development (CNPq). The authors are indebted to the CIRM/Brazilian Navy for the logistical support given to the Project and to the CNPq, which has financially supported the Project and the researchers. LW and ACD are financially supported by the Research Foundation Flanders (FWO). AC is funded by the University of Antwerp and FWO. ERS has a research fellowship (PQ 307843/2011- 4). This is a contribution of the Instituto Nacional de Ciencia e Tecnologia Antartico de Pesquisas Ambientais (INCT-APA) of the Research Group Ecologia e Conservacao do Megafauna Marinha-EcoMega/FURG-CNPq. AFA and JL-B have research Grants from CNPq (PQ-2 and PQ-1D, respectively), FAPERJ (JCNE) and UERJ (Prociencia).</t>
  </si>
  <si>
    <t>0013-9351</t>
  </si>
  <si>
    <t>1096-0953</t>
  </si>
  <si>
    <t>ENVIRON RES</t>
  </si>
  <si>
    <t>Environ. Res.</t>
  </si>
  <si>
    <t>10.1016/j.envres.2015.02.007</t>
  </si>
  <si>
    <t>Environmental Sciences; Public, Environmental &amp; Occupational Health</t>
  </si>
  <si>
    <t>Environmental Sciences &amp; Ecology; Public, Environmental &amp; Occupational Health</t>
  </si>
  <si>
    <t>CG1CT</t>
  </si>
  <si>
    <t>WOS:000353011300007</t>
  </si>
  <si>
    <t>Gutt, J; Bertler, N; Bracegirdle, TJ; Buschmann, A; Comiso, J; Hosie, G; Isla, E; Schloss, IR; Smith, CR; Tournadre, J; Xavier, JC</t>
  </si>
  <si>
    <t>Gutt, Julian; Bertler, Nancy; Bracegirdle, Thomas J.; Buschmann, Alexander; Comiso, Josefino; Hosie, Graham; Isla, Enrique; Schloss, Irene R.; Smith, Craig R.; Tournadre, Jean; Xavier, Jose C.</t>
  </si>
  <si>
    <t>The Southern Ocean ecosystem under multiple climate change stresses - an integrated circumpolar assessment</t>
  </si>
  <si>
    <t>acidification; habitats; icebergs; ice-shelves; ozone depletion; sea-ice; warming</t>
  </si>
  <si>
    <t>WEST ANTARCTIC PENINSULA; ULTRAVIOLET-RADIATION; ROSS SEA; UV-B; MARINE ECOSYSTEMS; MCMURDO SOUND; WEDDELL SEA; OZONE HOLE; ICE; IMPACT</t>
  </si>
  <si>
    <t>A quantitative assessment of observed and projected environmental changes in the Southern Ocean (SO) with a potential impact on the marine ecosystem shows: (i) large proportions of the SO are and will be affected by one or more climate change processes; areas projected to be affected in the future are larger than areas that are already under environmental stress, (ii) areas affected by changes in sea-ice in the past and likely in the future are much larger than areas affected by ocean warming. The smallest areas (&lt;1% area of the SO) are affected by glacier retreat and warming in the deeper euphotic layer. In the future, decrease in the sea-ice is expected to be widespread. Changes in iceberg impact resulting from further collapse of ice-shelves can potentially affect large parts of shelf and ephemerally in the off-shore regions. However, aragonite undersaturation (acidification) might become one of the biggest problems for the Antarctic marine ecosystem by affecting almost the entire SO. Direct and indirect impacts of various environmental changes to the three major habitats, sea-ice, pelagic and benthos and their biota are complex. The areas affected by environmental stressors range from 33% of the SO for a single stressor, 11% for two and 2% for three, to &lt;1% for four and five overlapping factors. In the future, areas expected to be affected by 2 and 3 overlapping factors are equally large, including potential iceberg changes, and together cover almost 86% of the SO ecosystem.</t>
  </si>
  <si>
    <t>[Gutt, Julian; Buschmann, Alexander] Helmholtz Ctr Polar &amp; Marine Res, Alfred Wegener Inst, D-27568 Bremerhaven, Germany; [Bertler, Nancy] Victoria Univ Wellington, Joint Antarctic Res Inst, Wellington, New Zealand; [Bertler, Nancy] GNS Sci, Wellington, New Zealand; [Bracegirdle, Thomas J.; Xavier, Jose C.] British Antarctic Survey, Nat Environm Res Council, Cambridge CB3 0ET, England; [Comiso, Josefino] NASA, Goddard Space Flight Ctr, Cryospher Sci Lab, Greenbelt, MD 20771 USA; [Hosie, Graham] Scott Polar Res Inst, SCAR Life Sci, Cambridge CB2 1ER, England; [Isla, Enrique] CSIC, Inst Ciencies Mar, E-08003 Barcelona, Spain; [Schloss, Irene R.] Inst Antartico Argentino, Buenos Aires, DF, Argentina; [Schloss, Irene R.] Consejo Nacl Invest Cient &amp; Tecn, RA-1033 Buenos Aires, DF, Argentina; [Schloss, Irene R.] Argentina, Rimouski, PQ G5L 3A1, Canada; [Schloss, Irene R.] Inst Sci Rimouski, Rimouski, PQ G5L 3A1, Canada; [Smith, Craig R.] Univ Hawaii Manoa, Dept Oceanog, Honolulu, HI 96822 USA; [Tournadre, Jean] IFREMER, Lab Oceanog Spatiale, F-29280 Plouzane, France; [Xavier, Jose C.] Univ Coimbra, Dept Life Sci, Inst Marine Res, P-3001401 Coimbra, Portugal</t>
  </si>
  <si>
    <t>Helmholtz Association; Alfred Wegener Institute, Helmholtz Centre for Polar &amp; Marine Research; Victoria University Wellington; GNS Science - New Zealand; UK Research &amp; Innovation (UKRI); Natural Environment Research Council (NERC); NERC British Antarctic Survey; National Aeronautics &amp; Space Administration (NASA); NASA Goddard Space Flight Center; University of Cambridge; Consejo Superior de Investigaciones Cientificas (CSIC); CSIC - Centro Mediterraneo de Investigaciones Marinas y Ambientales (CMIMA); CSIC - Instituto de Ciencias del Mar (ICM); Instituto Antartico Argentino; Consejo Nacional de Investigaciones Cientificas y Tecnicas (CONICET); University of Hawaii System; University of Hawaii Manoa; Ifremer; Universidade de Coimbra</t>
  </si>
  <si>
    <t>Gutt, J (corresponding author), Helmholtz Ctr Polar &amp; Marine Res, Alfred Wegener Inst, Alten Hafen 26, D-27568 Bremerhaven, Germany.</t>
  </si>
  <si>
    <t>julian.gutt@awi.de</t>
  </si>
  <si>
    <t>Bracegirdle, Tom/AAD-6060-2020; /AAL-3738-2021; Schloss, Irene R./U-5411-2018; Xavier, José/KFB-6739-2024; Bertler, Nancy A N/F-3967-2011; Tournadre, Jean/F-8402-2010</t>
  </si>
  <si>
    <t>Schloss, Irene R./0000-0002-5917-8925; Isla, Enrique/0000-0003-4959-6936; Tournadre, Jean/0000-0003-1159-4388; Gutt, Julian/0000-0003-3773-9370; Bertler, Nancy/0000-0001-6028-4891; /0000-0002-9621-6660; Bracegirdle, Thomas/0000-0002-8868-4739</t>
  </si>
  <si>
    <t>Natural Environment Research Council [bas0100023] Funding Source: researchfish; Directorate For Geosciences; Office of Polar Programs (OPP) [1341669] Funding Source: National Science Foundation; NERC [bas0100023] Funding Source: UKRI</t>
  </si>
  <si>
    <t>Natural Environment Research Council(UK Research &amp; Innovation (UKRI)Natural Environment Research Council (NERC)); Directorate For Geosciences; Office of Polar Programs (OPP)(National Science Foundation (NSF)NSF - Directorate for Geosciences (GEO)); NERC(UK Research &amp; Innovation (UKRI)Natural Environment Research Council (NERC))</t>
  </si>
  <si>
    <t>10.1111/gcb.12794</t>
  </si>
  <si>
    <t>CD6QM</t>
  </si>
  <si>
    <t>WOS:000351214100008</t>
  </si>
  <si>
    <t>Richardson, EL; King, CK; Powell, SM</t>
  </si>
  <si>
    <t>Richardson, Elizabeth L.; King, Catherine K.; Powell, Shane M.</t>
  </si>
  <si>
    <t>The Use of Microbial Gene Abundance in the Development of Fuel Remediation Guidelines in Polar Soils</t>
  </si>
  <si>
    <t>INTEGRATED ENVIRONMENTAL ASSESSMENT AND MANAGEMENT</t>
  </si>
  <si>
    <t>Antarctic; Ecotoxicology; Hydrocarbon; Quantitative PCR; Soil</t>
  </si>
  <si>
    <t>16S RIBOSOMAL-RNA; ANTARCTIC SOILS; DIESEL FUEL; COMMUNITY; TOXICITY; BIOREMEDIATION; PCR; BIOSTIMULATION; CONTAMINATION; ASSEMBLAGES</t>
  </si>
  <si>
    <t>Terrestrial fuel spills in Antarctica commonly occur on ice-free land around research stations as the result of human activities. Successful spill clean-ups require appropriate targets that confirm contaminated sites are no longer likely to pose environmental risk following remediation. These targets are based on knowledge of the impacts of contaminants on the soil ecosystem and on the response of native biota to contamination. Our work examined the response of soil microbial communities to fuel contamination by measuring the abundance of genes involved in critical soil processes, and assessed the use of this approach as an indicator of soil health in the presence of weathered and fresh fuels. Uncontaminated and contaminated soils were collected from the site of remediation treatment of an aged diesel spill at Casey Station, East Antarctica in December 2012. Uncontaminated soil was spiked with fresh Special Antarctic Blend (SAB) diesel to determine the response of the genes to fresh fuel. Partly remediated soil containing weathered SAB diesel was diluted with uncontaminated soil to simulate a range of concentrations of weathered fuel and used to determine the response of the genes to aged fuel. Quantitative PCR (qPCR) was used to measure the abundance of rpoB, alkB, cat23, and nosZ in soils containing SAB diesel. Differences were observed between the abundance of genes in control soils versus soils containing weathered and fresh fuels. Typical dose-response curves were generated for genes in response to the presence of fresh fuel. In contrast, the response of these genes to the range of weathered fuel appeared to be due to dilution, rather than to the effect of the fuel on the microbial community. Changes in microbial genes in response to fresh contamination have potential as a sensitive measure of soil health and for assessments of the effect of fuel spills in polar soils. This will contribute to the development of remediation guidelines to assist in management decisions on when the impact of a fuel spill warrants remediation. (C) 2014 SETAC</t>
  </si>
  <si>
    <t>[Richardson, Elizabeth L.; Powell, Shane M.] Univ Tasmania, Tasmanian Inst Agr, Hobart, Tas, Australia; [Richardson, Elizabeth L.; King, Catherine K.] Dept Environm, Australian Antarctic Div, Kingston, Tas, Australia</t>
  </si>
  <si>
    <t>University of Tasmania; Australian Antarctic Division</t>
  </si>
  <si>
    <t>King, CK (corresponding author), Dept Environm, Australian Antarctic Div, Kingston, Tas, Australia.</t>
  </si>
  <si>
    <t>cath.king@aad.gov.au</t>
  </si>
  <si>
    <t>King, Catherine K/G-7059-2017; Powell, Shane M/C-2391-2014</t>
  </si>
  <si>
    <t>King, Catherine K/0000-0003-3356-0381; Powell, Shane/0000-0001-5082-1630</t>
  </si>
  <si>
    <t>Australian Government through AAS [4100, 4036]</t>
  </si>
  <si>
    <t>Australian Government through AAS(Australian Government)</t>
  </si>
  <si>
    <t>Thanks to Lauren Wise, Greg Hince, and Rebecca McWatters at the Australian Antarctic Division for support guidance and coordination of station sampling in the project. Thanks to Rebecca Miller and Dan Jones for sample collection, and Sarah Payne and Frances Alexander for sample dilution and preparation. Thanks to Anne Palmer for comments and edits to this manuscript. Funding for this project was provided by the Australian Government through AAS grants 4100 (CI King) and 4036 (CI Snape).</t>
  </si>
  <si>
    <t>1551-3777</t>
  </si>
  <si>
    <t>1551-3793</t>
  </si>
  <si>
    <t>INTEGR ENVIRON ASSES</t>
  </si>
  <si>
    <t>Integr. Environ. Assess. Manag.</t>
  </si>
  <si>
    <t>10.1002/ieam.1580</t>
  </si>
  <si>
    <t>CL5SG</t>
  </si>
  <si>
    <t>WOS:000357020200007</t>
  </si>
  <si>
    <t>Mink, S; Maestro, A; López-Martínez, J; Schmid, T; Galindo-Zaldívar, J; Trouw, RAJ</t>
  </si>
  <si>
    <t>Mink, S.; Maestro, A.; Lopez-Martinez, J.; Schmid, T.; Galindo-Zaldivar, J.; Trouw, R. A. J.</t>
  </si>
  <si>
    <t>Morphostructural analysis and Cenozoic evolution of Elephant Island, Southern Scotia Arc, Antarctica</t>
  </si>
  <si>
    <t>Geomorphology; Fractures; Lineaments; Neotectonics; Morphostructure; South Shetland Islands</t>
  </si>
  <si>
    <t>TECTONIC EVOLUTION; SUBDUCTION COMPLEX; SHETLAND ISLANDS; PLATE BOUNDARY; DRAKE PASSAGE; SLIP-FAULT; SEA; PENINSULA; BASIN; LINEAMENTS</t>
  </si>
  <si>
    <t>Elephant Island, located in the vicinity of the present-day active boundary of the South Shetland Block and the Antarctic and Scotia plates, is a region of particular interest for understanding the past and present geodynamic evolution of the southern Scotia Arc. Lineament from different data sources, field-measured fractures and geomorphological evidences have been analysed in this context. The lineaments extracted from aerial photographs (1,624), from a DEM (348) and from RADARSAT-2 satellite data (1,365) indicate four dominant lineament sets with NE-SW, NW-SE, N-S and W-E strikes. All data sources identified similar lineament families, but differences in the frequency distributions and subsequently on the dominant orientations were observed. The measurements direct of fractures were obtained from 23 sites in the field at which 278 planes were measured. Fracture planes indicate main modes trending in the NNE-SSW and NNW-SSE directions and a secondary mode in the E-W. The major trends of the fracture measurements and the lineaments display a good correlation in the E-W direction. However, there is an angular variation in the azimuth values of the NNE-SSE and NNW-SSE fractures with respect to the N-S, NE-SW and NW-SE orientations of the lineaments of approximately 20A degrees. This trend deviation may be due to the fact that mapped lineaments are composed of small fracture sets that may be related to shear fractures that cannot be distinguished at the aerial photograph or radar satellite data scales. Submerged sea-floor morphological feature orientations match the studied morphostructures on the island and the main tectonic structures in this part of the Scotia Arc. A linkage of the main lineament families to the tectonic stages from the Oligocene to the present has been proposed, taking into account the information of the orientation and sense of movement of the fractures and stresses in the Elephant Island region.</t>
  </si>
  <si>
    <t>[Mink, S.; Maestro, A.] Inst Geol &amp; Minero Espana, Madrid 28760, Spain; [Mink, S.; Maestro, A.; Lopez-Martinez, J.] Univ Autonoma Madrid, Fac Ciencias, Dept Geol &amp; Geoquim, E-28049 Madrid, Spain; [Schmid, T.] CIEMAT, E-28040 Madrid, Spain; [Galindo-Zaldivar, J.] Univ Granada, Dept Geodinam, E-18071 Granada, Spain; [Galindo-Zaldivar, J.] Univ Granada, CSIC, Inst Andaluz Ciencias Tierra, E-18071 Granada, Spain; [Trouw, R. A. J.] Univ Fed Rio de Janeiro, Dept Geol, BR-21941901 Rio De Janeiro, RJ, Brazil</t>
  </si>
  <si>
    <t>Autonomous University of Madrid; Centro de Investigaciones Energeticas, Medioambientales Tecnologicas; University of Granada; Consejo Superior de Investigaciones Cientificas (CSIC); CSIC - Instituto Andaluz de Ciencias de la Tierra (IACT); University of Granada; Universidade Federal do Rio de Janeiro</t>
  </si>
  <si>
    <t>Mink, S (corresponding author), Inst Geol &amp; Minero Espana, Calle Calera 1, Madrid 28760, Spain.</t>
  </si>
  <si>
    <t>s.mink@igme.es; a.maestro@igme.es; jeronimo.lopez@uam.es; thomas.schmid@ciemat.es; jgalindo@ugr.es; trouw@geologia.ufrj.br</t>
  </si>
  <si>
    <t>Maestro, Adolfo/ABG-7268-2021; Lopez-Martinez, Jeronimo/C-5744-2011; Galindo-Zaldivar, Jesus/K-3640-2012; Schmid, Thomas/L-3397-2014; Maestro, Adolfo/K-2434-2014</t>
  </si>
  <si>
    <t>Lopez-Martinez, Jeronimo/0000-0002-1750-8287; Galindo-Zaldivar, Jesus/0000-0002-3493-2637; Schmid, Thomas/0000-0002-2849-4730; Maestro, Adolfo/0000-0002-7474-725X</t>
  </si>
  <si>
    <t>Spanish RD National Plan [CTM2011-26372, CTM2011-30241-CO2-02, CTM2011-13902-E]; RADARSAT-2 Science and Operational Applications Research Program (SOAR), Canada [SOAR-1376, SOAR-5169]; Brazilian Antarctic Programme</t>
  </si>
  <si>
    <t>Spanish RD National Plan(Spanish Government); RADARSAT-2 Science and Operational Applications Research Program (SOAR), Canada; Brazilian Antarctic Programme</t>
  </si>
  <si>
    <t>This work was funded by the projects CTM2011-26372, CTM2011-30241-CO2-02 and CTM2011-13902-E of the Spanish R&amp;D National Plan. RADARSAT-2 Science and Operational Applications Research Program (SOAR), Canada provided satellite data through the SOAR-1376 and SOAR-5169 projects granted to the Universidad Autonoma de Madrid, Spain. Topographic and geodetic work was conducted in collaboration with the Centro Geografico del Ejercito, Spain, which we thank. The field campaign was performed in collaboration with the scientists of the Universidade Federal de Rio de Janeiro. In addition, we thank the Brazilian Antarctic Programme for their support. The authors thank the constructive comments of two referees and the editor that have improved the manuscript.</t>
  </si>
  <si>
    <t>10.1007/s00531-014-1099-1</t>
  </si>
  <si>
    <t>WOS:000351519400018</t>
  </si>
  <si>
    <t>Heuzé, C; Heywood, KJ; Stevens, DP; Ridley, JK</t>
  </si>
  <si>
    <t>Heuze, Celine; Heywood, Karen J.; Stevens, David P.; Ridley, Jeff K.</t>
  </si>
  <si>
    <t>Changes in Global Ocean Bottom Properties and Volume Transports in CMIP5 Models under Climate Change Scenarios</t>
  </si>
  <si>
    <t>NORTH-ATLANTIC OCEAN; EARTH SYSTEM MODEL; SOUTHERN-OCEAN; DEEP CONVECTION; OVERTURNING CIRCULATION; COUPLED MODEL; WATER; HEAT; VARIABILITY; AMOC</t>
  </si>
  <si>
    <t>Changes in bottom temperature, salinity, and density in the global ocean by 2100 for CMIP5 climate models are investigated for the climate change scenarios RCP4.5 and RCP8.5. The mean of 24 models shows a decrease in density in all deep basins, except the North Atlantic, which becomes denser. The individual model responses to climate change forcing are more complex: regarding temperature, the 24 models predict a warming of the bottom layer of the global ocean; in salinity, there is less agreement regarding the sign of the change, especially in the Southern Ocean. The magnitude and equatorward extent of these changes also vary strongly among models. The changes in properties can be linked with changes in the mean transport of key water masses. The Atlantic meridional overturning circulation weakens in most models and is directly linked to changes in bottom density in the North Atlantic. These changes are the result of the intrusion of modified Antarctic Bottom Water, made possible by the decrease in North Atlantic Deep Water formation. In the Indian, Pacific, and South Atlantic Oceans, changes in bottom density are congruent with the weakening in Antarctic Bottom Water transport through these basins. The authors argue that the greater the 1986-2005 meridional transports, the more changes have propagated equatorward by 2100. However, strong decreases in density over 100 yr of climate change cause a weakening of the transports. The speed at which these property changes reach the deep basins is critical for a correct assessment of the heat storage capacity of the oceans as well as for predictions of future sea level rise.</t>
  </si>
  <si>
    <t>[Heuze, Celine; Heywood, Karen J.] Univ E Anglia, Sch Environm Sci, COAS, Norwich NR4 7TJ, Norfolk, England; [Stevens, David P.] Univ E Anglia, Sch Math, COAS, Norwich NR4 7TJ, Norfolk, England; [Ridley, Jeff K.] Met Off Hadley Ctr, Exeter, Devon, England</t>
  </si>
  <si>
    <t>University of East Anglia; University of East Anglia; Met Office - UK; Hadley Centre</t>
  </si>
  <si>
    <t>Heuzé, C (corresponding author), Univ E Anglia, Sch Environm Sci, COAS, Norwich Res Pk, Norwich NR4 7TJ, Norfolk, England.</t>
  </si>
  <si>
    <t>c.heuze@uea.ac.uk</t>
  </si>
  <si>
    <t>Heuzé, Céline/U-5058-2017; Heywood, Karen/L-1757-2016; Stevens, David/F-2509-2010</t>
  </si>
  <si>
    <t>Heuzé, Céline/0000-0002-8850-5868; Heywood, Karen/0000-0001-9859-0026; Stevens, David/0000-0002-7283-4405</t>
  </si>
  <si>
    <t>NERC; Met Office [RCUK NE/I018239/1]; Joint DECC/Defra Met Office Hadley Centre Climate Programme [GA01101]; Research and Specialist Computing Support service at the University of East Anglia, United Kingdom; Natural Environment Research Council [1093171] Funding Source: researchfish</t>
  </si>
  <si>
    <t>NERC(UK Research &amp; Innovation (UKRI)Natural Environment Research Council (NERC)); Met Office; Joint DECC/Defra Met Office Hadley Centre Climate Programme; Research and Specialist Computing Support service at the University of East Anglia, United Kingdom; Natural Environment Research Council(UK Research &amp; Innovation (UKRI)Natural Environment Research Council (NERC))</t>
  </si>
  <si>
    <t>This work is funded by a NERC Open CASE PhD studentship award to UEA and the Met Office (RCUK NE/I018239/1). Jeff Ridley was supported by the Joint DECC/Defra Met Office Hadley Centre Climate Programme (GA01101). We acknowledge the World Climate Research Programme's Working Group on Coupled Modelling, which is responsible for CMIP, and we thank the climate modeling groups (whose models are listed in Table 1 of this paper) for producing and making available their model output. We thank A. Meijers, S. Griffies, and one anonymous reviewer for very useful comments, suggestions of extra analyses and encouragement. The research presented in this paper was carried out on the High Performance Computing Cluster supported by the Research and Specialist Computing Support service at the University of East Anglia, United Kingdom.</t>
  </si>
  <si>
    <t>10.1175/JCLI-D-14-00381.1</t>
  </si>
  <si>
    <t>CF3ZI</t>
  </si>
  <si>
    <t>WOS:000352487300001</t>
  </si>
  <si>
    <t>Rudeva, I; Simmonds, I</t>
  </si>
  <si>
    <t>Rudeva, Irina; Simmonds, Ian</t>
  </si>
  <si>
    <t>Variability and Trends of Global Atmospheric Frontal Activity and Links with Large-Scale Modes of Variability</t>
  </si>
  <si>
    <t>SOUTHERN-HEMISPHERE WINTER; NORTH-ATLANTIC OSCILLATION; ANTARCTIC SEA-ICE; EXTRATROPICAL CYCLONES; DIFFERENT REANALYSES; CLIMATE-CHANGE; OCEAN; PACIFIC; CIRCULATION; ENSO</t>
  </si>
  <si>
    <t>Presented here is a global analysis of frontal activity variability derived from ERA-Interim data over the 34-yr period of January 1979-March 2013 using a state-of-the-art frontal tracking scheme. In December-February over that epoch, there is a northward shift of frontal activity in the Pacific in the Northern Hemisphere (NH). In the Southern Hemisphere (SH), the largest trends are identified in the austral summer and are manifested by a southward shift of frontal activity over the Southern Ocean. Variability of frontal behavior is found to be closely related to the main modes of atmospheric circulation, such as the North Atlantic Oscillation (NAO) for the Atlantic-European sector in the NH and the southern annular mode (SAM) in the middle and high latitudes of the SH. A signal associated with El Nino and hence emanating from the tropics is also apparent in the behavior of frontal systems over the Pacific by a reduction in the number of fronts in the middle South Pacific and intensification of frontal activity in high and low latitudes throughout the year. It is shown in general that the associations of the large-scale modes with frontal variability are much stronger than with cyclones. This indicates that the quantification of the behavior of fronts is an important component of understanding the climate system. At the very high latitudes, it is also shown here that, in the recent years of rapid sea ice reduction in the Arctic, there have been fewer summer fronts observed over the Canadian Arctic.</t>
  </si>
  <si>
    <t>[Rudeva, Irina; Simmonds, Ian] Univ Melbourne, Sch Earth Sci, Melbourne, Vic 3010, Australia; [Rudeva, Irina] Russian Acad Sci, PP Shirshov Inst Oceanol, Moscow, Russia</t>
  </si>
  <si>
    <t>University of Melbourne; Melbourne Bioinformatics; Russian Academy of Sciences; Shirshov Institute of Oceanology</t>
  </si>
  <si>
    <t>Rudeva, I (corresponding author), Univ Melbourne, Sch Earth Sci, Melbourne, Vic 3010, Australia.</t>
  </si>
  <si>
    <t>irina.rudeva@unimelb.edu.au</t>
  </si>
  <si>
    <t>Rudeva, Irina/0000-0001-9851-8198; Simmonds, Ian/0000-0002-4479-3255</t>
  </si>
  <si>
    <t>Australian Research Council</t>
  </si>
  <si>
    <t>Australian Research Council(Australian Research Council)</t>
  </si>
  <si>
    <t>The authors thank Kevin Keay for his help in setting up the frontal identification scheme. We are grateful to two anonymous reviewers, whose insightful comments helped to improve the original manuscript. Parts of this research were made possible by a grant from the Australian Research Council.</t>
  </si>
  <si>
    <t>10.1175/JCLI-D-14-00458.1</t>
  </si>
  <si>
    <t>WOS:000352487300022</t>
  </si>
  <si>
    <t>Bingham, RG; Rippin, DM; Karlsson, NB; Corr, HFJ; Ferraccioli, F; Jordan, TA; Le Brocq, AM; Rose, KC; Ross, N; Siegert, MJ</t>
  </si>
  <si>
    <t>Bingham, Robert G.; Rippin, David M.; Karlsson, Nanna B.; Corr, Hugh F. J.; Ferraccioli, Fausto; Jordan, Tom A.; Le Brocq, Anne M.; Rose, Kathryn C.; Ross, Neil; Siegert, Martin J.</t>
  </si>
  <si>
    <t>Ice-flow structure and ice dynamic changes in the Weddell Sea sector of West Antarctica from radar-imaged internal layering</t>
  </si>
  <si>
    <t>JOURNAL OF GEOPHYSICAL RESEARCH-EARTH SURFACE</t>
  </si>
  <si>
    <t>West Antarctica; ice sheet stability; ice streams; radio echo sounding; Filchner-Ronne Ice Shelf; internal layers</t>
  </si>
  <si>
    <t>PINE ISLAND GLACIER; SHEET DYNAMICS; CARLSON INLET; STREAM B; DOME-C; ACCUMULATION; BED; STABILITY; ROUGHNESS; SURFACE</t>
  </si>
  <si>
    <t>Recent studies have aroused concerns over the potential for ice draining the Weddell Sea sector of West Antarctica to figure more prominently in sea level contributions should buttressing from the Filchner-Ronne Ice Shelf diminish. To improve understanding of how ice stream dynamics there evolved through the Holocene, we interrogate radio echo sounding (RES) data from across the catchments of Institute and Moller Ice Streams (IIS and MIS), focusing especially on the use of internal layering to investigate ice-flow change. As an important component of this work, we investigate the influence that the orientation of the RES acquisition track with respect to ice flow exerts on internal layering and find that this influence is minimal unless a RES flight track parallels ice flow. We also investigate potential changes to internal layering characteristics with depth to search for important temporal transitions in ice-flow regime. Our findings suggest that ice in northern IIS, draining the Ellsworth Subglacial Highlands, has retained its present ice-flow configuration throughout the Holocene. This contrasts with less topographically constrained ice in southern IIS and much of MIS, whose internal layering evinces spatial changes to the configuration of ice flow over the past similar to 10,000years. Our findings confirm Siegert et al.'s (2013) inference that fast flow was diverted from Bungenstock Ice Rise during the Late Holocene and suggest that this may have represented just one component of wider regional changes to ice flow occurring across the IIS and MIS catchments as the West Antarctic Ice Sheet has thinned since the Last Glacial Maximum.</t>
  </si>
  <si>
    <t>[Bingham, Robert G.] Univ Edinburgh, Sch Geosci, Edinburgh, Midlothian, Scotland; [Rippin, David M.] Univ York, Dept Environm, York YO10 5DD, N Yorkshire, England; [Karlsson, Nanna B.] Univ Copenhagen, Niels Bohr Inst, Ctr Ice &amp; Climate, DK-2100 Copenhagen, Denmark; [Corr, Hugh F. J.; Ferraccioli, Fausto; Jordan, Tom A.] British Antarctic Survey, NERC, Cambridge CB3 0ET, England; [Le Brocq, Anne M.] Univ Exeter, Coll Life &amp; Environm Sci, Geog, Exeter, Devon, England; [Rose, Kathryn C.] Univ Bristol, Bristol Glaciol Ctr, Sch Geog Sci, Bristol, Avon, England; [Ross, Neil] Newcastle Univ, Sch Geog Polit &amp; Sociol, Newcastle Upon Tyne NE1 7RU, Tyne &amp; Wear, England; [Siegert, Martin J.] Univ London Imperial Coll Sci Technol &amp; Med, Grantham Inst, London, England; [Siegert, Martin J.] Univ London Imperial Coll Sci Technol &amp; Med, Dept Earth Sci &amp; Engn, London, England</t>
  </si>
  <si>
    <t>University of Edinburgh; University of York - UK; University of Copenhagen; Niels Bohr Institute; UK Research &amp; Innovation (UKRI); Natural Environment Research Council (NERC); NERC British Antarctic Survey; University of Exeter; University of Bristol; Newcastle University - UK; Imperial College London; Imperial College London</t>
  </si>
  <si>
    <t>Bingham, RG (corresponding author), Univ Edinburgh, Sch Geosci, Edinburgh, Midlothian, Scotland.</t>
  </si>
  <si>
    <t>r.bingham@ed.ac.uk</t>
  </si>
  <si>
    <t>Corr, Hugh/C-5398-2011; Rippin, David Manish/AAW-5063-2021; Siegert, Martin/M-9939-2019; Siegert, Martin J/A-3826-2008; Karlsson, Nanna Bjørnholt/G-4621-2018; Bingham, Robert G/G-3576-2017; Karlsson, Nanna B./M-4519-2014</t>
  </si>
  <si>
    <t>Rippin, David Manish/0000-0001-7757-9880; Siegert, Martin/0000-0002-0090-4806; Siegert, Martin J/0000-0002-0090-4806; Bingham, Robert G/0000-0002-0630-2021; Ferraccioli, Fausto/0000-0002-9347-4736; Karlsson, Nanna B./0000-0003-0423-8705</t>
  </si>
  <si>
    <t>NERC Antarctic Funding Initiative [NE/G013071/1]; Natural Environment Research Council [NE/G013071/2, NE/G013098/2, NE/G013071/1, NE/G013098/1, bas0100034, NE/G014248/1, bas0100029] Funding Source: researchfish; NERC [NE/G013098/2, NE/G013098/1, NE/G013071/2, bas0100034, bas0100029, NE/G013071/1, NE/G014248/1] Funding Source: UKRI</t>
  </si>
  <si>
    <t>NERC Antarctic Funding Initiative(UK Research &amp; Innovation (UKRI)Natural Environment Research Council (NERC)); Natural Environment Research Council(UK Research &amp; Innovation (UKRI)Natural Environment Research Council (NERC)); NERC(UK Research &amp; Innovation (UKRI)Natural Environment Research Council (NERC))</t>
  </si>
  <si>
    <t>Data used for this article are available at the NERC Airborne Geophysics Data Portal https://secure.antarctica.ac.uk/data/aerogeo/. Funding was provided by NERC Antarctic Funding Initiative (reference NE/G013071/1). We thank the operational and logistical staff of British Antarctic Survey for field support, Carl Robinson (airborne survey engineer), Doug Cochrane and Ian Potten (pilots), and Mark Oostlander (air mechanic) for their invaluable survey support. Finally, we thank the Scientific Editor E. C. Pettit, R. W. Jacobel, R. Drews and an anonymous reviewer for constructive comments which improved the manuscript.</t>
  </si>
  <si>
    <t>2169-9003</t>
  </si>
  <si>
    <t>2169-9011</t>
  </si>
  <si>
    <t>J GEOPHYS RES-EARTH</t>
  </si>
  <si>
    <t>J. Geophys. Res.-Earth Surf.</t>
  </si>
  <si>
    <t>10.1002/2014JF003291</t>
  </si>
  <si>
    <t>CH9VT</t>
  </si>
  <si>
    <t>WOS:000354385200001</t>
  </si>
  <si>
    <t>Miyoshi, Y; Oyama, S; Saito, S; Kurita, S; Fujiwara, H; Kataoka, R; Ebihara, Y; Kletzing, C; Reeves, G; Santolik, O; Clilverd, M; Rodger, CJ; Turunen, E; Tsuchiya, F</t>
  </si>
  <si>
    <t>Miyoshi, Y.; Oyama, S.; Saito, S.; Kurita, S.; Fujiwara, H.; Kataoka, R.; Ebihara, Y.; Kletzing, C.; Reeves, G.; Santolik, O.; Clilverd, M.; Rodger, C. J.; Turunen, E.; Tsuchiya, F.</t>
  </si>
  <si>
    <t>Energetic electron precipitation associated with pulsating aurora: EISCAT and Van Allen Probe observations</t>
  </si>
  <si>
    <t>pulsating aurora; EISCAT; Van Allen Probes; pitch angle scattering</t>
  </si>
  <si>
    <t>DENSITY PROFILES; PARTICLE; SPECTRA; REGION; CHORUS; STORM</t>
  </si>
  <si>
    <t>Pulsating auroras show quasi-periodic intensity modulations caused by the precipitation of energetic electrons of the order of tens of keV. It is expected theoretically that not only these electrons but also subrelativistic/relativistic electrons precipitate simultaneously into the ionosphere owing to whistler mode wave-particle interactions. The height-resolved electron density profile was observed with the European Incoherent Scatter (EISCAT) TromsO VHF radar on 17 November 2012. Electron density enhancements were clearly identified at altitudes &gt;68km in association with the pulsating aurora, suggesting precipitation of electrons with a broadband energy range from similar to 10keV up to at least 200keV. The riometer and network of subionospheric radio wave observations also showed the energetic electron precipitations during this period. During this period, the footprint of the Van Allen Probe-A satellite was very close to TromsO and the satellite observed rising tone emissions of the lower band chorus (LBC) waves near the equatorial plane. Considering the observed LBC waves and electrons, we conducted a computer simulation of the wave-particle interactions. This showed simultaneous precipitation of electrons at both tens of keV and a few hundred keV, which is consistent with the energy spectrum estimated by the inversion method using the EISCAT observations. This result revealed that electrons with a wide energy range simultaneously precipitate into the ionosphere in association with the pulsating aurora, providing the evidence that pulsating auroras are caused by whistler chorus waves. We suggest that scattering by propagating whistler simultaneously causes both the precipitations of subrelativistic electrons and the pulsating aurora.</t>
  </si>
  <si>
    <t>[Miyoshi, Y.; Oyama, S.; Kurita, S.] Nagoya Univ, Solar Terr Environm Lab, Nagoya, Aichi, Japan; [Saito, S.] Nagoya Univ, Grad Sch Sci, Nagoya, Aichi 4648601, Japan; [Fujiwara, H.] Seikei Univ, Fac Sci &amp; Technol, Musashino, Tokyo, Japan; [Kataoka, R.] Natl Inst Polar Res, Tachikawa, Tokyo, Japan; [Ebihara, Y.] Kyoto Univ, Res Inst Sustainable Humanosphere, Uji, Japan; [Kletzing, C.] Univ Iowa, Iowa City, IA USA; [Reeves, G.] Los Alamos Natl Lab, Los Alamos, NM USA; [Santolik, O.] Inst Atmospher Phys CAS, Dept Space Phys, Prague, Czech Republic; [Santolik, O.] Charles Univ Prague, Fac Math &amp; Phys, Prague, Czech Republic; [Clilverd, M.] British Antarctic Survey, Cambridge CB3 0ET, England; [Rodger, C. J.] Univ Otago, Dept Phys, Dunedin, New Zealand; [Turunen, E.] Univ Oulu, Sodankyla Geophys Observ, Oulu, Finland; [Tsuchiya, F.] Tohoku Univ, Planetary Plasma &amp; Atmospher Res Ctr, Sendai, Miyagi 980, Japan</t>
  </si>
  <si>
    <t>Nagoya University; Nagoya University; Seikei University; Research Organization of Information &amp; Systems (ROIS); National Institute of Polar Research (NIPR) - Japan; Kyoto University; University of Iowa; United States Department of Energy (DOE); Los Alamos National Laboratory; Czech Academy of Sciences; Institute of Atmospheric Physics of the Czech Academy of Sciences; Charles University Prague; UK Research &amp; Innovation (UKRI); Natural Environment Research Council (NERC); NERC British Antarctic Survey; University of Otago; University of Oulu; Tohoku University</t>
  </si>
  <si>
    <t>Miyoshi, Y (corresponding author), Nagoya Univ, Solar Terr Environm Lab, Nagoya, Aichi 4648601, Japan.</t>
  </si>
  <si>
    <t>miyoshi@stelab.nagoya-u.ac.jp</t>
  </si>
  <si>
    <t>Reeves, Geoffrey/E-8101-2011; KATAOKA, RYUHO/AAJ-4570-2020; Miyoshi, Yoshizumi/T-5748-2019; Rodger, Craig/A-1501-2011; Ebihara, Yusuke/D-1638-2013; Tsuchiya, Fuminori/T-1957-2019; Ebihara, Yusuke/ABD-4430-2021; Santolik, Ondrej/F-7766-2014</t>
  </si>
  <si>
    <t>Reeves, Geoffrey/0000-0002-7985-8098; Miyoshi, Yoshizumi/0000-0001-7998-1240; Ebihara, Yusuke/0000-0002-2293-1557; Tsuchiya, Fuminori/0000-0003-3386-6794; Ebihara, Yusuke/0000-0002-2293-1557; Turunen, Esa/0000-0001-8232-8744; Kletzing, Craig/0000-0002-4136-3348; Saito, Shinji/0000-0002-6116-9964; Rodger, Craig J./0000-0002-6770-2707; Santolik, Ondrej/0000-0002-4891-9273</t>
  </si>
  <si>
    <t>China (CRIRP); Finland (SA); Federal Republic of Germany (DFG), Japan (STEL); Federal Republic of Germany (DFG), Japan (NIPR); Norway (NFR); Sweden (VR); United Kingdom (PPARC); Japan Society for the Promotion of Science (JSPS) [23340146, 23224011, 24540478, 25302006, 08811147]; JSPS Program for Advancing Strategic International Networks [G2602]; International Space Science Institute's (ISSI) International Team program; NERC [bas0100023, bas0100031] Funding Source: UKRI; Natural Environment Research Council [bas0100031, bas0100023] Funding Source: researchfish; Grants-in-Aid for Scientific Research [25302005, 25302006, 24540478, 14J09407, 15H05816, 15K05301, 23340146] Funding Source: KAKEN</t>
  </si>
  <si>
    <t>China (CRIRP); Finland (SA); Federal Republic of Germany (DFG), Japan (STEL)(Fondazione Telethon); Federal Republic of Germany (DFG), Japan (NIPR)(German Research Foundation (DFG)); Norway (NFR)(Research Council of Norway); Sweden (VR)(Swedish Research Council); United Kingdom (PPARC); Japan Society for the Promotion of Science (JSPS)(Ministry of Education, Culture, Sports, Science and Technology, Japan (MEXT)Japan Society for the Promotion of Science); JSPS Program for Advancing Strategic International Networks; International Space Science Institute's (ISSI) International Team program; NERC(UK Research &amp; Innovation (UKRI)Natural Environment Research Council (NERC)); Natural Environment Research Council(UK Research &amp; Innovation (UKRI)Natural Environment Research Council (NERC)); Grants-in-Aid for Scientific Research(Ministry of Education, Culture, Sports, Science and Technology, Japan (MEXT)Japan Society for the Promotion of ScienceGrants-in-Aid for Scientific Research (KAKENHI))</t>
  </si>
  <si>
    <t>Data of EISCAT radar used in this study were opened to the public via the EISCAT website (http://www.eiscat.se/raw/schedule/schedule.cgi). The quick look of all-sky imager and the photometer data at Tromso can be provided from the Solar-Terrestrial Environment Laboratory, Nagoya University, Japan (http://www.stelab.nagoya-u.ac.jp/similar to eiscat/prephoto_data.html). The Van Allen Probes data used in this study have been opened to the public from the University of Iowa, USA (https://emfisis.physics.uiowa.edu/), and the Los Alamos National Laboratory, USA (http://www.rbsp-ect.lanl.gov/). We are indebted to the director and staff of EISCAT for operating the facility and supplying the data. EISCAT is an International Association supported by China (CRIRP), Finland (SA), the Federal Republic of Germany (DFG), Japan (STEL and NIPR), Norway (NFR), Sweden (VR), and the United Kingdom (PPARC). We thank the institutes who maintain the IMAGE Magnetometer Array. A part of this work was carried out by the joint research program of the Solar-Terrestrial Environment Laboratory, Nagoya University. This study is supported by Grants-in-Aid for Scientific Research (23340146, 23224011, 24540478, 25302006, and 08811147) of Japan Society for the Promotion of Science (JSPS). This work is also supported by JSPS Program for Advancing Strategic International Networks to Accelerate the Circulation of Talented Researchers under grant G2602 and research supported by the International Space Science Institute's (ISSI) International Team program.</t>
  </si>
  <si>
    <t>10.1002/2014JA020690</t>
  </si>
  <si>
    <t>WOS:000354894800028</t>
  </si>
  <si>
    <t>Beharrell, MJ; Honary, F; Rodger, CJ; Clilverd, MA</t>
  </si>
  <si>
    <t>Beharrell, M. J.; Honary, F.; Rodger, C. J.; Clilverd, M. A.</t>
  </si>
  <si>
    <t>Substorm-induced energetic electron precipitation: Morphology and prediction</t>
  </si>
  <si>
    <t>substorms; space weather; prediction; SuperMAG; riometer; subionospheric VLF</t>
  </si>
  <si>
    <t>RELATIVISTIC ELECTRONS; SYNCHRONOUS ORBIT; EMPIRICAL-MODEL; ACCELERATION; INJECTIONS; DYNAMICS; FIELD; POPULATIONS; MAGNETOTAIL; SIMULATION</t>
  </si>
  <si>
    <t>The injection, and subsequent precipitation, of 20 to 300keV electrons during substorms is modeled using parameters of a typical substorm found in the literature. When combined with onset timing from, for example, the SuperMAG substorm database, or the Minimal Substorm Model, it may be used to calculate substorm contributions to energetic electron precipitation in atmospheric chemistry and climate models. Here the results are compared to ground-based data from the Imaging Riometer for Ionospheric Studies riometer in Kilpisjarvi, Finland, and the narrowband subionospheric VLF receiver at Sodankyla, Finland. Qualitatively, the model reproduces the observations well when only onset timing from the SuperMAG network of magnetometers is used as an input and is capable of reproducing all four categories of substorm associated riometer spike events. The results suggest that the different types of spike event are the same phenomena observed at different locations, with each type emerging from the model results at a different local time, relative to the centerof the injection region. The model's ability to reproduce the morphology of spike events more accurately than previous models is attributed to the injection of energetic electrons being concentrated specifically in the regions undergoing dipolarization, instead of uniformly across a single-injection region.</t>
  </si>
  <si>
    <t>[Beharrell, M. J.; Honary, F.] Univ Lancaster, Dept Phys, Lancaster, England; [Rodger, C. J.] Univ Otago, Dept Phys, Dunedin, New Zealand; [Clilverd, M. A.] British Antarctic Survey, Cambridge CB3 0ET, England</t>
  </si>
  <si>
    <t>Lancaster University; University of Otago; UK Research &amp; Innovation (UKRI); Natural Environment Research Council (NERC); NERC British Antarctic Survey</t>
  </si>
  <si>
    <t>Beharrell, MJ (corresponding author), Univ Lancaster, Dept Phys, Lancaster, England.</t>
  </si>
  <si>
    <t>m.beharrell@lancaster.ac.uk</t>
  </si>
  <si>
    <t>Rodger, Craig J./0000-0002-6770-2707; Honary, Farideh/0000-0002-7998-5628</t>
  </si>
  <si>
    <t>Natural Environmental Research Council [NE/J008125/1]; Natural Environment Research Council [NE/J007773/1, NE/J008125/1, bas0100031] Funding Source: researchfish; NERC [NE/J008125/1, NE/J007773/1, bas0100031] Funding Source: UKRI</t>
  </si>
  <si>
    <t>Natural Environmental Research Council(UK Research &amp; Innovation (UKRI)Natural Environment Research Council (NERC)); Natural Environment Research Council(UK Research &amp; Innovation (UKRI)Natural Environment Research Council (NERC)); NERC(UK Research &amp; Innovation (UKRI)Natural Environment Research Council (NERC))</t>
  </si>
  <si>
    <t>We thank Annika Seppala for running the Sodankyla Ion Chemistry model to provide us with ionospheric effective recombination rates. Data from the IRIS riometer (PI Farideh Honary) is available from Lancaster University (http://spears.lancs.ac.uk/data/). Subionospheric VLF data from the AARDDVARK Network can be obtained by contacting Mark A. Clilverd or Craig J. Rodger. The NRLMSISE-00 neutral atmosphere model code can be obtained from the Community Coordinated Modeling Center (http://ccmc.gsfc.nasa.gov/modelweb/atmos/nrlmsise00.html). Substorm onset timing data, based on ground-based magnetometer data and provided by SuperMAG, are available from the John Hopkins Applied Physics Laboratory (http://supermag.jhuapl.edu/substorms/). For the SuperMAG data we gratefully acknowledge the following: Intermagnet; USGS, Jeffrey J. Love; Danish Meteorological Institute; CARISMA, Ian Mann; CANMOS; The S-RAMP Database, K. Yumoto and K. Shiokawa; The SPIDR database; AARI, Oleg Troshichev; The MACCS program, M. Engebretson, Geomagnetism Unit of the Geological Survey of Canada; GIMA; MEASURE, UCLA IGPP and Florida Institute of Technology; SAMBA, Eftyhia Zesta; 210 Chain, K. Yumoto; SAMNET, Farideh Honary; The institutes who maintain the IMAGE magnetometer array, Eija Tanskanen; PENGUIN; AUTUMN, Martin Conners; Greenland magnetometers operated by DTU Space; South Pole and McMurdo Magnetometer, Louis J. Lanzarotti and Alan T. Weatherwax; ICESTAR; RAPIDMAG; PENGUIn; British Artarctic Survey; McMac, Peter Chi; BGS, Susan Macmillan; Pushkov Institute of Terrestrial Magnetism, Ionosphere and Radio Wave Propagation (IZMIRAN); and SuperMAG, Jesper W. Gjerloev. This work was supported by the Natural Environmental Research Council grant NE/J008125/1.</t>
  </si>
  <si>
    <t>10.1002/2014JA020632</t>
  </si>
  <si>
    <t>WOS:000354894800045</t>
  </si>
  <si>
    <t>Figueroa, L; Jiménez, C; Rodríguez, J; Areche, C; Chávez, R; Henríquez, M; de la Cruz, M; Díaz, C; Segade, Y; Vaca, I</t>
  </si>
  <si>
    <t>Figueroa, Luis; Jimenez, Carlos; Rodriguez, Jaime; Areche, Carlos; Chavez, Renato; Henriquez, Marlene; de la Cruz, Mercedes; Diaz, Caridad; Segade, Yuri; Vaca, Inmaculada</t>
  </si>
  <si>
    <t>3-Nitroasterric Acid Derivatives from an Antarctic Sponge-Derived Pseudogymnoascus sp Fungus</t>
  </si>
  <si>
    <t>JOURNAL OF NATURAL PRODUCTS</t>
  </si>
  <si>
    <t>ASTERRIC ACID; NATURAL-PRODUCTS; GEOMYCES; METABOLITES; ASCOMYCETE</t>
  </si>
  <si>
    <t>Four new nitroasterric acid derivatives, pseudogymnoascins A-C (1-3) and 3-nitroasterric acid (4), along with the two known compounds, questin and pyriculamide, were obtained from the cultures of a Pseudogymnoascus sp. fungus isolated from an Antarctic marine sponge belonging to the genus Hymeniacidon. The structures of the new compounds were determined by extensive NMR and MS analyses. These compounds are the first nitro derivatives of the known fungal metabolite asterric acid. Several asterric acid derivatives isolated from other fungal strains have shown antibacterial and antifungal activities. However, the new compounds described in this work were inactive against a panel of bacteria and fungi (MIC &gt; 64 mu g/mL).</t>
  </si>
  <si>
    <t>[Figueroa, Luis; Areche, Carlos; Henriquez, Marlene; Vaca, Inmaculada] Univ Chile, Fac Ciencias, Dept Quim, Santiago, Chile; [Jimenez, Carlos; Rodriguez, Jaime; Segade, Yuri] Univ A Coruna, Fac Ciencias, Dept Quim Fundamental, CICA, La Coruna 15071, Spain; [Chavez, Renato] Univ Santiago Chile USACH, Estn Cent, Fac Quim &amp; Biol, Dept Biol, Santiago, Chile; [de la Cruz, Mercedes; Diaz, Caridad] Fdn MEDINA, Ctr Excelencia Invest Medicamentos Innovadores An, Granada 18016, Spain</t>
  </si>
  <si>
    <t>Universidad de Chile; Universidade da Coruna; Centro interdisciplinar de Quimica e Bioloxia CICA; Universidad de Santiago de Chile</t>
  </si>
  <si>
    <t>Vaca, I (corresponding author), Univ Chile, Fac Ciencias, Dept Quim, Las Palmeras 3425, Santiago, Chile.</t>
  </si>
  <si>
    <t>inmavaca@uchile.cl</t>
  </si>
  <si>
    <t>Areche, Carlos/I-2461-2013; Rodriguez, Jaime/G-8984-2015; Rodriguez, Jaime/AAY-9780-2021; Navarro, Caridad Díaz/I-4123-2015; Jimenez, Carlos/G-9622-2015; DE LA CRUZ MORENO, MERCEDES/M-1533-2014; Vaca, Inmaculada/I-2758-2013</t>
  </si>
  <si>
    <t>Areche, Carlos/0000-0001-5246-1368; Rodriguez, Jaime/0000-0001-5348-6970; Rodriguez, Jaime/0000-0001-5348-6970; Jimenez, Carlos/0000-0003-2628-303X; Chavez, Renato/0000-0003-1754-3610; Diaz Navarro, Caridad/0000-0003-1240-0143; DE LA CRUZ MORENO, MERCEDES/0000-0002-2389-8576; Vaca, Inmaculada/0000-0002-8952-9036</t>
  </si>
  <si>
    <t>Fondecyt of Chile [11090192]; Ministerio de Economia y Competitividad of Spain [AGL2012-39274-C02]; program Becas Iberoamerica, Jovenes Profesores e Investigadores, Banco Santander-Universidad de Chile; DICYT-USACH; Xunta de Galicia</t>
  </si>
  <si>
    <t>Fondecyt of Chile(Comision Nacional de Investigacion Cientifica y Tecnologica (CONICYT)CONICYT FONDECYT); Ministerio de Economia y Competitividad of Spain(Spanish Government); program Becas Iberoamerica, Jovenes Profesores e Investigadores, Banco Santander-Universidad de Chile; DICYT-USACH; Xunta de Galicia(Xunta de Galicia)</t>
  </si>
  <si>
    <t>This work was supported by grant Fondecyt 11090192 of Chile and AGL2012-39274-C02 from the Ministerio de Economia y Competitividad of Spain. I.V. received a fellowship from the program Becas Iberoamerica, Jovenes Profesores e Investigadores, Banco Santander-Universidad de Chile 2011. R.C. thanks the support of DICYT-USACH. J.R. acknowledges the Xunta de Galicia for a fellowship and the CESGA-ITS program for computational facilities. The authors wish to thank A. Beiza and M. I. Polanco for their excellent technical assistance.</t>
  </si>
  <si>
    <t>0163-3864</t>
  </si>
  <si>
    <t>1520-6025</t>
  </si>
  <si>
    <t>J NAT PROD</t>
  </si>
  <si>
    <t>J. Nat. Prod.</t>
  </si>
  <si>
    <t>10.1021/np500906k</t>
  </si>
  <si>
    <t>Plant Sciences; Chemistry, Medicinal; Pharmacology &amp; Pharmacy</t>
  </si>
  <si>
    <t>Science Citation Index Expanded (SCI-EXPANDED); Index Chemicus (IC)</t>
  </si>
  <si>
    <t>Plant Sciences; Pharmacology &amp; Pharmacy</t>
  </si>
  <si>
    <t>CG9UH</t>
  </si>
  <si>
    <t>WOS:000353665100042</t>
  </si>
  <si>
    <t>Pritchard, DW; Hurd, CL; Beardall, J; Hepburn, CD</t>
  </si>
  <si>
    <t>Pritchard, Daniel W.; Hurd, Catriona L.; Beardall, John; Hepburn, Christopher D.</t>
  </si>
  <si>
    <t>RESTRICTED USE OF NITRATE AND A STRONG PREFERENCE FOR AMMONIUM REFLECTS THE NITROGEN ECOPHYSIOLOGY OF A LIGHT-LIMITED RED ALGA</t>
  </si>
  <si>
    <t>JOURNAL OF PHYCOLOGY</t>
  </si>
  <si>
    <t>ammonium; Anotrichium crinitum; growth rates; irradiance; low light; New Zealand; nitrate; nitrogen ecophysiology; rhodophyta</t>
  </si>
  <si>
    <t>NUTRIENT-UPTAKE; INTERTIDAL SEAWEEDS; GROWTH-RATE; MACROCYSTIS-PYRIFERA; MARINE MACROALGAE; BROWN-ALGAE; NEW-ZEALAND; WATER; RHODOPHYTA; POOLS</t>
  </si>
  <si>
    <t>Ammonium and nitrate are important sources of inorganic nitrogen for coastal primary producers. Nitrate has higher energy requirement for uptake and assimilation, compared with ammonium, suggesting that it might be a more efficient nitrogen source for slow-growing, light-limited macroalgae. To address this hypothesis, we examined the nitrogen ecophysiology of Anotrichium crinitum, a rhodophyte macroalgae common in low-light habitats in New Zealand. We measured seasonal changes in seawater nitrate and ammonium concentrations and the concentration of nitrate and ammonium stored internally by A. crinitum. We determined the maximal uptake rates of nitrate and ammonium seasonally and grew A. crinitum in the laboratory with these nitrogen sources under two ecologically relevant saturating light levels. Our results show that field-harvested A. crinitum has a high affinity for ammonium and although it will grow when supplied exclusively with nitrate, internal nitrate pools are low and it is unable to take up nitrate without several days of acclimation to saturating light. Our data predict that A. crinitum would be able to sustain growth with ammonium as the sole source of nitrogen, a strategy that would help it survive under low-light conditions that prevail in the field.</t>
  </si>
  <si>
    <t>[Pritchard, Daniel W.; Hepburn, Christopher D.] Univ Otago, Dept Marine Sci, Dunedin 9054, New Zealand; [Pritchard, Daniel W.; Hurd, Catriona L.] Univ Otago, Dept Bot, Dunedin 9054, New Zealand; [Hurd, Catriona L.] Univ Tasmania, Inst Marine &amp; Antarctic Studies, Hobart, Tas 7001, Australia; [Beardall, John] Monash Univ, Sch Biol Sci, Clayton, Vic 3800, Australia</t>
  </si>
  <si>
    <t>University of Otago; University of Otago; University of Tasmania; Monash University</t>
  </si>
  <si>
    <t>Hepburn, CD (corresponding author), Univ Otago, Dept Marine Sci, POB 56, Dunedin 9054, New Zealand.</t>
  </si>
  <si>
    <t>chris.hepburn@otago.ac.nz</t>
  </si>
  <si>
    <t>Beardall, John/L-5262-2019; Hurd, Catriona/J-2411-2013</t>
  </si>
  <si>
    <t>Beardall, John/0000-0001-7684-446X; Hurd, Catriona/0000-0001-9965-4917; Pritchard, Daniel/0000-0001-8335-5971</t>
  </si>
  <si>
    <t>University of Otago; Foundation for Research, Science and Technology (FRST) from the National Institute of Water and Atmospheric Research Ltd. (NIWA), Biodiversity and Biosecurity OBI [C01X0502]</t>
  </si>
  <si>
    <t>University of Otago; Foundation for Research, Science and Technology (FRST) from the National Institute of Water and Atmospheric Research Ltd. (NIWA), Biodiversity and Biosecurity OBI</t>
  </si>
  <si>
    <t>We thank Stewart Bell, Derek Richards, Chris Cornwall, and Robert Win for help in the field. We gratefully acknowledge three anonymous reviewers, whose comments greatly improved this manuscript. DWP was supported by a University of Otago PhD scholarship. The research was funded by a University of Otago Research Grant to CLH and CDH and a Foundation for Research, Science and Technology (FRST) subcontract to CLH from the National Institute of Water and Atmospheric Research Ltd. (NIWA), Biodiversity and Biosecurity OBI (C01X0502). This research was conducted in the East Otago Taiapure, and we acknowledge the Taiapure committee's continued support of research in this area.</t>
  </si>
  <si>
    <t>0022-3646</t>
  </si>
  <si>
    <t>1529-8817</t>
  </si>
  <si>
    <t>J PHYCOL</t>
  </si>
  <si>
    <t>J. Phycol.</t>
  </si>
  <si>
    <t>10.1111/jpy.12272</t>
  </si>
  <si>
    <t>Plant Sciences; Marine &amp; Freshwater Biology</t>
  </si>
  <si>
    <t>CF5SO</t>
  </si>
  <si>
    <t>WOS:000352617500008</t>
  </si>
  <si>
    <t>Meyer, A; Sloyan, BM; Polzin, KL; Phillips, HE; Bindoff, NL</t>
  </si>
  <si>
    <t>Meyer, Amelie; Sloyan, Bernadette M.; Polzin, Kurt L.; Phillips, Helen E.; Bindoff, Nathaniel L.</t>
  </si>
  <si>
    <t>Mixing Variability in the Southern Ocean</t>
  </si>
  <si>
    <t>ANTARCTIC CIRCUMPOLAR CURRENT; INTERNAL WAVE-FIELD; OVERTURNING CIRCULATION; FINESCALE PARAMETERIZATIONS; TURBULENT DISSIPATION; SPATIAL VARIABILITY; ROUGH TOPOGRAPHY; ENERGY FLUX; WIND; BREAKING</t>
  </si>
  <si>
    <t>A key remaining challenge in oceanography is the understanding and parameterization of small-scale mixing. Evidence suggests that topographic features play a significant role in enhancing mixing in the Southern Ocean. This study uses 914 high-resolution hydrographic profiles from novel EM-APEX profiling floats to investigate turbulent mixing north of the Kerguelen Plateau, a major topographic feature in the Southern Ocean. A shear-strain finescale parameterization is applied to estimate diapycnal diffusivity in the upper 1600 m of the ocean. The indirect estimates of mixing match direct microstructure profiler observations made simultaneously. It is found that mixing intensities have strong spatial and temporal variability, ranging from O(10(-6)) to O(10(-3)) m(2) s(-1). This study identifies topographic roughness, current speed, and wind speed as the main factors controlling mixing intensity. Additionally, the authors find strong regional variability in mixing dynamics and enhanced mixing in the Antarctic Circumpolar Current frontal region. This enhanced mixing is attributed to dissipating internal waves generated by the interaction of the Antarctic Circumpolar Current and the topography of the Kerguelen Plateau. Extending the mixing observations from the Kerguelen region to the entire Southern Ocean, this study infers a large water mass transformation rate of 17 Sverdrups (Sv; 1 Sv equivalent to 10(6) m(3) s(-1)) across the boundary of Antarctic Intermediate Water and Upper Circumpolar Deep Water in the Antarctic Circumpolar Current. This work suggests that the contribution of mixing to the Southern Ocean overturning circulation budget is particularly significant in fronts.</t>
  </si>
  <si>
    <t>[Meyer, Amelie] Univ Tasmania, CSIRO Ocean &amp; Atmosphere Flagship, Hobart, Tas, Australia; [Meyer, Amelie] Univ Tasmania, Inst Marine &amp; Antarctic Studies, Hobart, Tas, Australia; [Sloyan, Bernadette M.; Bindoff, Nathaniel L.] CSIRO Ocean &amp; Atmosphere Flagship, Hobart, Tas, Australia; [Polzin, Kurt L.] Woods Hole Oceanog Inst, Woods Hole, MA 02543 USA; [Phillips, Helen E.; Bindoff, Nathaniel L.] Univ Tasmania, Inst Marine &amp; Antarct Studies, Hobart, Tas, Australia; [Phillips, Helen E.; Bindoff, Nathaniel L.] ARC Ctr Excellence Climate Syst Sci, Hobart, Tas, Australia; [Bindoff, Nathaniel L.] CRC, Antarctic Climate &amp; Ecosyst, Hobart, Tas, Australia</t>
  </si>
  <si>
    <t>University of Tasmania; Commonwealth Scientific &amp; Industrial Research Organisation (CSIRO); University of Tasmania; Commonwealth Scientific &amp; Industrial Research Organisation (CSIRO); Woods Hole Oceanographic Institution; University of Tasmania; ARC Centre of Excellence for Climate System Science</t>
  </si>
  <si>
    <t>Meyer, A (corresponding author), Norwegian Polar Res Inst, N-9296 Tromso, Norway.</t>
  </si>
  <si>
    <t>amelie.meyer@npolar.no</t>
  </si>
  <si>
    <t>Bindoff, Nathaniel Lee/IVV-0333-2023; Bindoff, Nathaniel Lee/C-8050-2011; Sloyan, Bernadette/N-8989-2014; Phillips, Helen/I-3761-2013</t>
  </si>
  <si>
    <t>Bindoff, Nathaniel Lee/0000-0001-5662-9519; Bindoff, Nathaniel Lee/0000-0001-5662-9519; Sloyan, Bernadette/0000-0003-0250-0167; Phillips, Helen/0000-0002-2941-7577; Meyer, Amelie/0000-0003-0447-795X</t>
  </si>
  <si>
    <t>CSIRO-University of Tasmania Quantitative Marine Science (QMS) program; CSIRO Wealth from Ocean Flagship Collaborative Fund; Australian Climate Change Science Program - Department of the Environment; Australian Climate Change Science Program - CSIRO; Woods Hole Oceanographic Institution; Australian Research Council [DP0877098]; Australian Government DEWHA Projects [3002, 3228]; Australian Research Council [DP0877098] Funding Source: Australian Research Council</t>
  </si>
  <si>
    <t>CSIRO-University of Tasmania Quantitative Marine Science (QMS) program; CSIRO Wealth from Ocean Flagship Collaborative Fund; Australian Climate Change Science Program - Department of the Environment; Australian Climate Change Science Program - CSIRO; Woods Hole Oceanographic Institution; Australian Research Council(Australian Research Council); Australian Government DEWHA Projects(Australian Government); Australian Research Council(Australian Research Council)</t>
  </si>
  <si>
    <t>We thank the scientists and crew from the RRS James Cook JC029. We acknowledge the valuable contributions of the SOFine team, S. Waterman and A. Naveira Garabato in particular for providing advice and data on numerous occasions. We thank B. Pena-Molino and M. Nikurashin for valuable discussions. We also thank two anonymous reviewers whose comments improved this paper. AM was supported by the joint CSIRO-University of Tasmania Quantitative Marine Science (QMS) program and the 2009 CSIRO Wealth from Ocean Flagship Collaborative Fund. BMS was supported by the Australian Climate Change Science Program, jointly funded by the Department of the Environment and CSIRO. KLPs salary support was provided by Woods Hole Oceanographic Institution bridge support funds. We thank J. Dunlap, S. Rintoul, S. Wijffels, and B. Owens for their support for the EM-APEX component of the SOFine project. Funding for the EM-APEX experiment was provided by the Australian Research Council Discovery Project (DP0877098) and Australian Government DEWHA Projects 3002 and 3228.</t>
  </si>
  <si>
    <t>10.1175/JPO-D-14-0110.1</t>
  </si>
  <si>
    <t>CF4SV</t>
  </si>
  <si>
    <t>Bronze, Green Submitted, Green Accepted, Green Published</t>
  </si>
  <si>
    <t>WOS:000352542800003</t>
  </si>
  <si>
    <t>Langlais, CE; Rintoul, SR; Zika, JD</t>
  </si>
  <si>
    <t>Langlais, Clothilde E.; Rintoul, Stephen R.; Zika, Jan D.</t>
  </si>
  <si>
    <t>Sensitivity of Antarctic Circumpolar Current Transport and Eddy Activity to Wind Patterns in the Southern Ocean</t>
  </si>
  <si>
    <t>MOMENTUM BALANCE; HEMISPHERE WINDS; TRANSIENT EDDIES; ANNULAR MODE; CIRCULATION; VARIABILITY; ATMOSPHERE; RESOLUTION; COAST; FLUX</t>
  </si>
  <si>
    <t>The Southern Hemisphere westerly winds have intensified in recent decades associated with a positive trend in the southern annular mode (SAM). However, the response of the Antarctic Circumpolar Current (ACC) transport and eddy field to wind forcing remains a topic of debate. This study uses global eddy-permitting ocean circulation models driven with both idealized and realistic wind forcing to explore the response to interannual wind strengthening. The response of the barotropic and baroclinic transports and eddy field of the ACC is found to depend on the spatial pattern of the changes in wind forcing. In isolation, an enhancement of the westerlies over the ACC belt leads to an increase of both barotropic and baroclinic transport within the ACC envelope, with lagged enhancement of the eddy kinetic energy (EKE). In contrast, an increase in wind forcing near Antarctica drives a largely barotropic change in transport along closed f/H contours (free mode''), with little change in eddy activity. Under realistic forcing, the interplay of the SAM and the El Nino-Southern Oscillation (ENSO) influences the spatial distribution of the wind anomalies, in particular the partition between changes in the wind stress over the ACC and along f/H contours. This study finds that the occurrence of a negative or positive ENSO during a positive SAM can cancel or double the wind anomalies near Antarctica, altering the response of the ACC and its eddy field. While a negative ENSO and positive SAM favors an increase in EKE, a positive ENSO and positive SAM lead to barotropic transport changes and no eddy response.</t>
  </si>
  <si>
    <t>[Langlais, Clothilde E.; Rintoul, Stephen R.] CSIRO, Ctr Australian Weather &amp; Climate Res, Oceans &amp; Atmosphere Flagship, Hobart, Tas 7000, Australia; [Rintoul, Stephen R.] Univ Tasmania, Antarctic Climate &amp; Ecosyst Cooperat Res Ctr, Hobart, Tas, Australia; [Zika, Jan D.] Univ Southampton, Natl Oceanog Ctr, Southampton, Hants, England</t>
  </si>
  <si>
    <t>Commonwealth Scientific &amp; Industrial Research Organisation (CSIRO); University of Tasmania; Antarctic Climate &amp; Ecosystems Cooperative Research Centre (ACE CRC); NERC National Oceanography Centre; University of Southampton</t>
  </si>
  <si>
    <t>Langlais, CE (corresponding author), CSIRO, Ctr Australian Weather &amp; Climate Res, Oceans &amp; Atmosphere Flagship, Hobart, Tas 7000, Australia.</t>
  </si>
  <si>
    <t>clothilde.langlais@gmail.com</t>
  </si>
  <si>
    <t>Rintoul, Stephen R/A-1471-2012; Langlais, Clothilde/AAI-9859-2021</t>
  </si>
  <si>
    <t>Rintoul, Stephen R/0000-0002-7055-9876; Langlais, Clothilde/0000-0002-6423-7678; Zika, Jan/0000-0003-3462-3559</t>
  </si>
  <si>
    <t>Australian Government's Cooperative Research Centre (CRC) program through the Antarctic Climate and Ecosystems CRC; Australian Climate Change Science Program - Australian Department of the Environment; CSIRO; Bureau of Meteorology; CSIRO Office of the Chief Executive (OCE) Postdoctoral Fellowship; Natural Environment Research Council; Centre National d'Etudes Spatiales (CNES) through the Ocean Surface Topography Science Team (OST/ST); Centre National de la Recherche Scientique (CNRS); Institut National des Sciences de l'Univers (INSU); Groupe Mission Mercator Coriolis (GMMC); CSIRO Oceans and Atmosphere Flagship; Natural Environment Research Council [NE/I020415/1] Funding Source: researchfish; NERC [NE/I020415/1] Funding Source: UKRI</t>
  </si>
  <si>
    <t>Australian Government's Cooperative Research Centre (CRC) program through the Antarctic Climate and Ecosystems CRC(Australian GovernmentDepartment of Industry, Innovation and ScienceCooperative Research Centres (CRC) Programme); Australian Climate Change Science Program - Australian Department of the Environment; CSIRO(Commonwealth Scientific &amp; Industrial Research Organisation (CSIRO)); Bureau of Meteorology(Bureau of Meteorology - Australia); CSIRO Office of the Chief Executive (OCE) Postdoctoral Fellowship; Natural Environment Research Council(UK Research &amp; Innovation (UKRI)Natural Environment Research Council (NERC)); Centre National d'Etudes Spatiales (CNES) through the Ocean Surface Topography Science Team (OST/ST)(Centre National D'etudes Spatiales); Centre National de la Recherche Scientique (CNRS)(Centre National de la Recherche Scientifique (CNRS)); Institut National des Sciences de l'Univers (INSU); Groupe Mission Mercator Coriolis (GMMC); CSIRO Oceans and Atmosphere Flagship; Natural Environment Research Council(UK Research &amp; Innovation (UKRI)Natural Environment Research Council (NERC)); NERC(UK Research &amp; Innovation (UKRI)Natural Environment Research Council (NERC))</t>
  </si>
  <si>
    <t>The authors acknowledge the funding support of the Australian Government's Cooperative Research Centre (CRC) program through the Antarctic Climate and Ecosystems CRC and the Australian Climate Change Science Program supported by the Australian Department of the Environment, CSIRO, and the Bureau of Meteorology. Clothilde Langlais was supported by a CSIRO Office of the Chief Executive (OCE) Postdoctoral Fellowship. Jan Zika acknowledges the support of the Natural Environment Research Council. This work used simulations performed within the frame of the Bluelink project and DRAKKAR project. DRAKKAR is supported by the Centre National d'Etudes Spatiales (CNES) through the Ocean Surface Topography Science Team (OST/ST), by the Centre National de la Recherche Scientique (CNRS), the Institut National des Sciences de l'Univers (INSU), and the Groupe Mission Mercator Coriolis (GMMC). Bluelink is funded by CSIRO Oceans and Atmosphere Flagship.</t>
  </si>
  <si>
    <t>10.1175/JPO-D-14-0053.1</t>
  </si>
  <si>
    <t>WOS:000352542800007</t>
  </si>
  <si>
    <t>Youngs, MK; Thompson, AF; Flexas, MM; Heywood, KJ</t>
  </si>
  <si>
    <t>Youngs, Madeleine K.; Thompson, Andrew F.; Flexas, M. Mar; Heywood, Karen J.</t>
  </si>
  <si>
    <t>Weddell Sea Export Pathways from Surface Drifters</t>
  </si>
  <si>
    <t>TROPICAL PACIFIC-OCEAN; ANTARCTIC SLOPE FRONT; SOUTHERN ANNULAR MODE; SCOTIA CONFLUENCE; EDDY-DIFFUSIVITY; KRILL TRANSPORT; BOTTOM WATER; VARIABILITY; CIRCULATION; ICE</t>
  </si>
  <si>
    <t>The complex export pathways that connect the surface waters of the Weddell Sea with the Antarctic Circumpolar Current influence water mass modification, nutrient fluxes, and ecosystem dynamics. To study this exchange, 40 surface drifters, equipped with temperature sensors, were released into the northwestern Weddell Sea's continental shelf and slope frontal systemin late January 2012. Comparison of the drifter trajectories with a similar deployment in early February 2007 provides insight into the interannual variability of the surface circulation in this region. Observed differences in the 2007 and 2012 drifter trajectories are related to a variable surface circulation responding to changes in wind stress curl over the Weddell Gyre. Differences between northwestern Weddell Sea properties in 2007 and 2012 include 1) an enhanced cyclonic wind stress forcing over the Weddell Gyre in 2012; 2) an acceleration of the Antarctic Slope Current (ASC) and an offshore shift of the primary drifter export pathway in 2012; and 3) a strengthening of the Coastal Current (CC) over the continental shelf in 2007. The relationship between wind stress forcing and surface circulation is reproduced over a longer time period in virtual drifter deployments advected by a remotely sensed surface velocity product. The mean offshore position and speed of the drifter trajectories are correlated with the wind stress curl over the Weddell Gyre, although with different temporal lags. The drifter observations are consistent with recent modeling studies suggesting that Weddell Sea boundary current variability can significantly impact the rate and source of exported surface waters to the Scotia Sea, a process that determines regional chlorophyll distributions.</t>
  </si>
  <si>
    <t>[Youngs, Madeleine K.; Thompson, Andrew F.] CALTECH, Environm Sci &amp; Engn, Pasadena, CA 91125 USA; [Flexas, M. Mar] CALTECH, Jet Prop Lab, Pasadena, CA 91125 USA; [Heywood, Karen J.] Univ E Anglia, Sch Environm Sci, Norwich NR4 7TJ, Norfolk, England</t>
  </si>
  <si>
    <t>California Institute of Technology; National Aeronautics &amp; Space Administration (NASA); NASA Jet Propulsion Laboratory (JPL); California Institute of Technology; University of East Anglia</t>
  </si>
  <si>
    <t>Youngs, MK (corresponding author), CALTECH, Environm Sci &amp; Engn, Pasadena, CA 91125 USA.</t>
  </si>
  <si>
    <t>myoungs@caltech.edu</t>
  </si>
  <si>
    <t>Flexas, Mar/GOV-3308-2022; Heywood, Karen/L-1757-2016</t>
  </si>
  <si>
    <t>Flexas, Mar/0000-0002-0617-3004; Heywood, Karen/0000-0001-9859-0026</t>
  </si>
  <si>
    <t>NOAA Global Drifter Program (GDP); U.K. Natural Environment Research Council (NERC) through the Antarctic Funding Initiative [NE/C50633X/1, NE/H01439X/1]; Summer Undergraduate Research Fellowships (SURFs); George W. Housner Fund; James Morgan Fellowship; NSF [NSF OPP-1246460]; NASA Postdoctoral Program at the Jet Propulsion Laboratory/California Institute of Technology; NERC [NE/H01439X/1, NE/C50633X/1] Funding Source: UKRI; Natural Environment Research Council [NE/C50633X/1, NE/H01439X/1] Funding Source: researchfish; Directorate For Geosciences; Office of Polar Programs (OPP) [1246460] Funding Source: National Science Foundation</t>
  </si>
  <si>
    <t>NOAA Global Drifter Program (GDP); U.K. Natural Environment Research Council (NERC) through the Antarctic Funding Initiative(UK Research &amp; Innovation (UKRI)Natural Environment Research Council (NERC)); Summer Undergraduate Research Fellowships (SURFs); George W. Housner Fund; James Morgan Fellowship; NSF(National Science Foundation (NSF)); NASA Postdoctoral Program at the Jet Propulsion Laboratory/California Institute of Technology; NERC(UK Research &amp; Innovation (UKRI)Natural Environment Research Council (NERC)); Natural Environment Research Council(UK Research &amp; Innovation (UKRI)Natural Environment Research Council (NERC)); Directorate For Geosciences; Office of Polar Programs (OPP)(National Science Foundation (NSF)NSF - Directorate for Geosciences (GEO))</t>
  </si>
  <si>
    <t>We thank everyone who made the GENTOO cruise successful, especially the officers and crew of the RRS James Clark Ross. We are grateful for the financial support of the NOAA Global Drifter Program (GDP) as well as the assistance of Mayra Pazos with the drifter data. Conversations with Alberto Naveira Garabato and Angelika Renner improved this manuscript. The ADELIE and GENTOO cruises were supported by the U.K. Natural Environment Research Council (NERC) through the Antarctic Funding Initiative (NE/C50633X/1 and NE/H01439X/1, respectively). Support for the drifters came from the GDP and the Davidow Discovery Fund. MKY's participation was funded by the J. Weldon Green and Samuel P. and Frances Krown Summer Undergraduate Research Fellowships (SURFs), the George W. Housner Fund, and the James Morgan Fellowship. AFT was supported by NSF Grant NSF OPP-1246460. MMFs participation was supported by an appointment to the NASA Postdoctoral Program at the Jet Propulsion Laboratory/California Institute of Technology, administered by Oak Ridge Associated Universities through a contract with NASA.</t>
  </si>
  <si>
    <t>10.1175/JPO-D-14-0103.1</t>
  </si>
  <si>
    <t>WOS:000352542800008</t>
  </si>
  <si>
    <t>Jordan, JR; Kimura, S; Holland, PR; Jenkins, A; Piggott, MD</t>
  </si>
  <si>
    <t>Jordan, James R.; Kimura, Satoshi; Holland, Paul R.; Jenkins, Adrian; Piggott, Matthew D.</t>
  </si>
  <si>
    <t>On the Conditional Frazil Ice Instability in Seawater</t>
  </si>
  <si>
    <t>SOUTHERN WEDDELL SEA; MCMURDO SOUND; SHELF; WATER; CIRCULATION; BENEATH; MODEL; CRYSTALS; DYNAMICS; DEPTH</t>
  </si>
  <si>
    <t>It has been suggested that the presence of frazil ice can lead to a conditional instability in seawater. Any frazil forming in the water column reduces the bulk density of a parcel of frazil-seawater mixture, causing it to rise. As a result of the pressure decrease in the freezing point, this causes more frazil to form, causing the parcel to accelerate, and so on. This study uses linear stability analysis and a nonhydrostatic ocean model to study this instability. The authors find that frazil ice growth caused by the rising of supercooled water is indeed able to generate a buoyancy-driven instability. Even in a gravitationally stable water column, the frazil ice mechanism can still generate convection. The instability does not operate in the presence of strong density stratification, high thermal driving (warm water), a small initial perturbation, high background mixing, or the prevalence of large frazil ice crystals. In an unstable water column, the instability is not necessarily expressed in frazil ice at all times; an initial frazil perturbation may melt and refreeze. Given a large enough initial perturbation, this instability can allow significant ice growth. A model shows frazil ice growth in an Ice Shelf Water plume several kilometers from an ice shelf, under similar conditions to observations of frazil ice growth under sea ice. The presence of this instability could be a factor affecting the growth of sea ice near ice shelves, with implications for Antarctic Bottom Water formation.</t>
  </si>
  <si>
    <t>[Jordan, James R.; Kimura, Satoshi; Holland, Paul R.; Jenkins, Adrian] British Antarctic Survey, Cambridge CB3 0ET, England; [Piggott, Matthew D.] Univ London Imperial Coll Sci Technol &amp; Med, Dept Earth Sci &amp; Engn, London, England; [Piggott, Matthew D.] Univ London Imperial Coll Sci Technol &amp; Med, Grantham Inst Climate Change, London, England</t>
  </si>
  <si>
    <t>UK Research &amp; Innovation (UKRI); Natural Environment Research Council (NERC); NERC British Antarctic Survey; Imperial College London; Imperial College London</t>
  </si>
  <si>
    <t>Jordan, JR (corresponding author), British Antarctic Survey, High Cross Madingley Rd, Cambridge CB3 0ET, England.</t>
  </si>
  <si>
    <t>jamrda26@bas.ac.uk</t>
  </si>
  <si>
    <t>Holland, Paul R/G-2796-2012; Jenkins, Adrian/IUN-2406-2023; Kimura, Satoshi/AAT-3036-2021</t>
  </si>
  <si>
    <t>Kimura, Satoshi/0000-0003-1689-1605; Jordan, Jim/0000-0001-8117-1976; Jenkins, Adrian/0000-0002-9117-0616</t>
  </si>
  <si>
    <t>NERC [NE/G018391/1, bas0100033, NE/G018146/1, NE/J005746/1, bas0100028] Funding Source: UKRI; Natural Environment Research Council [NE/G018391/1, 1118811, NE/J005746/1, NE/G018146/1, bas0100028, bas0100033] Funding Source: researchfish</t>
  </si>
  <si>
    <t>10.1175/JPO-D-14-0159.1</t>
  </si>
  <si>
    <t>WOS:000352542800011</t>
  </si>
  <si>
    <t>Sleight, VA; Thorne, MAS; Peck, LS; Clark, MS</t>
  </si>
  <si>
    <t>Sleight, Victoria A.; Thorne, Michael A. S.; Peck, Lloyd S.; Clark, Melody S.</t>
  </si>
  <si>
    <t>Transcriptomic response to shell damage in the Antarctic clam, Laternula elliptica: Time scales and spatial localisation</t>
  </si>
  <si>
    <t>Biomineralisation; Mantle; Calcification; Gene expression; Repair</t>
  </si>
  <si>
    <t>CALMODULIN-LIKE PROTEIN; ORGANIC MATRIX; HALIOTIS-TUBERCULATA; PACIFIC OYSTER; MANTLE; BIOMINERALIZATION; CALCIFICATION; STRESS; TISSUE; PERIOSTRACUM</t>
  </si>
  <si>
    <t>Mollusc shell is built-up by secretion from the mantle and is the result of a controlled biological process termed biomineralisation. In general mollusc shells are well characterised however, the molecular mechanisms used by molluscs to produce shell remain largely unknown. One tractable method to study molecular biomineralisation mechanisms are shell damage-repair experiments, which stimulate calcification pathways. The present study used the Antarctic clam (Laternula elliptica) as a model to better understand when and where molecular biomineralisation events occur in the mantle. Two approaches were used: one experiment used high-throughput RNA-sequencing to study molecular damage-repair responses over a 2 month time series, and a second experiment used targeted semi-quantitative PCR to investigate the spatial location of molecular mechanisms in response to damage. Shell repair in L elliptica was slow, lasting at least 2 months, and expression results revealed different biological processes were important at varying time scales during repair. A spatial pattern in relation to a single drilled hole was revealed for some, but not all, candidate genes suggesting the mantle may be functionally zoned and can respond to damage both locally and ubiquitously across the mantle. Valuable data on the temporal and spatial response of shell damage-repair provide a baseline not only for future studies in L. elliptica, but also other molluscs. (C) 2015 The Authors. Published by Elsevier B.V. This is an open access article under the CC BY license (http://creativecommons.org/licenses/by/4.0/).</t>
  </si>
  <si>
    <t>[Sleight, Victoria A.; Thorne, Michael A. S.; Peck, Lloyd S.; Clark, Melody S.] British Antarctic Survey, NERC, Cambridge CB3 0ET, England</t>
  </si>
  <si>
    <t>Sleight, VA (corresponding author), British Antarctic Survey, NERC, Madingley Rd, Cambridge CB3 0ET, England.</t>
  </si>
  <si>
    <t>viceig15@bas.ac.uk</t>
  </si>
  <si>
    <t>huang, dezhi/ABC-6566-2021; Sleight, Victoria A./AHE-7337-2022; Clark, Melody/D-7371-2014</t>
  </si>
  <si>
    <t>Sleight, Victoria A./0000-0003-0550-8500; Thorne, Michael/0000-0001-7759-612X; Clark, Melody/0000-0002-3442-3824</t>
  </si>
  <si>
    <t>NERC DTG [NE/J500173/1]; NERC; Natural Environment Research Council [bas0100025, 1384018, dml011000, bas0100036] Funding Source: researchfish; NERC [bas0100025, dml011000, bas0100036] Funding Source: UKRI</t>
  </si>
  <si>
    <t>NERC DTG; NERC(UK Research &amp; Innovation (UKRI)Natural Environment Research Council (NERC)); Natural Environment Research Council(UK Research &amp; Innovation (UKRI)Natural Environment Research Council (NERC)); NERC(UK Research &amp; Innovation (UKRI)Natural Environment Research Council (NERC))</t>
  </si>
  <si>
    <t>VAS was funded by a NERC DTG studentship (Project Reference: NE/J500173/1) to the British Antarctic Survey. MSC, MAST and ISP were financed by NERC core funding to the British Antarctic Survey, Polar Sciences for Planet Earth Programme. We would like to thank Laura J. Weir for technical assistance and Elizabeth M. Harper for advice on shell structure and repair processes. We thank the dive team at Rothera research station, Antarctica for support in animal collection. Diving oversight was provided by the NERC National Centre for Scientific Diving, Oban.</t>
  </si>
  <si>
    <t>10.1016/j.margen.2015.01.009</t>
  </si>
  <si>
    <t>hybrid, Green Accepted</t>
  </si>
  <si>
    <t>WOS:000352666200012</t>
  </si>
  <si>
    <t>Yang, SY; Humayun, M; Righter, K; Jefferson, G; Fields, D; Irving, AJ</t>
  </si>
  <si>
    <t>Yang, Shuying; Humayun, Munir; Righter, Kevin; Jefferson, Gwendolyn; Fields, Dana; Irving, Anthony J.</t>
  </si>
  <si>
    <t>Siderophile and chalcophile element abundances in shergottites: Implications for Martian core formation</t>
  </si>
  <si>
    <t>TRACE-ELEMENTS; SILICATE MELT; CHEMICAL-COMPOSITION; PLANETARY CORES; OXYGEN FUGACITY; METAL; EARTH; MANTLE; CONSTRAINTS; METEORITE</t>
  </si>
  <si>
    <t>Elemental abundances for volatile siderophile and chalcophile elements for Mars inform us about processes of accretion and core formation. Such data are few for Martian meteorites, and are often lacking in the growing number of desert finds. In this study, we employed laser ablation inductively coupled plasma-mass spectrometry (LA-ICP-MS) to analyze polished slabs of 15 Martian meteorites for the abundances of about 70 elements. This technique has high sensitivity, excellent precision, and is generally accurate as determined by comparisons of elements for which literature abundances are known. However, in some meteorites, the analyzed surface is not representative of the bulk composition due to the over- or underrepresentation of a key host mineral, e.g., phosphate for rare earth elements (REE). For other meteorites, the range of variation in bulk rastered analyses of REE is within the range of variation reported among bulk REE analyses in the literature. An unexpected benefit has been the determination of the abundances of Ir and Os with a precision and accuracy comparable to the isotope dilution technique. Overall, the speed and small sample consumption afforded by this technique makes it an important tool widely applicable to small or rare meteorites for which a polished sample was prepared. The new volatile siderophile and chalcophile element abundances have been employed to determine Ge and Sb abundances, and revise Zn, As, and Bi abundances for the Martian mantle. The new estimates of Martian mantle composition support core formation at intermediate pressures (14 +/- 3GPa) in a magma ocean on Mars.</t>
  </si>
  <si>
    <t>[Yang, Shuying; Humayun, Munir; Jefferson, Gwendolyn; Fields, Dana] Florida State Univ, Natl High Magnet Field Lab, Tallahassee, FL 32310 USA; [Yang, Shuying; Humayun, Munir] Florida State Univ, Dept Earth Ocean &amp; Atmospher Sci, Tallahassee, FL 32310 USA; [Righter, Kevin] NASA, Lyndon B Johnson Space Ctr, Mailcode KT, Houston, TX 77058 USA; [Jefferson, Gwendolyn] Carter High Sch, Rialto, CA 92376 USA; [Fields, Dana] Rickards High Sch, Tallahassee, FL 32306 USA; [Irving, Anthony J.] Univ Washington, Dept Earth &amp; Space Sci, Seattle, WA 98195 USA</t>
  </si>
  <si>
    <t>State University System of Florida; Florida State University; State University System of Florida; Florida State University; National Aeronautics &amp; Space Administration (NASA); NASA Johnson Space Center; University of Washington; University of Washington Seattle</t>
  </si>
  <si>
    <t>Humayun, M (corresponding author), Florida State Univ, Natl High Magnet Field Lab, 1800 E Paul Dirac Dr, Tallahassee, FL 32310 USA.</t>
  </si>
  <si>
    <t>humayun@magnet.fsu.edu</t>
  </si>
  <si>
    <t>Humayun, Munir/A-1247-2007</t>
  </si>
  <si>
    <t>Humayun, Munir/0000-0001-8516-9435; Righter, Kevin/0000-0002-6075-7908</t>
  </si>
  <si>
    <t>NASA [NNX10AI37G, NNX13AI06G]; RTOP from the Mars Fundamental Research Program; Center for Integrating Research and Learning (CIRL) at the National High Magnetic Field Laboratory via the summer Research Experiences for Teachers (RET) program - NSF [0553769]; Division Of Research On Learning; Direct For Education and Human Resources [0553769] Funding Source: National Science Foundation</t>
  </si>
  <si>
    <t>NASA(National Aeronautics &amp; Space Administration (NASA)); RTOP from the Mars Fundamental Research Program; Center for Integrating Research and Learning (CIRL) at the National High Magnetic Field Laboratory via the summer Research Experiences for Teachers (RET) program - NSF; Division Of Research On Learning; Direct For Education and Human Resources(National Science Foundation (NSF)NSF - Directorate for STEM Education (EDU))</t>
  </si>
  <si>
    <t>We thank Tim McCoy and Linda Welzenbach (USNM) for providing Shergotty, Los Angeles, and Zagami; the National Institute of Polar Research, Japan, for providing sections of Yamato meteorites; the US Antarctic Meteorite collection for providing EETA79001A; and Eric Twelker for Tissint (TSS-260) and Zagami (ZGN-289). Funding for this research was provided by the NASA Cosmochemistry Program to MH (NNX10AI37G, NNX13AI06G), and an RTOP from the Mars Fundamental Research Program to KR. We thank the Center for Integrating Research and Learning (CIRL) at the National High Magnetic Field Laboratory for support for GJ and DF via the summer Research Experiences for Teachers (RET) program funded by NSF Award Number 0553769. We thank Shichun Huang and an anonymous reviewer for their reviews of the manuscript, and Associate Editor Stein B. Jacobsen for editorial handling.</t>
  </si>
  <si>
    <t>10.1111/maps.12384</t>
  </si>
  <si>
    <t>WOS:000352625200012</t>
  </si>
  <si>
    <t>Frieler, K; Clark, PU; He, F; Buizert, C; Reese, R; Ligtenberg, SRM; van den Broeke, MR; Winkelmann, R; Levermann, A</t>
  </si>
  <si>
    <t>Frieler, Katja; Clark, Peter U.; He, Feng; Buizert, Christo; Reese, Ronja; Ligtenberg, Stefan R. M.; van den Broeke, Michiel R.; Winkelmann, Ricarda; Levermann, Anders</t>
  </si>
  <si>
    <t>Consistent evidence of increasing Antarctic accumulation with warming</t>
  </si>
  <si>
    <t>SURFACE MASS-BALANCE; ICE-SHEET; CLIMATE; PRECIPITATION; GREENLAND</t>
  </si>
  <si>
    <t>Projections of changes in Antarctic Ice Sheet (AIS) surface mass balance indicate a negative contribution to sea level because of the expected increase in precipitation due to the higher moisture holding capacity of warmer air(1). Observations over the past decades, however, are unable to constrain the relation between temperature and accumulation changes because both are dominated by strong natural variability(2-5). Here we derive a consistent continental-scale increase in accumulation of approximately 5 +/- 1% K-1, through the assessment of ice-core data (spanning the large temperature change during the last deglaciation, 21,000 to 10,000 years ago), in combination with palaeo-simulations, future projections by 35 general circulation models (GCMs), and one high-resolution future simulation. The ice-core data and modelling results for the last deglaciation agree, showing uniform local sensitivities of similar to 6% K-1. The palaeo-simulation allows for a continental-scale aggregation of accumulation changes reaching 4.3% K-1. Despite the different timescales, these sensitivities agree with the multi-model mean of 6.1 +/- 2.6% K-1 (GCMprojections) and the continental-scale sensitivity of 4.9% K-1 (high-resolution future simulation). Because some of the mass gain of the AIS is offset by dynamical losses induced by accumulation(6,7), we provide a response function allowing projections of sea-level fall in terms of continental-scale accumulation changes that compete with surface melting and dynamical losses induced by other mechanisms(6,8,9).</t>
  </si>
  <si>
    <t>[Frieler, Katja; Reese, Ronja; Winkelmann, Ricarda; Levermann, Anders] Potsdam Inst Climate Impact Res, D-14412 Potsdam, Germany; [Clark, Peter U.; He, Feng; Buizert, Christo] Oregon State Univ, Coll Earth Ocean &amp; Atmospher Sci, Corvallis, OR 97331 USA; [He, Feng] Univ Wisconsin, Ctr Climat Res, Nelson Inst Environm Studies, Madison, WI 53706 USA; [Reese, Ronja; Winkelmann, Ricarda; Levermann, Anders] Univ Potsdam, Inst Phys, D-14476 Potsdam, Germany; [Ligtenberg, Stefan R. M.; van den Broeke, Michiel R.] Univ Utrecht, Inst Marine &amp; Atmospher Res Utrecht IMAU, NL-3584 CC Utrecht, Netherlands</t>
  </si>
  <si>
    <t>Potsdam Institut fur Klimafolgenforschung; Oregon State University; University of Wisconsin System; University of Wisconsin Madison; University of Potsdam; Utrecht University</t>
  </si>
  <si>
    <t>Frieler, K (corresponding author), Potsdam Inst Climate Impact Res, D-14412 Potsdam, Germany.</t>
  </si>
  <si>
    <t>katja.frieler@pik-potsdam.de</t>
  </si>
  <si>
    <t>Van den Broeke, Michiel R./F-7867-2011; Levermann, Anders/G-4666-2011; Ligtenberg, Stefan/AAF-8290-2020; He, Feng/B-3583-2008; he, feng/HOF-1989-2023</t>
  </si>
  <si>
    <t>Van den Broeke, Michiel R./0000-0003-4662-7565; Levermann, Anders/0000-0003-4432-4704; Reese, Ronja/0000-0001-7625-040X; Frieler, Katja/0000-0003-4869-3013; Winkelmann, Ricarda/0000-0003-1248-3217; Buizert, Christo/0000-0002-2227-1747; He, Feng/0000-0002-3355-6406</t>
  </si>
  <si>
    <t>US NSF Antarctic Glaciology Program [ANT-1043517]; Office of Science of the Department of Energy [DE-AC05-00OR22725]; US NSF [AGS-1203430]; US NOAA Climate and Global Change Postdoctoral Fellowship program; Federal Ministry for the Environment, Nature Conservation and Nuclear Safety, Germany [11_II_093_Global_A_SIDS]; Netherlands Polar Program of the Netherlands Organization for Scientific Research, section Earth and Life Sciences (NWO/ALW/NPP); Ice2sea project - the European Commission 7th Framework Programme [226375]; Office of Polar Programs (OPP); Directorate For Geosciences [1043517, 0944348] Funding Source: National Science Foundation</t>
  </si>
  <si>
    <t>US NSF Antarctic Glaciology Program(National Science Foundation (NSF)NSF - Directorate for Geosciences (GEO)); Office of Science of the Department of Energy(United States Department of Energy (DOE)); US NSF(National Science Foundation (NSF)); US NOAA Climate and Global Change Postdoctoral Fellowship program(National Oceanic Atmospheric Admin (NOAA) - USA); Federal Ministry for the Environment, Nature Conservation and Nuclear Safety, Germany; Netherlands Polar Program of the Netherlands Organization for Scientific Research, section Earth and Life Sciences (NWO/ALW/NPP); Ice2sea project - the European Commission 7th Framework Programme(European Union (EU)); Office of Polar Programs (OPP); Directorate For Geosciences(National Science Foundation (NSF)NSF - Directorate for Geosciences (GEO))</t>
  </si>
  <si>
    <t>The authors thank B. Lemieux-Dudon for providing Antarctic ice-core accumulation rate data. The authors acknowledge the World Climate Research Programme's Working Group on coupled Modelling, which is responsible for the Coupled Model Intercomparison Project, and thank the climate modelling groups for producing and making available their model output. P.U.C. was supported by the US NSF Antarctic Glaciology Program (grant number ANT-1043517). This research used resources of the Oak Ridge Leadership Computing Facility, located in the National Center for Computational Sciences at Oak Ridge National Laboratory which is supported by the Office of Science of the Department of Energy under contract DE-AC05-00OR22725. F.H. is supported by the US NSF (AGS-1203430) and the US NOAA Climate and Global Change Postdoctoral Fellowship program. The research was supported by the Federal Ministry for the Environment, Nature Conservation and Nuclear Safety, Germany (11_II_093_Global_A_SIDS and LDCs). S.R.M.L. and M.R.v.d.B. acknowledge support from the Netherlands Polar Program of the Netherlands Organization for Scientific Research, section Earth and Life Sciences (NWO/ALW/NPP) and the Ice2sea project, funded by the European Commission 7th Framework Programme through grant number 226375.</t>
  </si>
  <si>
    <t>10.1038/nclimate2574</t>
  </si>
  <si>
    <t>CE5AM</t>
  </si>
  <si>
    <t>WOS:000351842100019</t>
  </si>
  <si>
    <t>Mikucki, JA; Auken, E; Tulaczyk, S; Virginia, RA; Schamper, C; Sorensen, KI; Doran, PT; Dugan, H; Foley, N</t>
  </si>
  <si>
    <t>Mikucki, J. A.; Auken, E.; Tulaczyk, S.; Virginia, R. A.; Schamper, C.; Sorensen, K. I.; Doran, P. T.; Dugan, H.; Foley, N.</t>
  </si>
  <si>
    <t>Deep groundwater and potential subsurface habitats beneath an Antarctic dry valley</t>
  </si>
  <si>
    <t>SEA-ICE SHEET; TAYLOR VALLEY; BLOOD FALLS; GLACIER; PERMAFROST; GEOCHEMISTRY; AIRBORNE; WATER; IRON; CONNECTIVITY</t>
  </si>
  <si>
    <t>The occurrence of groundwater in Antarctica, particularly in the ice-free regions and along the coastal margins is poorly understood. Here we use an airborne transient electromagnetic (AEM) sensor to produce extensive imagery of resistivity beneath Taylor Valley. Regional-scale zones of low subsurface resistivity were detected that are inconsistent with the high resistivity of glacier ice or dry permafrost in this region. We interpret these results as an indication that liquid, with sufficiently high solute content, exists at temperatures well below freezing and considered within the range suitable for microbial life. These inferred brines are widespread within permafrost and extend below glaciers and lakes. One system emanates from below Taylor Glacier into Lake Bonney and a second system connects the ocean with the eastern 18 km of the valley. A connection between these two basins was not detected to the depth limitation of the AEM survey (similar to 350 m).</t>
  </si>
  <si>
    <t>[Mikucki, J. A.] Univ Tennessee, Dept Microbiol, Knoxville, TN 37996 USA; [Auken, E.; Sorensen, K. I.] Aarhus Univ, Dept Geosci, DK-8000 Aarhus, Denmark; [Tulaczyk, S.; Foley, N.] Univ Calif Santa Cruz, Dept Earth &amp; Planetary Sci, Santa Cruz, CA 95064 USA; [Virginia, R. A.] Dartmouth Coll, Environm Studies Program, Hanover, NH 03755 USA; [Schamper, C.] Univ Paris 06, Sorbonne Univ, CNRS, EPHE,UMR 7619 Metis, F-75252 Paris, France; [Doran, P. T.] Louisiana State Univ, Dept Geol &amp; Geophys, Baton Rouge, LA 70803 USA; [Dugan, H.] Univ Illinois, Dept Earth &amp; Environm Sci, Chicago, IL 60607 USA</t>
  </si>
  <si>
    <t>University of Tennessee System; University of Tennessee Knoxville; Aarhus University; University of California System; University of California Santa Cruz; Dartmouth College; Sorbonne Universite; Centre National de la Recherche Scientifique (CNRS); CNRS - Institute of Ecology &amp; Environment (INEE); Universite PSL; Ecole Pratique des Hautes Etudes (EPHE); Louisiana State University System; Louisiana State University; University of Illinois System; University of Illinois Chicago; University of Illinois Chicago Hospital</t>
  </si>
  <si>
    <t>Mikucki, JA (corresponding author), Univ Tennessee, Dept Microbiol, Knoxville, TN 37996 USA.</t>
  </si>
  <si>
    <t>jmikucki@utk.edu; stulaczy@ucsc.edu</t>
  </si>
  <si>
    <t>Schamper, Cyril/A-2012-2012; Auken, Esben/G-8036-2012; Tulaczyk, Slawek/O-7375-2018</t>
  </si>
  <si>
    <t>Schamper, Cyril/0000-0001-8276-5899; Dugan, Hilary/0000-0003-4674-1149; Auken, Esben/0000-0002-5397-4832; Tulaczyk, Slawek/0000-0002-9711-4332</t>
  </si>
  <si>
    <t>US National Science Foundation, Office of Polar Programs Antarctic Earth Science and Organism and Ecosystem Programs [1043618]; NSF Award [1344348, 1344349, 1115245]; Office of Polar Programs (OPP); Directorate For Geosciences [1115245] Funding Source: National Science Foundation; Office of Polar Programs (OPP); Directorate For Geosciences [1043618, 1344349, 1344348] Funding Source: National Science Foundation</t>
  </si>
  <si>
    <t>US National Science Foundation, Office of Polar Programs Antarctic Earth Science and Organism and Ecosystem Programs; NSF Award(National Science Foundation (NSF)); Office of Polar Programs (OPP); Directorate For Geosciences(National Science Foundation (NSF)NSF - Directorate for Geosciences (GEO)); Office of Polar Programs (OPP); Directorate For Geosciences(National Science Foundation (NSF)NSF - Directorate for Geosciences (GEO))</t>
  </si>
  <si>
    <t>The US National Science Foundation, Office of Polar Programs Antarctic Earth Science and Organism and Ecosystem Programs (Award # 1043618 to J.A.M. and R.A.V.) funded this project. Additional support came from NSF Award # 1344348 to J.A.M., Award # 1344349 to S.T. and Award # 1115245 to P.T.D. and R.A.V. Our survey would not have been possible without technicians from Aarhus University Jan Steen Jorgensen and Lars Jensen and helicopter support from PHI pilots Paul Murphy and Ken Kuwahara. We thank Lindsay Wahl and Raytheon Polar Services, in particular Susie Lyons, for field and logistical support.</t>
  </si>
  <si>
    <t>10.1038/ncomms7831</t>
  </si>
  <si>
    <t>CH0IO</t>
  </si>
  <si>
    <t>WOS:000353703200010</t>
  </si>
  <si>
    <t>Yamane, M; Yokoyama, Y; Abe-Ouchi, A; Obrochta, S; Saito, F; Moriwaki, K; Matsuzaki, H</t>
  </si>
  <si>
    <t>Yamane, Masako; Yokoyama, Yusuke; Abe-Ouchi, Ayako; Obrochta, Stephen; Saito, Fuyuki; Moriwaki, Kiichi; Matsuzaki, Hiroyuki</t>
  </si>
  <si>
    <t>Exposure age and ice-sheet model constraints on Pliocene East Antarctic ice sheet dynamics</t>
  </si>
  <si>
    <t>SEA-LEVEL FLUCTUATIONS; MIDDLE PLIOCENE; EXPERIMENTAL-DESIGN; CLIMATE; SURFACE; BE-10; GREENLAND; EROSION; VOLUME; CHRONOLOGY</t>
  </si>
  <si>
    <t>The Late Pliocene epoch is a potential analogue for future climate in a warming world. Here we reconstruct Plio-Pleistocene East Antarctic Ice Sheet (EAIS) variability using cosmogenic nuclide exposure ages and model simulations to better understand ice sheet behaviour under such warm conditions. New and previously published exposure ages indicate interior-thickening during the Pliocene. An ice sheet model with mid-Pliocene boundary conditions also results in interior thickening and suggests that both the Wilkes Subglacial and Aurora Basins largely melted, offsetting increased ice volume. Considering contributions from West Antarctica and Greenland, this is consistent with the most recent IPCC AR5 estimate, which indicates that the Pliocene sea level likely did not exceed +20m on Milankovitch timescales. The inception of colder climate since similar to 3 Myr has increased the sea ice cover and inhibited active moisture transport to Antarctica, resulting in reduced ice sheet thickness, at least in coastal areas.</t>
  </si>
  <si>
    <t>[Yamane, Masako; Yokoyama, Yusuke; Abe-Ouchi, Ayako; Obrochta, Stephen] Univ Tokyo, Atmosphere &amp; Ocean Res Inst, Chiba 2778564, Japan; [Yokoyama, Yusuke; Abe-Ouchi, Ayako] Univ Tokyo, Dept Earth &amp; Planetary Sci, Bunkyo Ku, Tokyo 1130033, Japan; [Yokoyama, Yusuke] Japan Agcy Marine Earth Sci &amp; Technol, Yokosuka, Kanagawa 2370061, Japan; [Abe-Ouchi, Ayako; Saito, Fuyuki] Japan Agcy Marine Earth Sci &amp; Technol, Kanazawa Ku, Yokosuka, Kanagawa 2360001, Japan; [Obrochta, Stephen] Akita Univ, Fac Int Resource Sci, Akita 0108502, Japan; [Moriwaki, Kiichi] Natl Inst Polar Res, Tachikawa, Tokyo 1908518, Japan; [Matsuzaki, Hiroyuki] Univ Tokyo, Univ Museum, Bunkyo Ku, Tokyo 1130033, Japan</t>
  </si>
  <si>
    <t>University of Tokyo; University of Tokyo; Japan Agency for Marine-Earth Science &amp; Technology (JAMSTEC); Japan Agency for Marine-Earth Science &amp; Technology (JAMSTEC); Akita University; Research Organization of Information &amp; Systems (ROIS); National Institute of Polar Research (NIPR) - Japan; University of Tokyo</t>
  </si>
  <si>
    <t>Yokoyama, Y (corresponding author), Univ Tokyo, Atmosphere &amp; Ocean Res Inst, 5-1-5 Kashiwanoha, Chiba 2778564, Japan.</t>
  </si>
  <si>
    <t>yokoyama@aori.u-tokyo.ac.jp</t>
  </si>
  <si>
    <t>Abe-Ouchi, Ayako A/M-6359-2013; SAITO, Fuyuki/B-8776-2013</t>
  </si>
  <si>
    <t>Abe-Ouchi, Ayako A/0000-0003-1745-5952; Obrochta, Stephen/0000-0001-9632-0372; Yokoyama, Yusuke/0000-0001-7869-5891; Yamane, Masako/0000-0002-5063-0719</t>
  </si>
  <si>
    <t>JSPS NEXT programme [GR031]; KAKENHI [26247085]; Grants-in-Aid for Scientific Research [25241005, 26247085] Funding Source: KAKEN</t>
  </si>
  <si>
    <t>JSPS NEXT programme; KAKENHI(Ministry of Education, Culture, Sports, Science and Technology, Japan (MEXT)Japan Society for the Promotion of ScienceGrants-in-Aid for Scientific Research (KAKENHI)); Grants-in-Aid for Scientific Research(Ministry of Education, Culture, Sports, Science and Technology, Japan (MEXT)Japan Society for the Promotion of ScienceGrants-in-Aid for Scientific Research (KAKENHI))</t>
  </si>
  <si>
    <t>We thank Yosuke Miyairi for technical support during the AMS measurements. This research was partly supported by the JSPS NEXT programme (GR031 to Y.Y.) and KAKENHI (26247085 to Y.Y.).</t>
  </si>
  <si>
    <t>10.1038/ncomms8016</t>
  </si>
  <si>
    <t>CH0JR</t>
  </si>
  <si>
    <t>WOS:000353706300003</t>
  </si>
  <si>
    <t>Fretwell, P</t>
  </si>
  <si>
    <t>Fretwell, Peter</t>
  </si>
  <si>
    <t>CRYOSPHERE Entry beneath ice</t>
  </si>
  <si>
    <t>British Antarctic Survey, Cambridge CB3 0ET, England</t>
  </si>
  <si>
    <t>Fretwell, P (corresponding author), British Antarctic Survey, Madingley Rd, Cambridge CB3 0ET, England.</t>
  </si>
  <si>
    <t>ptf@bas.ac.uk</t>
  </si>
  <si>
    <t>Natural Environment Research Council [bas010011] Funding Source: researchfish; NERC [bas010011] Funding Source: UKRI</t>
  </si>
  <si>
    <t>10.1038/ngeo2396</t>
  </si>
  <si>
    <t>CE8HK</t>
  </si>
  <si>
    <t>WOS:000352082300008</t>
  </si>
  <si>
    <t>Greenbaum, JS; Blankenship, DD; Young, DA; Richter, TG; Roberts, JL; Aitken, ARA; Legresy, B; Schroeder, DM; Warner, RC; van Ommen, TD; Siegert, MJ</t>
  </si>
  <si>
    <t>Greenbaum, J. S.; Blankenship, D. D.; Young, D. A.; Richter, T. G.; Roberts, J. L.; Aitken, A. R. A.; Legresy, B.; Schroeder, D. M.; Warner, R. C.; van Ommen, T. D.; Siegert, M. J.</t>
  </si>
  <si>
    <t>Ocean access to a cavity beneath Totten Glacier in East Antarctica</t>
  </si>
  <si>
    <t>PINE ISLAND GLACIER; ICE-SHEET; WEST ANTARCTICA; SHELVES; VARIABILITY; ALTIMETRY; MARGINS; RETREAT; SURFACE; DRIVEN</t>
  </si>
  <si>
    <t>Totten Glacier, the primary outlet of the Aurora Subglacial Basin, has the largest thinning rate in East Antarctica(1,2). Thinning may be driven by enhanced basal melting due to ocean processes(3), modulated by polynya activity(4,5). Warm modified Circumpolar Deep Water, which has been linked to glacier retreat in West Antarctica(6), has been observed in summer and winter on the nearby continental shelf beneath 400 to 500 m of cool Antarctic Surface Water(7,8). Here we derive the bathymetry of the sea floor in the region from gravity(9) and magnetics(10) data as well as ice-thickness measurements(11). We identify entrances to the ice-shelf cavity below depths of 400 to 500 m that could allow intrusions of warm water if the vertical structure of inflow is similar to nearby observations. Radar sounding reveals a previously unknown inland trough that connects the main ice-shelf cavity to the ocean. If thinning trends continue, a larger water body over the trough could potentially allow more warm water into the cavity, which may, eventually, lead to destabilization of the low-lying region between Totten Glacier and the similarly deep glacier flowing into the Reynolds Trough. We estimate that at least 3.5 m of eustatic sea level potential drains through Totten Glacier, so coastal processes in this area could have global consequences.</t>
  </si>
  <si>
    <t>[Greenbaum, J. S.; Blankenship, D. D.; Young, D. A.; Richter, T. G.] Univ Texas Austin, Inst Geophys, Austin, TX 78758 USA; [Roberts, J. L.; Legresy, B.; Warner, R. C.; van Ommen, T. D.] Univ Tasmania, Antarctic Climate &amp; Ecosyst Cooperat Res Ctr, Hobart, Tas 7001, Australia; [Roberts, J. L.; Warner, R. C.; van Ommen, T. D.] Australian Antarctic Div, Kingston, Tas 7050, Australia; [Aitken, A. R. A.] Univ Western Australia, Sch Earth &amp; Environm, Perth, WA, Australia; [Legresy, B.] CSIRO, CSIRO Oceans &amp; Atmosphere Flagship, Hobart, Tas 7000, Australia; [Legresy, B.] CNRS LEGOS, F-31400 Toulouse, France; [Schroeder, D. M.] CALTECH, Jet Prop Lab, Pasadena, CA 91109 USA; [Siegert, M. J.] Univ London Imperial Coll Sci Technol &amp; Med, Grantham Inst, London SW7 2AZ, England; [Siegert, M. J.] Univ London Imperial Coll Sci Technol &amp; Med, Dept Earth Sci &amp; Engn, London SW7 2AZ, England</t>
  </si>
  <si>
    <t>University of Texas System; University of Texas Austin; University of Tasmania; Antarctic Climate &amp; Ecosystems Cooperative Research Centre (ACE CRC); Australian Antarctic Division; University of Western Australia; Commonwealth Scientific &amp; Industrial Research Organisation (CSIRO); Universite de Toulouse; Universite Toulouse III - Paul Sabatier; Centre National de la Recherche Scientifique (CNRS); Institut de Recherche pour le Developpement (IRD); Laboratoire d'Etudes en Geophysique et oceanographie spatiales; National Aeronautics &amp; Space Administration (NASA); NASA Jet Propulsion Laboratory (JPL); California Institute of Technology; Imperial College London; Imperial College London</t>
  </si>
  <si>
    <t>Greenbaum, JS (corresponding author), Univ Texas Austin, Inst Geophys, Austin, TX 78758 USA.</t>
  </si>
  <si>
    <t>jamin@utexas.edu</t>
  </si>
  <si>
    <t>Warner, Roland Charles/ISS-2485-2023; Young, Duncan A./G-6256-2010; Warner, Robert R./M-5342-2013; Roberts, Jason L/B-2235-2012; Siegert, Martin J/A-3826-2008; Siegert, Martin/M-9939-2019; van Ommen, Tas/B-5020-2012; legresy, benoit/K-6673-2018</t>
  </si>
  <si>
    <t>Warner, Roland Charles/0000-0002-9778-3544; Roberts, Jason L/0000-0002-3477-4069; Siegert, Martin J/0000-0002-0090-4806; Siegert, Martin/0000-0002-0090-4806; Aitken, Alan/0000-0002-6375-2504; van Ommen, Tas/0000-0002-2463-1718; legresy, benoit/0000-0002-1909-1630; Greenbaum, Jamin Stevens/0000-0002-0745-7113; Schroeder, Dustin/0000-0003-1916-3929</t>
  </si>
  <si>
    <t>NSF [PLR-0733025, PLR-1143843, CDI-0941678]; NASA [NNG10HPO6C, NNX11AD33G]; Australian Antarctic Division projects [3013, 4077]; NERC [NE/D003733/1]; G. Unger Vetlesen Foundation; Jackson School of Geosciences; Antarctic Climate and Ecosystems Cooperative Research Centre; Natural Environment Research Council [NE/F016646/2, NE/F016646/1] Funding Source: researchfish; NASA [NNX11AD33G, 148741] Funding Source: Federal RePORTER; NERC [NE/F016646/2, NE/F016646/1] Funding Source: UKRI</t>
  </si>
  <si>
    <t>NSF(National Science Foundation (NSF)); NASA(National Aeronautics &amp; Space Administration (NASA)); Australian Antarctic Division projects; NERC(UK Research &amp; Innovation (UKRI)Natural Environment Research Council (NERC)); G. Unger Vetlesen Foundation; Jackson School of Geosciences; Antarctic Climate and Ecosystems Cooperative Research Centre(Australian GovernmentDepartment of Industry, Innovation and ScienceCooperative Research Centres (CRC) Programme); Natural Environment Research Council(UK Research &amp; Innovation (UKRI)Natural Environment Research Council (NERC)); NASA(National Aeronautics &amp; Space Administration (NASA)); NERC(UK Research &amp; Innovation (UKRI)Natural Environment Research Council (NERC))</t>
  </si>
  <si>
    <t>This project is the result of the ongoing ICECAP collaboration between the USA, UK and Australia with support from NSF grants PLR-0733025 and PLR-1143843, and CDI-0941678, NASA grants NNG10HPO6C and NNX11AD33G (Operation Ice Bridge and the American Recovery and Reinvestment Act), Australian Antarctic Division projects 3013 and 4077, NERC grant NE/D003733/1, the G. Unger Vetlesen Foundation, the Jackson School of Geosciences, and the Antarctic Climate and Ecosystems Cooperative Research Centre. We thank the captains and crews of Kenn Borek Airlines Ltd, ICECAP project participants, CMG Operations Pty Ltd, and the Geosoft Education Program. We also thank S. Kempf for assistance with radar data processing, as well as A. Leventer, A. Wahlin, D. Gwyther, K. Soderlund, C. Grima, F. Habbal and S. Zedler for comments on the manuscript. Part of the research was carried out at the Jet Propulsion Laboratory, California Institute of Technology, under a contract with the National Aeronautics and Space Administration. This is UTIG contribution 2831.</t>
  </si>
  <si>
    <t>10.1038/NGEO2388</t>
  </si>
  <si>
    <t>WOS:000352082300020</t>
  </si>
  <si>
    <t>Oppo, DW; Curry, WB; McManus, JF</t>
  </si>
  <si>
    <t>Oppo, Delia W.; Curry, William B.; McManus, Jerry F.</t>
  </si>
  <si>
    <t>What do benthic δ13C and δ18O data tell us about Atlantic circulation during Heinrich Stadial 1?</t>
  </si>
  <si>
    <t>PALEOCEANOGRAPHY</t>
  </si>
  <si>
    <t>Heinrich Stadial 1; deglacial delta C-13 minimum; Atlantic Circulation; benthic delta O-18; benthic delta C-13</t>
  </si>
  <si>
    <t>ANTARCTIC INTERMEDIATE WATER; WESTERN NORTH-ATLANTIC; DEEP-WATER; YOUNGER DRYAS; LAST DEGLACIATION; TROPICAL ATLANTIC; ATMOSPHERIC CO2; THERMOHALINE CIRCULATION; OVERTURNING CIRCULATION; ISOTOPE CONSTRAINTS</t>
  </si>
  <si>
    <t>Approximately synchronous with the onset of Heinrich Stadial 1 (HS1), C-13 decreased throughout most of the upper (similar to 1000-2500m) Atlantic, and at some deeper North Atlantic sites. This early deglacial C-13 decrease has been alternatively attributed to a reduced fraction of high-C-13 North Atlantic Deep Water (NADW) or to a decrease in the NADW C-13 source value. Here we present new benthic O-18 and C-13 records from three relatively shallow (similar to 1450-1650m) subpolar Northeast Atlantic cores. With published data from other cores, these data form a depth transect (similar to 1200-3900m) in the subpolar Northeast Atlantic. We compare Last Glacial Maximum (LGM) and HS1 data from this transect with data from a depth transect of cores from the Brazil Margin. The largest LGM-to-HS1 decreases in both benthic C-13 and O-18 occurred in upper waters containing the highest NADW fraction during the LGM. We show that the C-13 decrease can be explained entirely by a lower NADW C-13 source value, entirely by a decrease in the proportion of NADW relative to Southern Ocean Water, or by a combination of these mechanisms. However, building on insights from model simulations, we hypothesize that reduced ventilation due to a weakened but still active Atlantic Meridional Overturning Circulation also contributed to the low C-13 values in the upper North Atlantic. We suggest that the benthic O-18 gradients above similar to 2300m at both core transects indicate the depth to which heat and North Atlantic deglacial freshwater had mixed into the subsurface ocean by early HS1.</t>
  </si>
  <si>
    <t>[Oppo, Delia W.] Woods Hole Oceanog Inst, Dept Geol &amp; Geophys, Woods Hole, MA 02543 USA; [Curry, William B.] Bermuda Inst Ocean Sci, St Georges, Bermuda; [McManus, Jerry F.] Columbia Univ, Lamont Doherty Earth Observ, Palisades, NY USA</t>
  </si>
  <si>
    <t>Woods Hole Oceanographic Institution; Bermuda Institute of Ocean Sciences; Columbia University</t>
  </si>
  <si>
    <t>Oppo, DW (corresponding author), Woods Hole Oceanog Inst, Dept Geol &amp; Geophys, Woods Hole, MA 02543 USA.</t>
  </si>
  <si>
    <t>doppo@whoi.edu</t>
  </si>
  <si>
    <t>Oppo, Delia/0000-0003-2946-5904; mcmanus, jerry/0000-0002-7365-1600</t>
  </si>
  <si>
    <t>NSF [OCE13-35191, OCE07-50880, OCE05-84911]</t>
  </si>
  <si>
    <t>NSF(National Science Foundation (NSF))</t>
  </si>
  <si>
    <t>Data for the figures are available in the supporting information tables. Supporting data not already available through the World Data Center for Paleoclimatology or Pangaea will be posted at the Center. The work was supported by NSF grants OCE13-35191, OCE07-50880, and OCE05-84911 to the Woods Hole Oceanographic Institution. We thank S. Praetorius, L. Zou, and M. Jeglinski for laboratory assistance; G. Gebbie, D. Lund, O. Marchal, and D. Thornalley for comments on the manuscript and/or discussions; O. Marchal for making Figure S1; D. Lund and A. Schmittner for sharing their unpublished manuscripts; two anonymous reviewers for their insightful reviews; and Chris Charles for his handling of the manuscript.</t>
  </si>
  <si>
    <t>0883-8305</t>
  </si>
  <si>
    <t>1944-9186</t>
  </si>
  <si>
    <t>Paleoceanography</t>
  </si>
  <si>
    <t>10.1002/2014PA002667</t>
  </si>
  <si>
    <t>Geosciences, Multidisciplinary; Oceanography; Paleontology</t>
  </si>
  <si>
    <t>Geology; Oceanography; Paleontology</t>
  </si>
  <si>
    <t>CI1CY</t>
  </si>
  <si>
    <t>WOS:000354479900003</t>
  </si>
  <si>
    <t>Wei, STS; Fernandez-Martinez, MA; Chan, YK; Van Nostrand, JD; de los Rios-Murillo, A; Chiu, JMY; Ganeshram, AM; Cary, SC; Zhou, JZ; Pointing, SB</t>
  </si>
  <si>
    <t>Wei, Sean T. S.; Fernandez-Martinez, Miguel-Angel; Chan, Yuki; Van Nostrand, Joy D.; de los Rios-Murillo, Asuncion; Chiu, Jill M. Y.; Ganeshram, Annapoorna Maitrayee; Cary, S. Craig; Zhou, Jizhong; Pointing, Stephen B.</t>
  </si>
  <si>
    <t>Diverse metabolic and stress-tolerance pathways in chasmoendolithic and soil communities of Miers Valley, McMurdo Dry Valleys, Antarctica</t>
  </si>
  <si>
    <t>Antarctica; Chasmoendolith; Dry Valleys; Geochip; Stress response</t>
  </si>
  <si>
    <t>HYPOLITHIC MICROBIAL COMMUNITIES; COLD DESERTS; CYANOBACTERIA; NITROGEN; HOT; MICROSCOPY; GRANITE; ECOLOGY; CYCLES; ROCKS</t>
  </si>
  <si>
    <t>The majority of biomass in the McMurdo Dry Valleys of Antarctica occurs within rocks and soils, but despite the wealth of biodiversity data very little is known about the potential functionality of communities within these substrates. The putative physiological capacity of microbial communities in granite boulders (chasmoendoliths) and soils of a maritime-influenced Antarctic Dry Valleys were interrogated using the GeoChip microarray. Diversity estimates revealed surprisingly high diversity and evenness in both communities, with Chlorobi and Deinococci in soils accounting for major differences between the substrates. Autotrophs were more diverse in chasmoendoliths, and diazotrophs more diverse in soils. Both substrates revealed a previously unappreciated abundance of Halobacteria (Archaea), Ascomycota (Fungi) and Basidiomycoyta (Fungi). The fungi accounted for much of the differences between substrates in metabolic pathways associated with carbon transformations, particularly for aromatic compounds. Nitrogen fixation genes were more common in soils, although nitrogen catabolism genes were abundant in chasmoendoliths. Stress response pathways were more diverse in chasmoendoliths, possibly reflecting greater environmental stress in this exposed substrate compared with subsurface soils. Overall diversity of stress-tolerance genes was markedly lower than that recorded for inland locations where environmental stress is exacerbated. We postulate that the chasmoendolithic community occupies a key role in biogeochemical transformations in Dry Valley systems where granite substrates are abundant among open soils. The findings indicate that a substantial upward revision to estimates of biologically active surfaces in this system is warranted.</t>
  </si>
  <si>
    <t>[Wei, Sean T. S.; Chan, Yuki; Ganeshram, Annapoorna Maitrayee; Pointing, Stephen B.] Auckland Univ Technol, Inst Appl Ecol New Zealand, Sch Appl Sci, Auckland 1142, New Zealand; [Fernandez-Martinez, Miguel-Angel; de los Rios-Murillo, Asuncion] Ctr Ciencias Medioambientales, Madrid 28006, Spain; [Van Nostrand, Joy D.; Zhou, Jizhong] Univ Oklahoma, Inst Environm Genom, Dept Microbiol &amp; Plant Biol, Norman, OK 73019 USA; [Chiu, Jill M. Y.] Hong Kong Baptist Univ, Dept Biol, Kowloon Tong, Hong Kong, Peoples R China; [Cary, S. Craig; Pointing, Stephen B.] Univ Waikato, Int Ctr Terr Antarctic Res, Hamilton 3240, New Zealand; [Zhou, Jizhong] Univ Calif Berkeley, Lawrence Berkeley Natl Lab, Div Earth Sci, Berkeley, CA 94720 USA; [Zhou, Jizhong] Tsinghua Univ, Sch Environm, State Key Joint Lab Environm Simulat &amp; Pollut Con, Beijing 100084, Peoples R China</t>
  </si>
  <si>
    <t>Consejo Superior de Investigaciones Cientificas (CSIC); CSIC - Centro de Ciencias Medioambientales (CCMA); University of Oklahoma System; University of Oklahoma - Norman; Hong Kong Baptist University; University of Waikato; United States Department of Energy (DOE); Lawrence Berkeley National Laboratory; University of California System; University of California Berkeley; Tsinghua University</t>
  </si>
  <si>
    <t>Pointing, SB (corresponding author), Auckland Univ Technol, Inst Appl Ecol New Zealand, Sch Appl Sci, Private Bag 92006, Auckland 1142, New Zealand.</t>
  </si>
  <si>
    <t>吴, 昊/AAB-1620-2020; Zhou, Jizhong/ACC-8029-2022; de los Rios, Asuncion/L-3694-2014; Chiu, Man Ying/E-9857-2010; Pointing, Stephen/JHT-2500-2023; Wei, Sean Ting-Shyang/JZC-7873-2024; Van Nostrand, Joy/F-1740-2016</t>
  </si>
  <si>
    <t>Zhou, Jizhong/0000-0003-2014-0564; de los Rios, Asuncion/0000-0002-0266-3516; Wei, Sean Ting-Shyang/0000-0003-3783-6429; Chan, Yuki/0000-0002-9570-5462; Fernandez-Martinez, Miguel Angel/0000-0003-1694-7832; Van Nostrand, Joy/0000-0001-9548-6450; Cary, Stephen/0000-0002-2876-2387</t>
  </si>
  <si>
    <t>Institute for Applied Ecology New Zealand; Ecosystems and Networks Integrated with Genes and Molecular Assemblies (ENIGMA) through the US Department of Energy [DE-AC02-05CH11231]; US Department of Energy [DE-SC0004601]; US National Science Foundation [EF-1065844]; U.S. Department of Energy (DOE) [DE-SC0004601] Funding Source: U.S. Department of Energy (DOE); Direct For Biological Sciences; Emerging Frontiers [1065844] Funding Source: National Science Foundation</t>
  </si>
  <si>
    <t>Institute for Applied Ecology New Zealand; Ecosystems and Networks Integrated with Genes and Molecular Assemblies (ENIGMA) through the US Department of Energy; US Department of Energy(United States Department of Energy (DOE)); US National Science Foundation(National Science Foundation (NSF)); U.S. Department of Energy (DOE)(United States Department of Energy (DOE)); Direct For Biological Sciences; Emerging Frontiers(National Science Foundation (NSF)NSF - Directorate for Biological Sciences (BIO))</t>
  </si>
  <si>
    <t>This study was funded by the Institute for Applied Ecology New Zealand. The development of the GeoChip and associated computational pipelines used in this study was supported by Ecosystems and Networks Integrated with Genes and Molecular Assemblies (ENIGMA) through the US Department of Energy (DE-AC02-05CH11231). J. Zhou and J. D. Van Nostrand's efforts were supported by the US Department of Energy (DE-SC0004601) and the US National Science Foundation (EF-1065844). The authors are extremely grateful to Antarctica New Zealand for logistics and field support in Antarctica.</t>
  </si>
  <si>
    <t>10.1007/s00300-014-1598-3</t>
  </si>
  <si>
    <t>WOS:000351179000001</t>
  </si>
  <si>
    <t>Arcalís-Planas, A; Sveegaard, S; Karlsson, O; Harding, KC; Wåhlin, A; Harkonen, T; Teilmann, J</t>
  </si>
  <si>
    <t>Arcalis-Planas, Anna; Sveegaard, Signe; Karlsson, Olle; Harding, Karin C.; Wahlin, Anna; Harkonen, Tero; Teilmann, Jonas</t>
  </si>
  <si>
    <t>Limited use of sea ice by the Ross seal (Ommatophoca rossii), in Amundsen Sea, Antarctica, using telemetry and remote sensing data</t>
  </si>
  <si>
    <t>Ross seals (Ommatophoca rossii); Argos satellite telemetry; Haul out pattern; Amundsen Sea; Ice edge; Remote sensing; Climate change; Sea ice</t>
  </si>
  <si>
    <t>QUEEN-MAUD-LAND; DIVING BEHAVIOR; EAST ANTARCTICA; SHELF; PENINSULA; ACCURACY</t>
  </si>
  <si>
    <t>To understand the use and importance of the Antarctic sea ice to the Ross seal (Ommatophoca rossii), four adult females were tagged with Argos satellite transmitters in the Amundsen Sea, Antarctica. The Ross seal is the least studied of the Antarctic seal species and nothing was previously known about their behaviour in the Amundsen Sea. During almost 1 year, their movements, haul out behaviour and time spent at different temperatures were logged. By comparing their movements with daily ice maps, distances to the ice edge were calculated, and seals dependence on sea ice for resting, breeding and moulting was analysed. The tagged seals spent on average 70.8 % (range 66.8-77.8 %) of their time in the water and hauled out mainly during the moult in December-January, and in late October-mid-November during breeding. During the pelagic period, they were on average 837.5 km (range 587-1,282 km) from the ice edge indicating a fully pelagic life during several months. Their pelagic behaviour suggests that Ross seals, although being an ice obligate species, may adapt comparatively easy to climate change involving ice melting and recession and thereby potentially being less sensitive to the reduction of sea ice than other Antarctic seal species. Although nothing is known about their mating behaviour, they appear to be relatively stationary during moulting and breeding, hence requiring a small ice surface. Although previous studies in other parts of Antarctica have found similar results, still many questions remain about this peculiar species.</t>
  </si>
  <si>
    <t>[Arcalis-Planas, Anna] Univ Barcelona, Dept Biol, E-08028 Barcelona, Spain; [Arcalis-Planas, Anna; Sveegaard, Signe; Teilmann, Jonas] Aarhus Univ, Dept Biosci, DK-4000 Roskilde, Denmark; [Karlsson, Olle; Harkonen, Tero] Swedish Museum Nat Hist, Dept Environm Res &amp; Monitoring, S-10405 Stockholm, Sweden; [Harding, Karin C.] Univ Gothenburg, Dept Biol &amp; Environm Sci, S-40530 Gothenburg, Sweden; [Wahlin, Anna] Univ Gothenburg, Dept Earth Sci, S-40530 Gothenburg, Sweden</t>
  </si>
  <si>
    <t>University of Barcelona; Aarhus University; Swedish Museum of Natural History; University of Gothenburg; University of Gothenburg</t>
  </si>
  <si>
    <t>Teilmann, J (corresponding author), Aarhus Univ, Dept Biosci, Frederiksborgvej 399, DK-4000 Roskilde, Denmark.</t>
  </si>
  <si>
    <t>jte@dmu.dk</t>
  </si>
  <si>
    <t>sveegaard, signe/AAZ-7529-2021; Wåhlin, Anna/U-3790-2017; Teilmann, Jonas/J-7828-2013; Sveegaard, Signe/JAX-1814-2023; Harding, Karin C/F-9957-2013; Sveegaard, Signe/K-2938-2013</t>
  </si>
  <si>
    <t>Wåhlin, Anna/0000-0003-1799-6476; Teilmann, Jonas/0000-0002-4376-4700; Sveegaard, Signe/0000-0002-8893-9842; Harding, Karin/0000-0003-1527-0903</t>
  </si>
  <si>
    <t>Swedish Research Council</t>
  </si>
  <si>
    <t>Swedish Research Council(Swedish Research Council)</t>
  </si>
  <si>
    <t>We like to thank the very skillful crew on board the Swedish icebreaker Oden and especially the helicopter crew Sven Stenvall and Nils Eriksson. Also a special thanks to those who helped during tagging and Brent Stewart for expert advice and enthusiasm. All animal handling protocols were authorized under the permit issued by the Swedish Polar Research Secretariat (Dnr 2010-112). Logistic support was provided by the Swedish Polar Research Secretariat and financial support by the Swedish Research Council granted to Tero Harkonen and Karin Harding, for which we are grateful.</t>
  </si>
  <si>
    <t>10.1007/s00300-014-1602-y</t>
  </si>
  <si>
    <t>WOS:000351179000002</t>
  </si>
  <si>
    <t>Stone, P</t>
  </si>
  <si>
    <t>Stone, Philip</t>
  </si>
  <si>
    <t>Geological exploration of South Atlantic islands and its contributions to the continental drift debate of the early 20th century</t>
  </si>
  <si>
    <t>PROCEEDINGS OF THE GEOLOGISTS ASSOCIATION</t>
  </si>
  <si>
    <t>South Atlantic Ocean; Scotia Arc; Falkland Islands; South Georgia; Gondwana; Continental drift</t>
  </si>
  <si>
    <t>FALKLAND-ISLANDS; ANTARCTIC PENINSULA; EVOLUTION; REGION</t>
  </si>
  <si>
    <t>The geological character of the South Atlantic islands was only slowly established during the first half of the 20th century. That same period was marked by a generally dismissive view of continental drift but, as the continental nature of the islands became apparent, their 'oceanic' setting was utilised by both sides of the 'drift' debate to support their respective positions. So islands such as the Falklands archipelago and South Georgia were cited either as fragments detached from larger continental bodies during drift, or as the last surviving vestiges of a huge continental landmass that had subsided beneath the water of the South Atlantic. The appreciation of the Scotia Arc as a dynamic geological construct arising from lateral tectonics, and the Falkland Islands as representative of an itinerant continental fragment, were features of some early accounts of the region, but such ideas were generally discounted by the geological establishment of the day. This paper reviews the early, pioneering contributions to the geological understanding of the Falkland Islands, South Georgia and the Scotia Arc region, assessing their contemporary reception and tracing their influence on the developing continental drift controversy. Though commonly dismissed or ignored at the time, many of the 'pro-drift' ideas expressed were subsequently rediscovered by proponents of plate tectonics as that revolution swept through geology in the late 1960s. (C) 2015 Published by Elsevier Ltd on behalf of The Geologists' Association.</t>
  </si>
  <si>
    <t>British Geol Survey, Edinburgh EH9 3LA, Midlothian, Scotland</t>
  </si>
  <si>
    <t>Stone, P (corresponding author), British Geol Survey, Murchison House,West Mains Rd, Edinburgh EH9 3LA, Midlothian, Scotland.</t>
  </si>
  <si>
    <t>psto@bgs.ac.uk</t>
  </si>
  <si>
    <t>Natural Environment Research Council [bgs05001] Funding Source: researchfish; NERC [bgs05001] Funding Source: UKRI</t>
  </si>
  <si>
    <t>0016-7878</t>
  </si>
  <si>
    <t>P GEOLOGIST ASSOC</t>
  </si>
  <si>
    <t>Proc. Geol. Assoc.</t>
  </si>
  <si>
    <t>10.1016/j.pgeola.2015.01.001</t>
  </si>
  <si>
    <t>Geology; Paleontology</t>
  </si>
  <si>
    <t>CI8OE</t>
  </si>
  <si>
    <t>WOS:000355030800011</t>
  </si>
  <si>
    <t>Elvidge, AD; Renfrew, IA; King, JC; Orr, A; Lachlan-Cope, TA; Weeks, M; Gray, SL</t>
  </si>
  <si>
    <t>Elvidge, Andrew D.; Renfrew, Ian A.; King, John C.; Orr, Andrew; Lachlan-Cope, Tom A.; Weeks, Mark; Gray, Sue L.</t>
  </si>
  <si>
    <t>Foehn jets over the Larsen C Ice Shelf, Antarctica</t>
  </si>
  <si>
    <t>QUARTERLY JOURNAL OF THE ROYAL METEOROLOGICAL SOCIETY</t>
  </si>
  <si>
    <t>foehn; Antarctic Peninsula; Larsen Ice Shelf; gap flows; orographic jets; Met Office Unified Model</t>
  </si>
  <si>
    <t>PENINSULA SUMMER TEMPERATURES; HEMISPHERE ANNULAR MODE; NUMERICAL SIMULATIONS; BOUNDARY-LAYER; GAP FLOWS; AIR-FLOW; PART I; WINDS; MOUNTAINS; CLIMATE</t>
  </si>
  <si>
    <t>Previously unknown foehn jets have been identified to the east of the Antarctic Peninsula (AP) above the Larsen C Ice Shelf. These jets have major implications for the east coast of the AP, a region of rapid climatic warming and where two large sections of ice shelf have collapsed in recent years. During three foehn events across the AP, leeside warming and drying is seen in new aircraft observations and simulated well by the Met Office Unified Model (MetUM) at approximate to 1.5 km grid spacing. In case A, weak southwesterly flow and an elevated upwind inversion characterise a highly nonlinear flow regime with upwind flow blocking. In case C strong northwesterly winds characterise a relatively linear case with little upwind flow blocking. Case B resides somewhere between the two in flow regime linearity. The foehn jets - apparent in aircraft observations where available and MetUM simulations of all three cases - are mesoscale features (up to 60 km in width) originating from the mouths of leeside inlets. Through back trajectory analysis they are identified as a type of gap flow. In cases A and B the jets are distinct, being strongly accelerated relative to the background flow, and confined to low levels above the Larsen C Ice Shelf. They resemble the shallow foehn' of the Alps. Case C resembles a case of deep foehn', with the jets less distinct. The foehn jets are considerably cooler and moister relative to adjacent regions of calmer foehn air. This is due to a dampened foehn effect in the jet regions: in case A the jets have lower upwind source regions, and in the more linear case C there is less diabatic warming and precipitation along jet trajectories due to the reduced orographic uplift across the mountain passes.</t>
  </si>
  <si>
    <t>[Elvidge, Andrew D.; Renfrew, Ian A.] Univ E Anglia, Sch Environm Sci, Norwich NR4 7TJ, Norfolk, England; [King, John C.; Orr, Andrew; Lachlan-Cope, Tom A.] British Antarctic Survey, Cambridge CB3 0ET, England; [Weeks, Mark] Met Off, Exeter, Devon, England; [Gray, Sue L.] Univ Reading, Dept Meteorol, Reading RG6 2AH, Berks, England</t>
  </si>
  <si>
    <t>University of East Anglia; UK Research &amp; Innovation (UKRI); Natural Environment Research Council (NERC); NERC British Antarctic Survey; Met Office - UK; University of Reading</t>
  </si>
  <si>
    <t>Elvidge, AD (corresponding author), Univ E Anglia, Sch Environm Sci, Ctr Ocean &amp; Atmospher Sci, Norwich NR4 7TJ, Norfolk, England.</t>
  </si>
  <si>
    <t>a.elvidge@uea.ac.uk</t>
  </si>
  <si>
    <t>Renfrew, Ian A/E-4057-2010; Gray, Suzanne/J-6485-2016</t>
  </si>
  <si>
    <t>Renfrew, Ian/0000-0001-9379-8215; Elvidge, Andrew/0000-0002-7099-902X; Gray, Suzanne/0000-0001-8658-362X</t>
  </si>
  <si>
    <t>NERC [NE/G014124/1]; NERC [NE/G013578/1, NE/G014124/1] Funding Source: UKRI; Natural Environment Research Council [NE/G013578/1, NE/G014124/1] Funding Source: researchfish</t>
  </si>
  <si>
    <t>This article was made possible by funding provided by NERC under the project grant NE/G014124/1. All members of the OFCAP project, the Field Operations team and others at Rothera Research Station are acknowledged for valuable contributions towards the planning, technical and practical aspects of the observational data capture during the field campaign, and subsequent quality control and processing of data. We thank the NCAS team at the University of Reading, S. Webster and S. Vosper for advice and assistance with the running of the MetUM, and T. Phillips for providing the orography data. We acknowledge use of the MONSooN system, a collaborative facility supplied under the Joint Weather and Climate Research Programme, which is a strategic partnership between the Met Office and the Natural Environment Research Council. A. Ross and A. Matthews provided useful discussion and comments during the first author's PhD Viva. Technical assistance with the running of Lagranto was provided by M. Sprenger.</t>
  </si>
  <si>
    <t>0035-9009</t>
  </si>
  <si>
    <t>1477-870X</t>
  </si>
  <si>
    <t>Q J ROY METEOR SOC</t>
  </si>
  <si>
    <t>Q. J. R. Meteorol. Soc.</t>
  </si>
  <si>
    <t>A</t>
  </si>
  <si>
    <t>10.1002/qj.2382</t>
  </si>
  <si>
    <t>CG6LO</t>
  </si>
  <si>
    <t>WOS:000353412600003</t>
  </si>
  <si>
    <t>Lim, S; Choi, JI; Park, H</t>
  </si>
  <si>
    <t>Lim, Sangyong; Choi, Jong-il; Park, Hyun</t>
  </si>
  <si>
    <t>Antioxidant activities of fucoidan degraded by gamma irradiation and acidic hydrolysis</t>
  </si>
  <si>
    <t>RADIATION PHYSICS AND CHEMISTRY</t>
  </si>
  <si>
    <t>Fucoidan; Gamma irradiation; Antioxidant; Acid hydrolysis</t>
  </si>
  <si>
    <t>MOLECULAR-WEIGHT FUCOIDAN; SULFATED POLYSACCHARIDES; BIOLOGICAL-ACTIVITIES; ANTICANCER ACTIVITY; RAY IRRADIATION; DEGRADATION; SEAWEEDS; BROWN</t>
  </si>
  <si>
    <t>Low molecular weight fucoidan, prepared by radical degradation using gamma ray was investigated for its antioxidant activities with different assay methods. As the molecular weight of fucoidan decreased with a higher absorbed dose, ferric-reducing antioxidant power values increased, but beta-carotene bleaching inhibition did not change significantly. The antioxidant activity of acid-degraded fucoidan was also examined to investigate the effect of different degradation methods. At the same molecular weight, fucoidan degraded by gamma irradiation showed higher 1,1-diphenyl-2-picrylhydrazyl radical scavenging activity than that observed with the acidic method. This result reveals that in addition to molecular weight, the degradation method affects the antioxidant activity of fucoidan. (C) 2014 Elsevier Ltd. All rights reserved.</t>
  </si>
  <si>
    <t>[Lim, Sangyong] Korea Atom Energy Res Inst, Adv Radiat Technol Inst, Jeongeup 580185, South Korea; [Choi, Jong-il] Chonnam Natl Univ, Dept Biotechnol &amp; Bioengn, Kwangju 500757, South Korea; [Park, Hyun] Korea Polar Res Inst, Inchon 406840, South Korea</t>
  </si>
  <si>
    <t>Korea Atomic Energy Research Institute (KAERI); Chonnam National University; Korea Polar Research Institute (KOPRI); Korea Institute of Ocean Science &amp; Technology (KIOST)</t>
  </si>
  <si>
    <t>Choi, JI (corresponding author), Chonnam Natl Univ, Dept Biotechnol &amp; Bioengn, Kwangju 500757, South Korea.</t>
  </si>
  <si>
    <t>choiji01@jnu.ac.kr</t>
  </si>
  <si>
    <t>Choi, Jong-Il/P-7476-2018</t>
  </si>
  <si>
    <t>Golden Seed Project, Ministry of Oceans and Fisheries [213004-04-2-SBA30]; Nuclear R&amp;D program of the Ministry of Science, ICT &amp; Future Planning; Chonnam National University; Antarctic organisms: Cold-Adaptation Mechanisms and its application grant - Korea Polar Research Institute [PE14070]</t>
  </si>
  <si>
    <t>Golden Seed Project, Ministry of Oceans and Fisheries; Nuclear R&amp;D program of the Ministry of Science, ICT &amp; Future Planning; Chonnam National University; Antarctic organisms: Cold-Adaptation Mechanisms and its application grant - Korea Polar Research Institute</t>
  </si>
  <si>
    <t>This research was supported by Golden Seed Project, Ministry of Oceans and Fisheries (213004-04-2-SBA30), by the Nuclear R&amp;D program of the Ministry of Science, ICT &amp; Future Planning, by the research supporting program by Chonnam National University 2013, and by the Antarctic organisms: Cold-Adaptation Mechanisms and its application grant (PE14070) funded by the Korea Polar Research Institute.</t>
  </si>
  <si>
    <t>0969-806X</t>
  </si>
  <si>
    <t>RADIAT PHYS CHEM</t>
  </si>
  <si>
    <t>Radiat. Phys. Chem.</t>
  </si>
  <si>
    <t>10.1016/j.radphyschem.2014.12.008</t>
  </si>
  <si>
    <t>Chemistry, Physical; Nuclear Science &amp; Technology; Physics, Atomic, Molecular &amp; Chemical</t>
  </si>
  <si>
    <t>Chemistry; Nuclear Science &amp; Technology; Physics</t>
  </si>
  <si>
    <t>CB4CI</t>
  </si>
  <si>
    <t>WOS:000349575400005</t>
  </si>
  <si>
    <t>Lim-Camacho, L; Hobday, AJ; Bustamante, RH; Farmery, A; Fleming, A; Frusher, S; Green, BS; Norman-López, A; Pecl, GT; Plaganyi, ÉE; Schrobback, P; Thebaud, O; Thomas, L; van Putten, I</t>
  </si>
  <si>
    <t>Lim-Camacho, Lilly; Hobday, Alistair J.; Bustamante, Rodrigo H.; Farmery, Anna; Fleming, Aysha; Frusher, Stewart; Green, Bridget S.; Norman-Lopez, Ana; Pecl, Gretta T.; Plaganyi, Eva E.; Schrobback, Peggy; Thebaud, Olivier; Thomas, Linda; van Putten, Ingrid</t>
  </si>
  <si>
    <t>Facing the wave of change: stakeholder perspectives on climate adaptation for Australian seafood supply chains</t>
  </si>
  <si>
    <t>REGIONAL ENVIRONMENTAL CHANGE</t>
  </si>
  <si>
    <t>Adaptation planning; Climate scenarios; Perception analysis; Sustainability</t>
  </si>
  <si>
    <t>FISHERIES MANAGEMENT; MARINE; IMPACTS; COMMUNICATION; VULNERABILITY</t>
  </si>
  <si>
    <t>Climate change is one of the most important issues confronting the sustainable supply of seafood, with projections suggesting major effects on wild and farmed fisheries worldwide. While climate change has been a consideration for Australian fisheries and aquaculture management, emphasis in both research and adaptation effort has been at the production end of supply chains-impacts further along the chain have been overlooked to date. A holistic biophysical and socio-economic system view of seafood industries, as represented by end-to-end supply chains, may lead to an additional set of options in the face of climate change, thus maximizing opportunities for improved fishery profitability, while also reducing the potential for maladaptation. In this paper, we explore Australian seafood industry stakeholder perspectives on potential options for adaptation along seafood supply chains based on future potential scenarios. Stakeholders, representing wild capture and aquaculture industries, provided a range of actions targeting different stages of the supply chain. Overall, proposed strategies were predominantly related to the production end of the supply chain, suggesting that greater attention in developing adaptation options is needed at post-production stages. However, there are chain-wide adaptation strategies that can present win-win scenarios, where commercial objectives beyond adaptation can also be addressed alongside direct or indirect impacts of climate. Likewise, certain adaptation strategies in place at one stage of the chain may have varying implications on other stages of the chain. These findings represent an important step in understanding the role of supply chains in effective adaptation of fisheries and aquaculture industries to climate change.</t>
  </si>
  <si>
    <t>[Lim-Camacho, Lilly] Climate Adaptat Flagship, Pullenvale, Qld 4069, Australia; [Hobday, Alistair J.; Fleming, Aysha; van Putten, Ingrid] CSIRO Marine &amp; Atmospher Res, Climate Adaptat Flagship, Castray Esplanade, Hobart, Tas 7001, Australia; [Bustamante, Rodrigo H.; Norman-Lopez, Ana; Plaganyi, Eva E.; Thebaud, Olivier; Thomas, Linda] CSIRO Marine &amp; Atmospher Res, Climate Adaptat Flagship, Brisbane, Qld 4001, Australia; [Farmery, Anna; Frusher, Stewart; Green, Bridget S.; Pecl, Gretta T.] Univ Tasmania, Inst Marine &amp; Antarctic Studies, Hobart, Tas 7001, Australia; [Schrobback, Peggy] Queensland Univ Technol, Brisbane, Qld 4001, Australia</t>
  </si>
  <si>
    <t>Commonwealth Scientific &amp; Industrial Research Organisation (CSIRO); Commonwealth Scientific &amp; Industrial Research Organisation (CSIRO); Commonwealth Scientific &amp; Industrial Research Organisation (CSIRO); University of Tasmania; Queensland University of Technology (QUT)</t>
  </si>
  <si>
    <t>Lim-Camacho, L (corresponding author), Climate Adaptat Flagship, 1 Technol Court, Pullenvale, Qld 4069, Australia.</t>
  </si>
  <si>
    <t>lilly.lim-camacho@csiro.au</t>
  </si>
  <si>
    <t>Schrobback, Peggy/X-4697-2019; Fleming, Aysha/E-8753-2011; Lim-Camacho, Lilly/A-7502-2015; Farmery, Anna/H-9696-2014; Plaganyi, Eva E/C-5130-2011; Pecl, Gretta/D-7267-2011; Green, Bridget S/G-3368-2014; van putten, ingrid/AAV-1301-2021; Thebaud, Olivier/D-9792-2011; Thomas, Linda/Q-2521-2018; Hobday, Alistair/A-1460-2012; Frusher, Stewart/G-5117-2014</t>
  </si>
  <si>
    <t>Schrobback, Peggy/0000-0003-0526-1659; Fleming, Aysha/0000-0001-9895-1928; Lim-Camacho, Lilly/0000-0002-4897-1186; Farmery, Anna/0000-0002-8938-0040; Plaganyi, Eva E/0000-0002-4740-4200; Pecl, Gretta/0000-0003-0192-4339; van putten, ingrid/0000-0001-8397-9768; Thebaud, Olivier/0000-0001-8665-3827; Thomas, Linda/0000-0001-8989-8109; Frusher, Stewart/0000-0003-2493-3676</t>
  </si>
  <si>
    <t>FRDC-DCCEE on behalf of the Australian Government [FRDC 2012/233]</t>
  </si>
  <si>
    <t>FRDC-DCCEE on behalf of the Australian Government(Fisheries R&amp;D Corp)</t>
  </si>
  <si>
    <t>This research was part of the 'Growth opportunities and critical elements in the value chain for wild fisheries and aquaculture in a changing climate (FRDC 2012/233)' which was supported by funding from the FRDC-DCCEE on behalf of the Australian Government. We are grateful to all the stakeholders who provided information on supply chains.</t>
  </si>
  <si>
    <t>1436-3798</t>
  </si>
  <si>
    <t>1436-378X</t>
  </si>
  <si>
    <t>REG ENVIRON CHANGE</t>
  </si>
  <si>
    <t>Reg. Envir. Chang.</t>
  </si>
  <si>
    <t>10.1007/s10113-014-0670-4</t>
  </si>
  <si>
    <t>Environmental Sciences; Environmental Studies</t>
  </si>
  <si>
    <t>CD8VK</t>
  </si>
  <si>
    <t>WOS:000351374300003</t>
  </si>
  <si>
    <t>Marx, FG; Fordyce, RE</t>
  </si>
  <si>
    <t>Marx, Felix G.; Fordyce, R. Ewan</t>
  </si>
  <si>
    <t>Baleen boom and bust: a synthesis of mysticete phylogeny, diversity and disparity</t>
  </si>
  <si>
    <t>Mysticeti; baleen whales; phylogenetics; diversity; disparity; evolutionary rates</t>
  </si>
  <si>
    <t>TOOTHED MYSTICETE; SOUTHERN-OCEAN; MIDDLE EOCENE; MORPHOLOGICAL EVOLUTION; IRON FERTILIZATION; CETACEA MYSTICETI; EOCETUS-WARDII; TERMINAL TAXA; WHALE; MAMMALIA</t>
  </si>
  <si>
    <t>A new, fully dated total-evidence phylogeny of baleen whales (Mysticeti) shows that evolutionary phases correlate strongly with Caenozoic modernization of the oceans and climates, implying a major role for bottom-up physical drivers. The phylogeny of 90 modern and dated fossil species suggests three major phases in baleen whale history: an early adaptive radiation (36-30 Ma), a shift towards bulk filter-feeding (30-23 Ma) and a climate-driven diversity loss around 3 Ma. Evolutionary rates and disparity were high following the origin of mysticetes around 38 Ma, coincident with global cooling, abrupt Southern Ocean eutrophication and the development of the Antarctic Circumpolar Current (ACC). Subsequently, evolutionary rates and disparity fell, becoming nearly constant after approximately 23Ma as the ACC reached its full strength. By contrast, species diversity rose until 15Ma and then remained stable, before dropping sharply with the onset of Northern Hemisphere glaciation. This decline coincided with the final establishment of modern mysticete gigantism and may be linked to glacially driven variability in the distribution of shallow habitats or an increased need for long-distance migration related to iron-mediated changes in glacial marine productivity.</t>
  </si>
  <si>
    <t>[Marx, Felix G.; Fordyce, R. Ewan] Univ Otago, Dept Geol, Dunedin 9054, New Zealand; [Marx, Felix G.] Natl Museum Nat &amp; Sci, Dept Geol &amp; Palaeontol, Tsukuba, Ibaraki 3050005, Japan</t>
  </si>
  <si>
    <t>University of Otago; National Museum of Nature and Science</t>
  </si>
  <si>
    <t>Marx, FG (corresponding author), Univ Otago, Dept Geol, Dunedin 9054, New Zealand.</t>
  </si>
  <si>
    <t>felix.marx@otago.ac.nz</t>
  </si>
  <si>
    <t>Marx, Felix Georg/AAI-3480-2021</t>
  </si>
  <si>
    <t>Marx, Felix Georg/0000-0002-1029-4001</t>
  </si>
  <si>
    <t>University of Otago Doctoral Scholarship; Japan Society for the Promotion of Science Postdoctoral Fellowship; Geoscience Society of New Zealand; Scottish Association for Marine Science; Systematic Association/Linnean Society of London; Paleontological Society; Grants-in-Aid for Scientific Research [13F03503] Funding Source: KAKEN</t>
  </si>
  <si>
    <t>University of Otago Doctoral Scholarship; Japan Society for the Promotion of Science Postdoctoral Fellowship(Ministry of Education, Culture, Sports, Science and Technology, Japan (MEXT)Japan Society for the Promotion of Science); Geoscience Society of New Zealand; Scottish Association for Marine Science; Systematic Association/Linnean Society of London; Paleontological Society; Grants-in-Aid for Scientific Research(Ministry of Education, Culture, Sports, Science and Technology, Japan (MEXT)Japan Society for the Promotion of ScienceGrants-in-Aid for Scientific Research (KAKENHI))</t>
  </si>
  <si>
    <t>F.G.M. was supported by a University of Otago Doctoral Scholarship, a Japan Society for the Promotion of Science Postdoctoral Fellowship for Foreign Researchers and research grants from the Geoscience Society of New Zealand, the Scottish Association for Marine Science, The Systematic Association/Linnean Society of London and the Paleontological Society.</t>
  </si>
  <si>
    <t>10.1098/rsos.140434</t>
  </si>
  <si>
    <t>DO7LZ</t>
  </si>
  <si>
    <t>WOS:000377965400012</t>
  </si>
  <si>
    <t>Atulkar, R; Khan, PA; Jeevakhan, H; Purohit, PK</t>
  </si>
  <si>
    <t>Atulkar, Roshni; Khan, Parvaiz A.; Jeevakhan, Hussain; Purohit, P. K.</t>
  </si>
  <si>
    <t>Ionospheric response to annular and partial solar eclipse of 29 April 2014 in Antarctica and Australian Regions</t>
  </si>
  <si>
    <t>RUSSIAN JOURNAL OF EARTH SCIENCES</t>
  </si>
  <si>
    <t>Annular solar eclipse; ionospheric parameters; sporadic E; critical frequency</t>
  </si>
  <si>
    <t>An annular and partial solar eclipse was observed on 29 April 2014 over Australian and Antarctic regions. In this study we have analyzed the ionospheric response of this solar eclipse event. We have done a comprehensive study to find out the changes that occurred in various ionospheric parameters during the solar eclipse event over Australia and Antarctic region. We selected four Australian stations Brisbane (27.5 degrees S, 152.9 degrees E), Canberra (35.3 degrees S, 149.1 degrees E), Hobart (42.9 degrees S, 147.3 degrees E) and Perth (31.955 degrees S, 115.859 degrees E) as well as one Antarctic station Mawson (70.6455 degrees S, 131.2573 degrees E). We have studied the changes in the E and F ionospheric layers using the ground based observations at these stations. From our analysis we found that there occurred a decrease in the critical frequencies of sporadic E (f(o)E(s)) and F (f(o)F2) layers during the time eclipse was in progress at all the four Australian stations while as at Antarctic the value of f(o)F2 recorded an enhancement. At the same time an increase in the corresponding heights of these layers ( h'E-s, h'F-2) was also observed.</t>
  </si>
  <si>
    <t>[Atulkar, Roshni; Khan, Parvaiz A.; Jeevakhan, Hussain; Purohit, P. K.] Natl Inst Tech Teachers Training &amp; Res, Bhopal 462002, MP, India</t>
  </si>
  <si>
    <t>National Institute of Technical Teachers Training &amp; Research, Bhopal</t>
  </si>
  <si>
    <t>Atulkar, R (corresponding author), Natl Inst Tech Teachers Training &amp; Res, Bhopal 462002, MP, India.</t>
  </si>
  <si>
    <t>purohit-pk2004@yahoo.com</t>
  </si>
  <si>
    <t>Jeevakhan, Hussain/AAA-7185-2021</t>
  </si>
  <si>
    <t>Jeevakhan, Hussain/0000-0001-7121-3087</t>
  </si>
  <si>
    <t>National Institute of Technical Teachers' Training and Research, Bhopal (MP), India</t>
  </si>
  <si>
    <t>The author (RA) would like to thank National Institute of Technical Teachers' Training and Research, Bhopal (MP), India for MHRD fellowship, National Geophysical Data Center's (NGDC), Space Physics Interactive Data Resource (SPIDR) website at http://spidr.ngdc.noaa.gov/spidr/,National Aeronautics and space Administration (NASA) eclipse service (http://eclipse.gsfc.nasa.gov/eclipse.html), and Omni Data centre website http://omniweb.gsfc.nasa.gov, for providing data.</t>
  </si>
  <si>
    <t>GEOPHYSICAL CENTER RAS</t>
  </si>
  <si>
    <t>MOLODEZHNAYA ST 3, MOSCOW, 119296, RUSSIA</t>
  </si>
  <si>
    <t>1681-1208</t>
  </si>
  <si>
    <t>RUSS J EARTH SCI</t>
  </si>
  <si>
    <t>Russ. J. Earth Sci.</t>
  </si>
  <si>
    <t>ES200</t>
  </si>
  <si>
    <t>10.2205/2015ES000549</t>
  </si>
  <si>
    <t>V7C2Y</t>
  </si>
  <si>
    <t>WOS:000420829100002</t>
  </si>
  <si>
    <t>Morozov, EG; Kolokolova, AV</t>
  </si>
  <si>
    <t>Morozov, E. G.; Kolokolova, A. V.</t>
  </si>
  <si>
    <t>Physical and chemical properties of seawater over the slopes of the northern part of the Mid-Atlantic Ridge</t>
  </si>
  <si>
    <t>Mid Atlantic Ridge; abyssal fracture zones; Antarctic Bottom Water; seawater properties; distribution of nutrients</t>
  </si>
  <si>
    <t>We analyze physical and chemical properties of seawater east and west of the Mid-Atlantic Ridge in the tropical North Atlantic based on the historical data and our measurements in 2014. Concentration of nutrients in the bottom layer east of the ridge is smaller than west of the ridge because Antarctic Bottom Water propagated to the East Atlantic through abyssal fractures in the ridge and mixes with the overlying waters in the course of its propagations. We found a local temperature increase near the bottom in the rift zone of the Mid-Atlantic Ridge along 16 degrees 39 N, which can be related to hydrothermal activity in the region.</t>
  </si>
  <si>
    <t>[Morozov, E. G.; Kolokolova, A. V.] Russian Acad Sci, Shirshov Inst Oceanol, Moscow, Russia</t>
  </si>
  <si>
    <t>Morozov, EG (corresponding author), Russian Acad Sci, Shirshov Inst Oceanol, Moscow, Russia.</t>
  </si>
  <si>
    <t>egmorozov@mail.ru</t>
  </si>
  <si>
    <t>Morozov, Eugene G/L-3023-2018</t>
  </si>
  <si>
    <t>Morozov, Eugene/0000-0002-0251-3454</t>
  </si>
  <si>
    <t>Russian Academy of Science; Russian Foundation for Basic Research; Russian Science Foundation [14-50-00095]; Russian Science Foundation [14-50-00095] Funding Source: Russian Science Foundation</t>
  </si>
  <si>
    <t>Russian Academy of Science(Russian Academy of Sciences); Russian Foundation for Basic Research(Russian Foundation for Basic Research (RFBR)Spanish Government); Russian Science Foundation(Russian Science Foundation (RSF)); Russian Science Foundation(Russian Science Foundation (RSF))</t>
  </si>
  <si>
    <t>The expedition of R/V Akademik Sergey Vavilov was supported by the grants of the Russian Academy of Sciences and Russian Foundation for Basic Research. The analysis was supported by grant 14-50-00095 of the Russian Science Foundation.</t>
  </si>
  <si>
    <t>ES2001</t>
  </si>
  <si>
    <t>10.2205/2015ES000548</t>
  </si>
  <si>
    <t>WOS:000420829100001</t>
  </si>
  <si>
    <t>Payne, CR</t>
  </si>
  <si>
    <t>Payne, Cymie R.</t>
  </si>
  <si>
    <t>ICJ Halts Antarctic Whaling - Japan Starts Again</t>
  </si>
  <si>
    <t>TRANSNATIONAL ENVIRONMENTAL LAW</t>
  </si>
  <si>
    <t>Whaling; International Court of Justice (ICJ); Global Commons; Science fact finding (law)</t>
  </si>
  <si>
    <t>The International Court of Justice (ICJ) judgment in Whaling in the Antarctic, a dispute brought by Australia against Japan, found that Japan had violated the International Convention for the Regulation of Whaling (ICRW) moratoria on all commercial whaling and the use of factory ships to process whales, and also the prohibition on whaling in the Southern Ocean Sanctuary. In the course of analyzing whether special permits issued by Japan qualified for the scientific whaling exemption under Article VIII ICRW, the Court benefited from a more robust scientific fact-finding process than at times in the past. The judgment emphasized the mutual obligations of this multilateral agreement by taking the view that the provisions of the ICRW's scientific whaling exemptions are neither self-judging nor subject to a 'margin of appreciation' in favour of a state party claiming the exemption. The case was driven by conflicting attitudes towards commercial whaling, and also towards global common spaces. The ICJ's decision and Japan's response indicate the limits of the ICRW in resolving those differences.</t>
  </si>
  <si>
    <t>[Payne, Cymie R.] Rutgers State Univ, Dept Human Ecol, New Brunswick, NJ 08903 USA; [Payne, Cymie R.] Camden Law Sch, Camden, NJ USA</t>
  </si>
  <si>
    <t>Rutgers University System; Rutgers University New Brunswick</t>
  </si>
  <si>
    <t>Payne, CR (corresponding author), Rutgers State Univ, Dept Human Ecol, New Brunswick, NJ 08903 USA.</t>
  </si>
  <si>
    <t>cp@cymiepayne.org</t>
  </si>
  <si>
    <t>Payne, Cymie/0000-0003-2928-496X</t>
  </si>
  <si>
    <t>2047-1025</t>
  </si>
  <si>
    <t>2047-1033</t>
  </si>
  <si>
    <t>TRANSNATL ENVIRON LA</t>
  </si>
  <si>
    <t>Transnatl. Environ. Law</t>
  </si>
  <si>
    <t>10.1017/S2047102515000035</t>
  </si>
  <si>
    <t>Environmental Studies; Law</t>
  </si>
  <si>
    <t>Environmental Sciences &amp; Ecology; Government &amp; Law</t>
  </si>
  <si>
    <t>CF7CK</t>
  </si>
  <si>
    <t>WOS:000352713500008</t>
  </si>
  <si>
    <t>Bonnet, JY; Quirico, E; Buch, A; Thissen, R; Szopa, C; Carrasco, N; Cernogora, G; Fray, N; Cottin, H; Le Roy, L; Montagnac, G; Dartois, E; Brunetto, R; Engrand, C; Duprat, J</t>
  </si>
  <si>
    <t>Bonnet, Jean-Yves; Quirico, Eric; Buch, Arnaud; Thissen, Roland; Szopa, Cyril; Carrasco, Nathalie; Cernogora, Guy; Fray, Nicolas; Cottin, Herve; Le Roy, Lena; Montagnac, Gilles; Dartois, Emmanuel; Brunetto, Rosario; Engrand, Cecile; Duprat, Jean</t>
  </si>
  <si>
    <t>Formation of analogs of cometary nitrogen-rich refractory organics from thermal degradation of tholin and HCN polymer</t>
  </si>
  <si>
    <t>Cosmochemistry; Organic chemistry; Solar Nebula; Comets; Interplanetary dust</t>
  </si>
  <si>
    <t>INTERPLANETARY DUST PARTICLES; TITANS THOLINS; SOLAR-SYSTEM; ANTARCTIC MICROMETEORITES; PRIMITIVE METEORITES; AMORPHOUS-CARBON; RAMAN-SPECTRA; ORIGIN; MATTER; SPECTROSCOPY</t>
  </si>
  <si>
    <t>Nitrogen-rich refractory organics are scarce phases recovered as a fraction of stratospheric IDPs and constitute the bulk of the organic matter of some ultracarbonaceous Antarctic micrometeorites. They are likely formed under very specific conditions within a nitrogen-rich environment and may provide valuable clues on the origin of the population of interplanetary dusts accreted by Earth. In this study, we produced relevant analogs of such refractory organics characterized in three ultracarbonaceous Antarctic micrometeorites, starting from the carbonization of an HCN polymer and a tholin. Indeed, carbonization is a process that can increase the polyaromatic character toward a structure similar to that observed in these cosmomaterials. Both these precursors were degraded in an Ar atmosphere at 300, 500, 700 and 1000 degrees C over similar to 1h and characterized by elemental analysis, micro-FTIR and Raman micro-spectroscopy (at 244 and 514 nm excitation wavelengths). Our results show that the precursors evolve along distinct chemical and structural pathways during carbonization and that the influence of the precursor structure is still very strong at 1000 degrees C. Interestingly, these different carbonization routes appear in the spectral characteristics of the G and D bands of their Raman spectra. Several of the residues present chemical and structural similarities with three recently studied ultracarbonaceous micrometeorites (Dobrica et al. [2011]. Meteorit. Planet. Sci. 46, 1363; Dartois et al. [2013]. Icarus 224, 243) and with N-rich inclusions in stratospheric IDPs. However, the residues do not simultaneously account for the carbon structure (Raman) and the chemical composition (IR, N/C ratio). This indicates that the precursors and/or heating conditions in our experiments are not fully relevant. Despite this lack of full relevancy, the formation of a polyaromatic structure fairly similar to that of UCAMMs and IDPs suggests that the origin of N-rich refractory organics lies in a thermal process in the proto-solar disk, however radiolysis cannot be excluded. Crown Copyright (C) 2014 Published by Elsevier Inc. All rights reserved.</t>
  </si>
  <si>
    <t>[Bonnet, Jean-Yves; Quirico, Eric; Thissen, Roland] Univ Grenoble Alpes, IPAG, F-38000 Grenoble, France; [Bonnet, Jean-Yves; Quirico, Eric; Thissen, Roland] CNRS, IPAG, F-38000 Grenoble, France; [Buch, Arnaud] Ecole Cent Paris, Chatenay Malabty, France; [Szopa, Cyril; Carrasco, Nathalie; Cernogora, Guy] Univ Paris 06, Sorbonne Univ, Univ Versailles St Quentin, Paris, France; [Szopa, Cyril; Carrasco, Nathalie; Cernogora, Guy] CNRS INSU, LATMOS IPSL, F-78280 Guyancourt, France; [Carrasco, Nathalie] Inst Univ France, F-75005 Paris, France; [Fray, Nicolas; Cottin, Herve; Le Roy, Lena] Univ Paris Est Creteil, Univ Paris Diderot, UMR CNRS 7583, LISA, Creteil, France; [Montagnac, Gilles] Univ Lyon 1, Ecole Normale Super Lyon, CNRS, LGLTPE, F-69364 Lyon 07, France; [Dartois, Emmanuel; Brunetto, Rosario] Univ Paris 11, Inst Astrophys Spatiale, UMR CNRS INSU 8617, F-91405 Orsay, France; [Engrand, Cecile; Duprat, Jean] Univ Paris 11, Ctr Sci Nucl &amp; Spectrometrie Masse, UMR CNRS IN2P3 8609, F-91405 Orsay, France</t>
  </si>
  <si>
    <t>Communaute Universite Grenoble Alpes; Universite Grenoble Alpes (UGA); Institut de Planetologie et d'Astrophysique de Grenoble (IPAG); Institut de Planetologie et d'Astrophysique de Grenoble (IPAG); Centre National de la Recherche Scientifique (CNRS); Universite Paris Saclay; Universite Paris Saclay; Sorbonne Universite; Sorbonne Universite; Centre National de la Recherche Scientifique (CNRS); CNRS - National Institute for Earth Sciences &amp; Astronomy (INSU); Universite Paris Saclay; Institut Universitaire de France; Universite Paris-Est-Creteil-Val-de-Marne (UPEC); Universite Paris Cite; Centre National de la Recherche Scientifique (CNRS); Ecole Normale Superieure de Lyon (ENS de LYON); Universite Claude Bernard Lyon 1; Sorbonne Universite; Universite Paris Saclay; Centre National de la Recherche Scientifique (CNRS); CNRS - National Institute for Earth Sciences &amp; Astronomy (INSU); Universite Paris Saclay; Centre National de la Recherche Scientifique (CNRS); CNRS - National Institute of Nuclear and Particle Physics (IN2P3)</t>
  </si>
  <si>
    <t>Quirico, E (corresponding author), Univ Grenoble Alpes, IPAG, F-38000 Grenoble, France.</t>
  </si>
  <si>
    <t>eric.quirico@obs.ujf-grenoble.fr</t>
  </si>
  <si>
    <t>Carrasco, Nathalie/D-2365-2012; quirico, eric/K-9650-2013; Montagnac, Gilles/S-6440-2019; Cottin, Hervé/H-5654-2013; szopa, cyril/C-6865-2015; Cottin, Hervé/M-6154-2019</t>
  </si>
  <si>
    <t>Carrasco, Nathalie/0000-0002-0596-6336; quirico, eric/0000-0003-2768-0694; Montagnac, Gilles/0000-0001-9938-0282; Cottin, Hervé/0000-0001-9170-5265; szopa, cyril/0000-0002-0090-4056; Cottin, Hervé/0000-0001-9170-5265; Buch, Arnaud/0000-0002-2097-7252; Le Roy, Lena/0000-0002-5984-6153; Fray, Nicolas/0000-0002-9140-5462; thissen, roland/0000-0003-0916-2594; Dartois, Emmanuel/0000-0003-1197-7143</t>
  </si>
  <si>
    <t>Centre National d'Etudes Spatiales (CNES-France); ANR COSMISME project Grant of the French Agence Nationale de la Recherche [ANR-2010-BLAN-0502]; Institut National des Sciences de l'Univers (INSU)</t>
  </si>
  <si>
    <t>Centre National d'Etudes Spatiales (CNES-France)(Centre National D'etudes Spatiales); ANR COSMISME project Grant of the French Agence Nationale de la Recherche(Agence Nationale de la Recherche (ANR)); Institut National des Sciences de l'Univers (INSU)</t>
  </si>
  <si>
    <t>This work has been funded by the Centre National d'Etudes Spatiales (CNES-France) and by the ANR COSMISME project Grant ANR-2010-BLAN-0502 of the French Agence Nationale de la Recherche. The Raman facility at Ecole Normale Superieure de Lyon is supported by the Institut National des Sciences de l'Univers (INSU). We are very grateful to Hikaru Yabuta (Osaka University) and an anonymous reviewer for very fruitful comments that greatly improved the quality of the manuscript.</t>
  </si>
  <si>
    <t>10.1016/j.icarus.2014.11.006</t>
  </si>
  <si>
    <t>CB8KJ</t>
  </si>
  <si>
    <t>WOS:000349878200006</t>
  </si>
  <si>
    <t>Gisinger, C; Balss, U; Pail, R; Zhu, XX; Montazeri, S; Gernhardt, S; Eineder, M</t>
  </si>
  <si>
    <t>Gisinger, Christoph; Balss, Ulrich; Pail, Roland; Zhu, Xiao Xiang; Montazeri, Sina; Gernhardt, Stefan; Eineder, Michael</t>
  </si>
  <si>
    <t>Precise Three-Dimensional Stereo Localization of Corner Reflectors and Persistent Scatterers With TerraSAR-X</t>
  </si>
  <si>
    <t>IEEE TRANSACTIONS ON GEOSCIENCE AND REMOTE SENSING</t>
  </si>
  <si>
    <t>Geodesy; radar remote sensing; spaceborne radar; stereo image processing; synthetic aperture radar (SAR)</t>
  </si>
  <si>
    <t>LEVEL RANGING ACCURACY; SAR</t>
  </si>
  <si>
    <t>This paper reports on the absolute 3-D localization of radar corner reflectors and persistent scatterers (PSs) by stereo synthetic aperture radar (SAR) carried out with TerraSAR-X and TanDEM-X. The novel combination of rigorously linearized range-Doppler equations with thorough sensor modeling, consideration of atmospheric delays, geodynamic signals, satellite dynamics, and geometrical calibration allows a direct target localization at the centimeter level. Therefore, there is no need for the application of geocoding since our approach delivers 3-D positions directly in the International Terrestrial Reference Frame (ITRF) 2008. Four radar corner reflectors located at the Wettzell Geodetic Observatory, Metsahovi Geodetic Observatory, and German Antarctic Receiving Station O'Higgins were localized in 3-D with a precision better than 4 cm. By introducing an updated geometrical calibration of TerraSAR-X and TanDEM-X, the absolute accuracy of the same level becomes possible, which was demonstrated by externally validating the reflector positions at Metsahovi and Wettzell against results of terrestrial geodetic surveying. Furthermore, PSs located in Berlin were retrieved with a precision of 10 cm, making the method a suitable tool for radar positioning in urban environments. Potential fields of application for our approach are the joint analysis with phase-based methods, geometrical calibration of radar satellites, and direct integration of SAR observations into Global Navigation Satellite System networks.</t>
  </si>
  <si>
    <t>[Gisinger, Christoph; Pail, Roland] Tech Univ Munich, Inst Astron &amp; Phys Geodesy, D-80333 Munich, Germany; [Balss, Ulrich; Zhu, Xiao Xiang; Montazeri, Sina; Eineder, Michael] German Aerosp Ctr DLR, Remote Sensing Technol Inst IMF, D-82234 Oberpfaffenhofen, Germany; [Zhu, Xiao Xiang; Gernhardt, Stefan; Eineder, Michael] Tech Univ Munich, Chair Remote Sensing Technol, D-80333 Munich, Germany; [Montazeri, Sina] Delft Univ Technol, Dept Geosci &amp; Remote Sensing, NL-2628 CN Delft, Netherlands</t>
  </si>
  <si>
    <t>Technical University of Munich; Helmholtz Association; German Aerospace Centre (DLR); Technical University of Munich; Delft University of Technology</t>
  </si>
  <si>
    <t>Gisinger, C (corresponding author), Tech Univ Munich, Inst Astron &amp; Phys Geodesy, D-80333 Munich, Germany.</t>
  </si>
  <si>
    <t>Christoph.Gisinger@bv.tu-muenchen.de; Ulrich.Balss@dlr.de; Pail@bv.tu-muenchen.de; Xiao.Zhu@dlr.de; s.montazeri@student.tudelft.nl; Stefan.Gernhardt@bv.tu-muenchen.de; Michael.Eineder@dlr.de</t>
  </si>
  <si>
    <t>Pail, Roland/ABE-8800-2021; Pail, Roland/H-5621-2011; Zhu, Xiao Xiang/ABE-7138-2020; Montazeri, Sina/I-8034-2019</t>
  </si>
  <si>
    <t>Zhu, Xiao Xiang/0000-0001-5530-3613; Montazeri, Sina/0000-0002-6732-1381</t>
  </si>
  <si>
    <t>German Helmholtz Association HGF through its DLR@Uni Munich Aerospace project Hochauflosende geodatische Erdbeobachtung</t>
  </si>
  <si>
    <t>The work was supported in part by the German Helmholtz Association HGF through its DLR@Uni Munich Aerospace project Hochauflosende geodatische Erdbeobachtung.</t>
  </si>
  <si>
    <t>IEEE-INST ELECTRICAL ELECTRONICS ENGINEERS INC</t>
  </si>
  <si>
    <t>PISCATAWAY</t>
  </si>
  <si>
    <t>445 HOES LANE, PISCATAWAY, NJ 08855-4141 USA</t>
  </si>
  <si>
    <t>0196-2892</t>
  </si>
  <si>
    <t>1558-0644</t>
  </si>
  <si>
    <t>IEEE T GEOSCI REMOTE</t>
  </si>
  <si>
    <t>IEEE Trans. Geosci. Remote Sensing</t>
  </si>
  <si>
    <t>10.1109/TGRS.2014.2348859</t>
  </si>
  <si>
    <t>Geochemistry &amp; Geophysics; Engineering, Electrical &amp; Electronic; Remote Sensing; Imaging Science &amp; Photographic Technology</t>
  </si>
  <si>
    <t>Geochemistry &amp; Geophysics; Engineering; Remote Sensing; Imaging Science &amp; Photographic Technology</t>
  </si>
  <si>
    <t>AR9NQ</t>
  </si>
  <si>
    <t>WOS:000343902300011</t>
  </si>
  <si>
    <t>Beitsch, A; Kern, S; Kaleschke, L</t>
  </si>
  <si>
    <t>Beitsch, Alexander; Kern, Stefan; Kaleschke, Lars</t>
  </si>
  <si>
    <t>Comparison of SSM/I and AMSR-E Sea Ice Concentrations With ASPeCt Ship Observations Around Antarctica</t>
  </si>
  <si>
    <t>Antarctic; Antarctic sea ice processes and climate (ASPeCt); passive microwave (PM) remote sensing; sea ice concentration (SIC); ship-based observations (OBS)</t>
  </si>
  <si>
    <t>SATELLITE PASSIVE MICROWAVE; ROSS SEA; TEMPERATURE; SUMMER; SIGNATURES; REDUCTION; RETRIEVAL; EXTENT; MODEL</t>
  </si>
  <si>
    <t>We compare passive microwave (PM)-derived sea ice concentrations (SIC) with more than 21 600 ship-based observations (OBS) of SIC acquired around Antarctica. PM SIC are derived from SSM/I-SSMIS and AMSR-E measurements in 1991-2009 and 2002-2010, respectively, with the ARTIST Sea Ice (ASI), Comiso Bootstrap (BST), NASA-Team (NT), enhanced NASA-Team (NT2), and EUMETSAT OSI-SAF (OSI) algorithm. We compare correlation coefficients (CC), RMSDs, and biases, separately for SSM/I-SSMIS data for algorithms ASI, BST, OSI, and NT, and for AMSR-E data for algorithms ASI, BST, and NT2. With OBS SIC and PM SIC being on fundamentally different spatiotemporal scales, we develop a new colocation approach using daily-average along-ship-track SIC values. CC between OBS SIC and PM SIC agree within their uncertainty for all algorithms and sensors. Year-round CC values are around 0.85 (AMSR-E) and 0.82 (SSM/I); CC values are similar during summer, but drop significantly during winter. Year-round RMSD values range from 13% (BST and OSI) to 17% (NT) for SSM/I and from 12% (BST) to 16% (NT2) for AMSR-E. RMSD values are similar during summer, but decrease for winter (BST: 8% for AMSR-E, 10% for SSM/I). For AMSR-E, biases are below 0.5% for BST and ASI, but between 5% (winter) and 9% (summer) for NT2. For SSM/I, biases are smaller during summer, -0.7% for BST to -7.8% for NT, than winter, -3.6% for BST to -13.9% for NT. Overall, best agreement between OBS and PM SIC is found for BST.</t>
  </si>
  <si>
    <t>[Beitsch, Alexander; Kaleschke, Lars] Univ Hamburg, Inst Oceanog, D-20146 Hamburg, Germany; [Kern, Stefan] Univ Hamburg, KlimaCampus CliSAP, D-20144 Hamburg, Germany</t>
  </si>
  <si>
    <t>University of Hamburg; University of Hamburg</t>
  </si>
  <si>
    <t>Beitsch, A (corresponding author), Max Planck Inst Meteorol, D-20146 Hamburg, Germany.</t>
  </si>
  <si>
    <t>alexander.beitsch@zmaw.de</t>
  </si>
  <si>
    <t>Kaleschke, Lars/0000-0001-7086-3299; Kern, Stefan/0000-0001-7281-3746</t>
  </si>
  <si>
    <t>International Space Science Institute, Bern, Switzerland</t>
  </si>
  <si>
    <t>The authors would like to thank the National Snow and Ice Data Center in Boulder, Colorado, USA, and the JAXA EORC (Earth Observation Research Center) in Tokyo, Japan, for providing SSM/I, SSMIS, and AMSR-E data. The authors acknowledge the support from the International Space Science Institute, Bern, Switzerland. They are grateful to ice observers aboard the Antarctic research voyages that contributed data for the ASPeCt data used in this paper. The authors also thank A. H. Tekeli (now at Zirve Univ., Gaziantep, Turkey), S. F. Ackley (now at Univ. San Antonio), B. Ozsoy-Cicek (now at Technical University Istanbul), and S. Willmes (Univ. Trier) for providing additional ship-based observation to extend the ASPeCt data.</t>
  </si>
  <si>
    <t>10.1109/TGRS.2014.2351497</t>
  </si>
  <si>
    <t>WOS:000343902300026</t>
  </si>
  <si>
    <t>Burdman, L; Daneri, GA; Negrete, J; Mennucci, JA; Marquez, MEI</t>
  </si>
  <si>
    <t>Burdman, Luciana; Daneri, Gustavo A.; Negrete, Javier; Mennucci, Jorge A.; Marquez, Maria E. I.</t>
  </si>
  <si>
    <t>Cephalopoda as prey of juvenile Southern elephant seals at Isla 25 de Mayo/King George, South Shetland Islands</t>
  </si>
  <si>
    <t>IHERINGIA SERIE ZOOLOGIA</t>
  </si>
  <si>
    <t>Mirounga; diet; Antarctica</t>
  </si>
  <si>
    <t>SQUID MARTIALIA HYADESI; ANTARCTIC FUR SEALS; MIROUNGA-LEONINA; ARCTOCEPHALUS-GAZELLA; FORAGING ECOLOGY; STOMACH CONTENTS; FISHERY BIOLOGY; DIET; OCEAN; MACQUARIE</t>
  </si>
  <si>
    <t>The aim of the present study was to enhance the knowledge of the feeding habits of the juvenile component of the population of Southern elephant seals [Mirounga leonina (Linnaeus, 1758)] from Isla 25 de Mayo, South Shetland Islands, age class whose diet information is scarce. A total of 60 individuals were stomach lavaged in the spring - summer seasons of three consecutive years (2003, 2004 and 2005) of which 53.3 % (n = 32) presented food remnants. The Antarctic glacial squid Psychroteuthis glacialis Thiele, 1921 was the dominant prey taxon in terms of frequency of occurrence (68.7%), numerical abundance (60.1%) and biomass (51.5%), contributing 84.1% to the total relative importance index. Other squid prey species of importance were Slosarczykovia circumantartica Lipinski, 2001 in terms of occurrence (37.5%) and numerical abundance (14%) and Moroteuthis lcnipovitchi Filippova, 1972 in terms of biomass (16%). All identified cephalopod prey taxa are distributed south of the Antarctic Polar Front, except for the squid Martialia hyadesi Rochebrune &amp; Mabille, 1889 which has a circumpolar distribution associated to the Polar Frontal Zone. No significant differences in the sizes of P. glacialis preyed upon by elephant seals were found between sexes and years. However, significant interannual differences were found in the taxonomical composition of their diet. This would be associated with temporal changes in food availability at the foraging areas of seals, which in turn may have been influenced by changes in oceanographic conditions as a result of the El Nirio Southern Oscillation (ENSO) phenomenon that occurred during part of the study period. Furthermore, a differential response of males and females to this temporal variation was observed, with the former being also associated to a predation on octopods. This would suggest a sexual segregation in foraging habits of this species from the early stages of its life cycle.</t>
  </si>
  <si>
    <t>[Burdman, Luciana; Daneri, Gustavo A.] Museo Argentino Ciencias Nat Bernardino Rivadavia, Div Mastozool, Buenos Aires, DF, Argentina; [Negrete, Javier; Mennucci, Jorge A.; Marquez, Maria E. I.] Inst Antartico Argentino, Dept Biol Predadores Tope, Buenos Aires, DF, Argentina</t>
  </si>
  <si>
    <t>Burdman, L (corresponding author), Museo Argentino Ciencias Nat Bernardino Rivadavia, Div Mastozool, Ave Angel Gallardo 470 C1405DJR, Buenos Aires, DF, Argentina.</t>
  </si>
  <si>
    <t>luciana.burdman@gmail.com; gdaneri@macn.gov.ar; negretejavi@hotmail.com; jmennu@hotmail.com; mitsuki@dna.gov.ar</t>
  </si>
  <si>
    <t>Direccion Nacional del Antartico; Agencia Nacional de Promocion Cientifica y Tecnologica [11559-36054]; Direccion Nacional del Antartico (Environmental Office), Argentina</t>
  </si>
  <si>
    <t>Direccion Nacional del Antartico; Agencia Nacional de Promocion Cientifica y Tecnologica(ANPCyTSpanish Government); Direccion Nacional del Antartico (Environmental Office), Argentina</t>
  </si>
  <si>
    <t>We are indebted to Dr. E. Marschoff for his statistical advice. We are also grateful to Dr Nestor Coria, Dr Maria Busch and Dr Roberto Bo who critically commented the manuscript. This work was funded by the Direccion Nacional del Antartico and the Agencia Nacional de Promocion Cientifica y Tecnologica (Grants: Picto No 11559-36054). Our procedures conform to the Code of Ethics of Animal Experimentation in Antarctica. The permit for this work was granted by the Direccion Nacional del Antartico (Environmental Office), Argentina.</t>
  </si>
  <si>
    <t>FUNDACAO ZOOBOTANICA RIO GRANDE SUL, MUSEU CIENCIAS NATURAIS</t>
  </si>
  <si>
    <t>PORTO ALEGRE</t>
  </si>
  <si>
    <t>CAIXA POSTAL 1188, PORTO ALEGRE, RS 00000, BRAZIL</t>
  </si>
  <si>
    <t>0073-4721</t>
  </si>
  <si>
    <t>1678-4766</t>
  </si>
  <si>
    <t>IHERINGIA SER ZOOL</t>
  </si>
  <si>
    <t>Iheringia Ser. Zool.</t>
  </si>
  <si>
    <t>MAR 31</t>
  </si>
  <si>
    <t>10.1590/1678-4766201510511219</t>
  </si>
  <si>
    <t>CM3AL</t>
  </si>
  <si>
    <t>gold, Green Submitted, Green Published</t>
  </si>
  <si>
    <t>WOS:000357553400002</t>
  </si>
  <si>
    <t>De Smet, WH</t>
  </si>
  <si>
    <t>De Smet, Willem H.</t>
  </si>
  <si>
    <t>Description of Pseudingolfiella possessionis n. sp (Crustacea, Amphipoda) from sub-Antarctic Ile de La Possession, Crozet archipelago: the second freshwater amphipod known from the Antarctic biome, a human introduction of Gondwanan ancestry?</t>
  </si>
  <si>
    <t>Antarctica; diversity; Pseudingolfiella; biogeography; chorology</t>
  </si>
  <si>
    <t>SP-NOV; MICROGNATHOZOA; MECHANISMS; DISPERSAL; ISLANDS; GILLS</t>
  </si>
  <si>
    <t>A new species of freshwater amphipod, Pseudingolfiella possessionis n. sp. (Senticaudata, Pseudingolfiellidae), is described from the submerged moss vegetation of small brooklets at sub-Antarctic Ile de La Possession, Crozet archipelago. It constitutes the second freshwater amphipod species known for the sub-Antarctic and Antarctic region, and the fourth member of the genus. The main characters distinguishing it from all congeners are: the spine on the posterior margin of the dactylus, incisor and lamina mobilis of mandible each with 5 teeth, the setation of the maxilliped, the vestigial second article of pleopod 3 in the female, the undulate and laterally notched posterolateral margin of the external ramus of uropods 1 and 2 in the male, the spinulate dorsomedian projection of the telson.</t>
  </si>
  <si>
    <t>Univ Antwerp, Dept Biol, B-2610 Antwerp, Belgium</t>
  </si>
  <si>
    <t>University of Antwerp</t>
  </si>
  <si>
    <t>De Smet, WH (corresponding author), Univ Antwerp, Dept Biol, Campus Drie Eiken,Univ Pl 1, B-2610 Antwerp, Belgium.</t>
  </si>
  <si>
    <t>willem.desmet@uantwerpen.be</t>
  </si>
  <si>
    <t>De Smet, Willem H/C-3458-2008</t>
  </si>
  <si>
    <t>Institut Polaire Francais Paul Emile Victor (IPEV); Science Foundation, Flanders (FWO); Terrestrial Ecology Programme [136]</t>
  </si>
  <si>
    <t>Institut Polaire Francais Paul Emile Victor (IPEV); Science Foundation, Flanders (FWO)(FWO); Terrestrial Ecology Programme</t>
  </si>
  <si>
    <t>The Institut Polaire Francais Paul Emile Victor (IPEV) is greatly acknowledged for the logistic and financial support. Additional funding was provided by the Science Foundation, Flanders (FWO). The field work was done in the frame of the Terrestrial Ecology Programme no 136 (Dr. Y. Frenot, Universite de Rennes, Station Biologique Paimpont). The Laboratory of Cell Biology and Histology, University of Antwerp, provided the necessary freeze-drying and SEM facilities.</t>
  </si>
  <si>
    <t>10.11646/zootaxa.3941.2.3</t>
  </si>
  <si>
    <t>CE8NZ</t>
  </si>
  <si>
    <t>WOS:000352101200003</t>
  </si>
  <si>
    <t>Bochdansky, AB; Clouse, MA</t>
  </si>
  <si>
    <t>Bochdansky, Alexander B.; Clouse, Melissa A.</t>
  </si>
  <si>
    <t>New tracer to estimate community predation rates of phagotrophic protists</t>
  </si>
  <si>
    <t>Bacteria; Prokaryotes; Mortality; Predation; Protist feeding; Eukaryotic microbes; Microbial predators; Size selectivity</t>
  </si>
  <si>
    <t>FLUORESCENTLY LABELED BACTERIA; GRAZING RATES; PROTOZOAN BACTERIVORY; ESCHERICHIA-COLI; DILUTION METHOD; ATLANTIC-OCEAN; HETEROTROPHIC NANOFLAGELLATE; SPATIAL-DISTRIBUTION; ANTARCTIC PENINSULA; MARINE-ENVIRONMENT</t>
  </si>
  <si>
    <t>Predation of eukaryotic microbes on prokaryotes is one of the most important trophic interactions on Earth, representing a major mortality term and shaping morphology and composition of prokaryotic communities. Here we introduce and validate a new tracer to determine predation rates on prokaryotes. Minicells of Escherichia coli marked with a bright green fluorescent protein (GFP) vector have many operational advantages over previously used prey analogs such as fluorescently labeled bacteria. GFP-minicells are similar in size to naturally occurring bacteria from a variety of environments including the oligotrophic open ocean and the deep sea. They are relatively stable against microbial and light degradation, are easy to grow and process, and can be produced inexpensively in large numbers. No chemical alteration of the particle surface due to heat killing and staining is involved. Grazing coefficients were compared between GFP-minicells and other GFP-modified bacteria, as well as 5-(4,6-dichlorotriazinyl) aminofluorescein (DTAF)stained cells. The grazing coefficients obtained from the removal of GFP-minicells compared favorably with estimates from tracer-independent estimates of grazing in the same experiments. Experiments with GFP-minicells resulted in community grazing coefficients similar to those reported for many different marine environments and those derived using various methods.</t>
  </si>
  <si>
    <t>[Bochdansky, Alexander B.; Clouse, Melissa A.] Old Dominion Univ, Ocean Earth &amp; Atmospher Sci, Norfolk, VA 23529 USA</t>
  </si>
  <si>
    <t>Old Dominion University</t>
  </si>
  <si>
    <t>Bochdansky, AB (corresponding author), Old Dominion Univ, Ocean Earth &amp; Atmospher Sci, Norfolk, VA 23529 USA.</t>
  </si>
  <si>
    <t>abochdan@odu.edu</t>
  </si>
  <si>
    <t>Bochdansky, Alexander/0000-0001-8281-3184</t>
  </si>
  <si>
    <t>National Science Foundation [0826659, 1235169]; Directorate For Geosciences; Division Of Ocean Sciences [1235169] Funding Source: National Science Foundation; Division Of Ocean Sciences; Directorate For Geosciences [0826659] Funding Source: National Science Foundation</t>
  </si>
  <si>
    <t>National Science Foundation(National Science Foundation (NSF)); Directorate For Geosciences; Division Of Ocean Sciences(National Science Foundation (NSF)NSF - Directorate for Geosciences (GEO)); Division Of Ocean Sciences; Directorate For Geosciences(National Science Foundation (NSF)NSF - Directorate for Geosciences (GEO))</t>
  </si>
  <si>
    <t>We thank Sarah Glenn and Peter Andrew (University of Leicester, UK) and Kam Leung (Lake-head University, Canada) for providing GFP-labeled strains used in our experiments. We thank Gerhard Herndl (University of Vienna, Austria) and the crew of the RV 'Pelagia' (Netherland Institute of Sea Research) for allowing us to sample deep-sea bacteria for size measurements. Funding was provided by National Science Foundation grants #0826659 and #1235169 to A.B.B.</t>
  </si>
  <si>
    <t>MAR 30</t>
  </si>
  <si>
    <t>10.3354/meps11209</t>
  </si>
  <si>
    <t>CF1GQ</t>
  </si>
  <si>
    <t>WOS:000352292900005</t>
  </si>
  <si>
    <t>Diamond, HJ; Renwick, JA</t>
  </si>
  <si>
    <t>Diamond, H. J.; Renwick, J. A.</t>
  </si>
  <si>
    <t>The climatological relationship between tropical cyclones in the southwest Pacific and the southern annular mode</t>
  </si>
  <si>
    <t>INTERNATIONAL JOURNAL OF CLIMATOLOGY</t>
  </si>
  <si>
    <t>tropical cyclone; ENSO; Southern Oscillation Index; Southern Annular Mode; Antarctic Oscillation; southwest Pacific; SPEArTC</t>
  </si>
  <si>
    <t>ANTARCTIC OSCILLATION; SURFACE-TEMPERATURE; PART I; VARIABILITY; CLIMATE; OCEAN; ENSO; SEASONALITY; CIRCULATION; ATMOSPHERE</t>
  </si>
  <si>
    <t>In this study, we focus on possible climatological relationships between southwest Pacific tropical cyclone (TC) activity and the Southern Annular Mode (SAM) and ENSO, at both interannual and synoptic time-scales. The investigation focuses on TC seasonal characteristics (e.g. cyclogenesis, track characteristics, extratropical transition, and intensity) as modulated according to the polarity of the SAM and ENSO. At synoptic time-scales, we also look at possible triggers of TC cyclogenesis in the SAM signal up to 20 days in advance. The physical basis for this relationship is assessed using a number of different gridded data fields. During seasons characterized by positive phases of SAM and both positive and negative Southern Oscillation Index (SOI) values, there is an increased frequency of TCs undergoing extratropical transition near New Zealand. At synoptic time-scales, we found an interesting yet inconclusive relationship between the SAM and tropical cyclogenesis during SOI positive seasons. While statistically significant, there is no clear physical mechanism linking the mid-latitude SAM phenomenon to the genesis of TCs. In summary, the results show a clear interannual climatological relationship between an increased frequency of TCs undergoing extratropical transition near New Zealand and the positive phase of SAM.</t>
  </si>
  <si>
    <t>[Diamond, H. J.] Univ Auckland, Sch Environm, Auckland 1142, New Zealand; [Renwick, J. A.] Victoria Univ Wellington, Sch Geog Environm &amp; Earth Sci, Wellington, New Zealand</t>
  </si>
  <si>
    <t>University of Auckland; Victoria University Wellington</t>
  </si>
  <si>
    <t>Diamond, HJ (corresponding author), Univ Auckland, Sch Environm, Private Bag 92019, Auckland 1142, New Zealand.</t>
  </si>
  <si>
    <t>h.diamond@auckland.ac.nz</t>
  </si>
  <si>
    <t>Diamond, Howard/ABC-9877-2021</t>
  </si>
  <si>
    <t>Renwick, James/0000-0002-9141-2486; Diamond, Howard/0000-0001-5026-0167</t>
  </si>
  <si>
    <t>New Zealand MetService, Ltd.</t>
  </si>
  <si>
    <t>While the research for this paper was conducted by the lead author as part of a Ph.D. course of study at the University of Auckland, he is also affiliated with NOAA's National Climatic Data Center. We are indebted to Dr. Andrew Lorrey and Dr. Nicolas Fauchereau from NIWA in Auckland, New Zealand, and Dr. Lixin Qi from the Bureau of Meteorology in Melbourne Australia, for providing important data and insights into aspects of the SAM and SOI that were extremely helpful in completing this study. Thanks are also due to Dr. Glenn McGregor and Dr. Anthony Fowler from the University of Auckland's School of Environment; and to Dr. Sharon LeDuc for their extremely useful comments and suggestions. Additional thanks are extended to the two anonymous reviewers of the paper for their very positive feedback and helpful comments. We would like to acknowledge the very useful data service for obtaining the gridded data used in this study from the International Pacific Research Center's Asia Pacific Data Research Center (APDRC), at the University of Hawaii's School of Ocean and Earth Science and Technology (http://apdrc.soest.hawaii.edu/). Finally, we would also like to acknowledge Dr. Jim Potemra, Ms. Sharon DeCarlo, and Mr. Kin Lik Wang of the APDRC for assisting in hosting and maintaining the research webpage with the data resources noted in this paper; as well as for support provided by the New Zealand MetService, Ltd.</t>
  </si>
  <si>
    <t>0899-8418</t>
  </si>
  <si>
    <t>1097-0088</t>
  </si>
  <si>
    <t>INT J CLIMATOL</t>
  </si>
  <si>
    <t>Int. J. Climatol.</t>
  </si>
  <si>
    <t>10.1002/joc.4007</t>
  </si>
  <si>
    <t>CE1YM</t>
  </si>
  <si>
    <t>WOS:000351608900009</t>
  </si>
  <si>
    <t>Kavanaugh, MT; Abdala, FN; Ducklow, H; Glover, D; Fraser, W; Martinson, D; Stammerjohn, S; Schofield, O; Doney, SC</t>
  </si>
  <si>
    <t>Kavanaugh, M. T.; Abdala, F. N.; Ducklow, H.; Glover, D.; Fraser, W.; Martinson, D.; Stammerjohn, S.; Schofield, O.; Doney, S. C.</t>
  </si>
  <si>
    <t>Effect of continental shelf canyons on phytoplankton biomass and community composition along the western Antarctic Peninsula</t>
  </si>
  <si>
    <t>Western Antarctic Peninsula; Canyons; Phytoplankton; Diatoms; Remote sensing; Adelie penguin habitat; Sea ice</t>
  </si>
  <si>
    <t>CIRCUMPOLAR DEEP-WATER; SEA-ICE ALGAE; CLIMATE-CHANGE; ROSS SEA; MARINE-PHYTOPLANKTON; SOUTHERN-OCEAN; DARK SURVIVAL; REGION; VARIABILITY; DYNAMICS</t>
  </si>
  <si>
    <t>The western Antarctic Peninsula is experiencing dramatic climate change as warm, wet conditions expand poleward and interact with local physics and topography, causing differential regional effects on the marine ecosystem. At local scales, deep troughs (or canyons) bisect the continental shelf and act as conduits for warm Upper Circumpolar Deep Water, with reduced seasonal sea ice coverage, and provide a reservoir of macro- and micronutrients. Shoreward of many canyon heads are Adelie penguin breeding colonies; it is hypothesized that these locations reflect improved or more predictable access to higher biological productivity overlying the canyons. To synoptically assess the potential impacts of regional bathymetry on the marine ecosystem, 4 major canyons were identified along a latitudinal gradient west of the Antarctic Peninsula using a high-resolution bathymetric database. Biological-physical dynamics above and adjacent to canyons were compared using in situ pigments and satellite-derived sea surface temperature, sea ice and ocean color variables, including chlorophyll a (chl a) and fucoxanthin derived semi-empirically from remote sensing reflectance. Canyons exhibited higher sea surface temperature and reduced sea ice coverage relative to adjacent shelf areas. In situ and satellite-derived pigment patterns indicated increased total phytoplankton and diatom biomass over the canyons (by up to 22 and 35%, respectively), as well as increases in diatom relative abundance (fucoxanthin: chl a). While regional heterogeneity is apparent, canyons appear to support a phytoplankton community that is conducive to both grazing by krill and enhanced vertical export, although it cannot compensate for decreased biomass and diatom relative abundance during low sea ice conditions.</t>
  </si>
  <si>
    <t>[Kavanaugh, M. T.; Glover, D.; Doney, S. C.] Woods Hole Oceanog Inst, Marine Chem &amp; Geochem Dept, Woods Hole, MA 02543 USA; [Abdala, F. N.] Fed Univ Rio Grande, Ecol Fitoplancton &amp; Microorganismos Marinhos, Rio De Janeiro, Brazil; [Ducklow, H.] Columbia Univ, Lamont Doherty Earth Observ, Earth &amp; Environm Sci, Palisades, NY 10964 USA; [Fraser, W.] Polar Oceans Res Grp, Sheridan, MT 59749 USA; [Martinson, D.] Columbia Univ, Lamont Doherty Earth Observ, Div Ocean &amp; Climate Phys, Palisades, NY 10964 USA; [Stammerjohn, S.] Univ Colorado, Inst Arctic &amp; Alpine Res, Boulder, CO 80309 USA; [Schofield, O.] Rutgers State Univ, Inst Marine &amp; Coastal Sci, Rutgers, NJ 08901 USA</t>
  </si>
  <si>
    <t>Woods Hole Oceanographic Institution; Universidade Federal do Rio Grande; Columbia University; Columbia University; University of Colorado System; University of Colorado Boulder; Rutgers University System; Rutgers University New Brunswick</t>
  </si>
  <si>
    <t>Kavanaugh, MT (corresponding author), Woods Hole Oceanog Inst, Marine Chem &amp; Geochem Dept, MS 25,266 Woods Hole Rd, Woods Hole, MA 02543 USA.</t>
  </si>
  <si>
    <t>mkavanaugh@whoi.edu</t>
  </si>
  <si>
    <t>Doney, Scott/F-9247-2010; Schofield, Oscar/H-4169-2018</t>
  </si>
  <si>
    <t>Doney, Scott/0000-0002-3683-2437; Schofield, Oscar/0000-0003-2359-4131; STAMMERJOHN, SHARON/0000-0002-1697-8244; Kavanaugh, Maria/0000-0001-6126-6177</t>
  </si>
  <si>
    <t>National Aeronautics and Space Administration Ocean Biology and Biogeochemistry Program [NNX14AL86G]; National Science Foundation [0823101, 1440435]; NASA [679094, NNX14AL86G] Funding Source: Federal RePORTER; Directorate For Geosciences; Division Of Polar Programs [1344502] Funding Source: National Science Foundation; Directorate For Geosciences; Office of Polar Programs (OPP) [1326167] Funding Source: National Science Foundation</t>
  </si>
  <si>
    <t>National Aeronautics and Space Administration Ocean Biology and Biogeochemistry Program; National Science Foundation(National Science Foundation (NSF)); NASA(National Aeronautics &amp; Space Administration (NASA)); Directorate For Geosciences; Division Of Polar Programs(National Science Foundation (NSF)NSF - Directorate for Geosciences (GEO)); Directorate For Geosciences; Office of Polar Programs (OPP)(National Science Foundation (NSF)NSF - Directorate for Geosciences (GEO))</t>
  </si>
  <si>
    <t>We acknowledge support from the National Aeronautics and Space Administration Ocean Biology and Biogeochemistry Program (NNX14AL86G) and the National Science Foundation Polar Programs awards 0823101 (Antarctic Organisms and Ecosystems Program) and 1440435 (Antarctic Integrated System Science) to the Palmer LTER program.</t>
  </si>
  <si>
    <t>10.3354/meps11189</t>
  </si>
  <si>
    <t>WOS:000352292900002</t>
  </si>
  <si>
    <t>Tabor, CR; Poulsen, CJ; Pollard, D</t>
  </si>
  <si>
    <t>Tabor, Clay R.; Poulsen, Christopher J.; Pollard, David</t>
  </si>
  <si>
    <t>How obliquity cycles powered early Pleistocene global ice-volume variability</t>
  </si>
  <si>
    <t>Pleistocene; sea ice; orbit; ice sheet; isotopes; vegetation</t>
  </si>
  <si>
    <t>CLIMATE-CHANGE; GLACIAL CYCLES; BALANCE MODEL; SHEET; FEEDBACKS; INSOLATION; SIMULATION; MILANKOVITCHS; AMPLIFICATION; SENSITIVITY</t>
  </si>
  <si>
    <t>Milankovitch theory proposes that the magnitude of high-latitude summer insolation dictates the continental ice-volume response by controlling summer snow melt, thus anticipating a substantial ice-volume contribution from the strong summer insolation signal of precession. Yet almost all of the early Pleistocene O-18 records' signal strength resides at the frequency of obliquity. Here we explore this discrepancy using a climate-vegetation-ice sheet model to simulate climate-ice sheet response to transient orbits of varying obliquity and precession. Spectral analysis of our results shows that despite contributing significantly less to the summer insolation signal, almost 60% of the ice-volume power exists at the frequency of obliquity due to a combination of albedo feedbacks, seasonal offsets, and orbital cycle duration differences. Including eccentricity modulation of the precession ice-volume component and assuming a small Antarctic ice response to orbital forcing produce a signal that agrees with the O-18 ice-volume proxy records.</t>
  </si>
  <si>
    <t>[Tabor, Clay R.; Poulsen, Christopher J.] Univ Michigan, Dept Earth &amp; Environm Sci, Ann Arbor, MI 48109 USA; [Pollard, David] Penn State Univ, Earth &amp; Environm Syst Inst, University Pk, PA 16802 USA</t>
  </si>
  <si>
    <t>University of Michigan System; University of Michigan; Pennsylvania Commonwealth System of Higher Education (PCSHE); Pennsylvania State University; Pennsylvania State University - University Park</t>
  </si>
  <si>
    <t>Tabor, CR (corresponding author), Univ Michigan, Dept Earth &amp; Environm Sci, Ann Arbor, MI 48109 USA.</t>
  </si>
  <si>
    <t>crtabor@umich.edu</t>
  </si>
  <si>
    <t>; Poulsen, Chris/C-6213-2009</t>
  </si>
  <si>
    <t>Tabor, Clay/0000-0002-9915-6157; Poulsen, Chris/0000-0001-5104-4271</t>
  </si>
  <si>
    <t>NSF [OCE-0902258]</t>
  </si>
  <si>
    <t>We are grateful to William Ruddiman and anonymous reviewers whose comments improved this manuscript. We thank the Climate Change Research Laboratory at the University of Michigan for their discussion and suggestions. This research was funded by NSF grant OCE-0902258 awarded to C. Poulsen. Model data are available upon request.</t>
  </si>
  <si>
    <t>MAR 28</t>
  </si>
  <si>
    <t>10.1002/2015GL063322</t>
  </si>
  <si>
    <t>CG3HJ</t>
  </si>
  <si>
    <t>WOS:000353170000033</t>
  </si>
  <si>
    <t>Seton, M; Flament, N; Whittaker, J; Müller, RD; Gurnis, M; Bower, DJ</t>
  </si>
  <si>
    <t>Seton, Maria; Flament, Nicolas; Whittaker, Joanne; Mueller, R. Dietmar; Gurnis, Michael; Bower, Dan J.</t>
  </si>
  <si>
    <t>Ridge subduction sparked reorganization of the Pacific plate-mantle system 60-50 million years ago</t>
  </si>
  <si>
    <t>plate reorganization; ridge subduction; geodynamics; Izanagi plate</t>
  </si>
  <si>
    <t>TECTONIC HISTORY; SLAB; INITIATION; DYNAMICS; FLOW; SEA</t>
  </si>
  <si>
    <t>A reorganization centered on the Pacific plate occurred similar to 53-47million years ago. A top-down plate tectonic mechanism, complete subduction of the Izanagi plate, as opposed to a bottom-up mantle flow mechanism, has been proposed as the main driver. Verification based on marine geophysical observations is impossible as most ocean crust recording this event has been subducted. Using a forward modeling approach, which assimilates surface plate velocities and shallow thermal structure of slabs into mantle flow models, we show that complete Izanagi plate subduction and margin-wide slab detachment induced a major change in sub-Pacific mantle flow, from dominantly southward before 60Ma to north-northeastward after 50Ma. Our results agree with onshore geology, mantle tomography, and the inferred motion of the Hawaiian hot spot and are consistent with a plate tectonic process driving the rapid plate-mantle reorganization in the Pacific hemisphere between 60 and 50Ma. This reorganization is reflected in tectonic changes in the Pacific and surrounding ocean basins.</t>
  </si>
  <si>
    <t>[Seton, Maria; Flament, Nicolas; Mueller, R. Dietmar] Univ Sydney, Sch Geosci, EarthByte Grp, Sydney, NSW 2006, Australia; [Whittaker, Joanne] Univ Tasmania, Inst Marine &amp; Antarctic Studies, Hobart, Tas, Australia; [Gurnis, Michael; Bower, Dan J.] CALTECH, Seismol Lab, Pasadena, CA 91125 USA</t>
  </si>
  <si>
    <t>University of Sydney; University of Tasmania; California Institute of Technology</t>
  </si>
  <si>
    <t>Seton, M (corresponding author), Univ Sydney, Sch Geosci, EarthByte Grp, Sydney, NSW 2006, Australia.</t>
  </si>
  <si>
    <t>maria.seton@sydney.edu.au</t>
  </si>
  <si>
    <t>Seton, Maria/H-8272-2013; Müller, Dietmar/L-1200-2019; Flament, Nicolas/I-5904-2019; Flament, Nicolas/N-8344-2013; Whittaker, Joanne/B-3695-2010</t>
  </si>
  <si>
    <t>Seton, Maria/0000-0001-8541-1367; Müller, Dietmar/0000-0002-3334-5764; Flament, Nicolas/0000-0002-3237-0757; Flament, Nicolas/0000-0002-3237-0757; Bower, Dan/0000-0002-0673-4860; Whittaker, Joanne/0000-0002-3170-3935</t>
  </si>
  <si>
    <t>Australian Research Council [DP0987713, FL0992245, DE14100376]; Statoil ASA industry research grants through ARC [IH130200012]; National Science Foundation [EAR-1247022, CMMI-1028978]; Australian Government; Division Of Earth Sciences; Directorate For Geosciences [1247022] Funding Source: National Science Foundation</t>
  </si>
  <si>
    <t>Australian Research Council(Australian Research Council); Statoil ASA industry research grants through ARC; National Science Foundation(National Science Foundation (NSF)); Australian Government(Australian Government); Division Of Earth Sciences; Directorate For Geosciences(National Science Foundation (NSF)NSF - Directorate for Geosciences (GEO))</t>
  </si>
  <si>
    <t>This study was supported by Australian Research Council grants DP0987713 (M.S.), FL0992245 (R.D.M.), and DE14100376 (J.W.); Statoil ASA industry research grants through ARC IH130200012; and partial support by the National Science Foundation EAR-1247022 and CMMI-1028978 (D.J.B. and M.G.). This research was undertaken with the assistance of resources provided at the NCI National Facility through the National Computational Merit Allocation Scheme supported by the Australian Government. We thank Thomas Landgrebe for his assistance with calculating intersection scores.</t>
  </si>
  <si>
    <t>10.1002/2015GL063057</t>
  </si>
  <si>
    <t>Green Published, Green Accepted, Bronze</t>
  </si>
  <si>
    <t>WOS:000353170000016</t>
  </si>
  <si>
    <t>Freeman, NM; Lovenduski, NS</t>
  </si>
  <si>
    <t>Freeman, Natalie M.; Lovenduski, Nicole S.</t>
  </si>
  <si>
    <t>Decreased calcification in the Southern Ocean over the satellite record</t>
  </si>
  <si>
    <t>Southern Ocean; calcification; particulate inorganic carbon; carbonate ion; Antarctic polar front</t>
  </si>
  <si>
    <t>COCCOLITHOPHORID EMILIANIA-HUXLEYI; SEA; ACIDIFICATION; CO2; NUTRIENTS; BLOOMS</t>
  </si>
  <si>
    <t>Widespread ocean acidification is occurring as the ocean absorbs anthropogenic carbon dioxide from the atmosphere, threatening marine ecosystems, particularly the calcifying plankton that provide the base of the marine food chain and play a key role within the global carbon cycle. We use satellite estimates of particulate inorganic carbon (PIC), surface chlorophyll, and sea surface temperature to provide a first estimate of changing calcification rates throughout the Southern Ocean. From 1998 to 2014 we observe a 4% basin-wide reduction in summer calcification, with approximate to 9% reductions in large regions (approximate to 1 x 10(6) km(2)) of the Pacific and Indian sectors. Southern Ocean trends are spatially heterogeneous and primarily driven by changes in PIC concentration (suspended calcite), which has declined by approximate to 24% in these regions. The observed decline in Southern Ocean calcification and PIC is suggestive of large-scale changes in the carbon cycle and provides insight into organism vulnerability in a changing environment.</t>
  </si>
  <si>
    <t>[Freeman, Natalie M.; Lovenduski, Nicole S.] Univ Colorado, Dept Atmospher &amp; Ocean Sci, Boulder, CO 80309 USA; [Freeman, Natalie M.; Lovenduski, Nicole S.] Univ Colorado, Inst Arctic &amp; Alpine Res, Boulder, CO 80309 USA</t>
  </si>
  <si>
    <t>University of Colorado System; University of Colorado Boulder; University of Colorado System; University of Colorado Boulder</t>
  </si>
  <si>
    <t>Freeman, NM (corresponding author), Univ Colorado, Dept Atmospher &amp; Ocean Sci, Boulder, CO 80309 USA.</t>
  </si>
  <si>
    <t>natalie.freeman@colorado.edu</t>
  </si>
  <si>
    <t>/AAL-3738-2021; Lovenduski, Nicole/V-4014-2019; Freeman, Natalie/F-8672-2015</t>
  </si>
  <si>
    <t>Lovenduski, Nicole/0000-0001-5893-1009; Freeman, Natalie/0000-0002-4718-5650</t>
  </si>
  <si>
    <t>NSF [DGE-1144083, OCE-1155240]; NOAA [NA12OAR4310058]; Directorate For Geosciences; Division Of Ocean Sciences [1155240] Funding Source: National Science Foundation</t>
  </si>
  <si>
    <t>NSF(National Science Foundation (NSF)); NOAA(National Oceanic Atmospheric Admin (NOAA) - USA); Directorate For Geosciences; Division Of Ocean Sciences(National Science Foundation (NSF)NSF - Directorate for Geosciences (GEO))</t>
  </si>
  <si>
    <t>The SeaWiFS and MODIS-Aqua level 3 particulate inorganic carbon, chlorophyll-a and sea surface temperature data were obtained from the NASA Ocean Colour distributed archive (http://oceancolor.gsfc.nasa.gov/). The AVHRR Oceans Pathfinder sea surface temperature data used in conjunction for the SeaWiFS era were obtained from http://www.science.oregonstate.edu/ocean.productivity/ and regridded to a 9 km grid. CO2SYS is obtainable from cdiac.ornl.gov/oceans/co2rprt.html. Weekly SST observations from AMSR-E ocean products used for the polar front analysis obtained online at http://www.ssmi.com. We acknowledge generous funding from NSF (DGE-1144083 and OCE-1155240) and NOAA (NA12OAR4310058). We thank Shenfu Dong for her help and guidance in our effort to extend the Polar Front analysis.</t>
  </si>
  <si>
    <t>10.1002/2014GL062769</t>
  </si>
  <si>
    <t>Green Submitted, Green Published, Bronze</t>
  </si>
  <si>
    <t>WOS:000353170000028</t>
  </si>
  <si>
    <t>Coggins, JHJ; McDonald, AJ</t>
  </si>
  <si>
    <t>Coggins, Jack H. J.; McDonald, Adrian J.</t>
  </si>
  <si>
    <t>The influence of the Amundsen Sea Low on the winds in the Ross Sea and surroundings: Insights from a synoptic climatology</t>
  </si>
  <si>
    <t>Antarctica; Amundsen Sea Low; Ross Ice Shelf; surface wind; cyclone</t>
  </si>
  <si>
    <t>SOUTHERN ANNULAR MODE; WEST ANTARCTICA; ICE SHELF; CONFLUENCE ZONE; SIPLE COAST; VARIABILITY; TRENDS; REGION; CIRCULATION; PATTERNS</t>
  </si>
  <si>
    <t>The Amundsen Sea Low (ASL) is an area of climatologically low atmospheric pressure situated over the Southern Ocean. The depth and location of this feature have significant effects on winds, temperature, moisture transport, and sea ice in its vicinity. In this article, we quantify the modulating effect of this feature on winds over the Ross Sea and Ross Ice Shelf. We examine composites of surface winds sampled according to extrema in ASL depth, longitude, and latitude. We employ the output of a previously developed synoptic climatology to identify the explanatory synoptic-scale forcings. In autumn, winter, and spring (AWS) we find that the impact of the depth of the ASL is smaller than that of its location. The ASL moves eastward when it is deep, thereby reducing its influence on Ross Sea winds. When the ASL is northward, we find strongly enhanced southerly flows over the Ross Sea and Ice Shelf, forced by greater cyclonic activity in the north of the Ross Sea. In summer, we find increased cyclonic flow coinciding with a deeper ASL, despite the ASL being located in the Bellingshausen Sea at this time. The responses to the ASL longitude and latitude are profoundly different to those in AWS, suggesting that relationships are strongly dependent on the varying seasonal location of the low. We examine two metrics of the ASL depth and identify that the absolute mean sea level pressure (MSLP) has a more widespread response than that of the relative MSLP.</t>
  </si>
  <si>
    <t>[Coggins, Jack H. J.; McDonald, Adrian J.] Univ Canterbury, Dept Phys &amp; Astron, Christchurch 1, New Zealand</t>
  </si>
  <si>
    <t>University of Canterbury</t>
  </si>
  <si>
    <t>Coggins, JHJ (corresponding author), Univ Canterbury, Dept Phys &amp; Astron, Christchurch 1, New Zealand.</t>
  </si>
  <si>
    <t>jack.coggins@canterbury.ac.nz</t>
  </si>
  <si>
    <t>McDonald, Adrian/0000-0002-1456-6254</t>
  </si>
  <si>
    <t>New Zealand Antarctic Research Institute; University of Canterbury Doctoral Scholarship; New Zealand Ministry of Foreign Affairs and Trade Ross Sea Dependency Scholarship</t>
  </si>
  <si>
    <t>The authors wish to thank John Cassano, Ryan Fogt, and two anonymous reviewers for their valuable input on this study. Thanks also go to James Renwick and Andrew Orr for their insightful comments on an early version of this work. This study was supported by a grant from the New Zealand Antarctic Research Institute, a University of Canterbury Doctoral Scholarship, and a New Zealand Ministry of Foreign Affairs and Trade Ross Sea Dependency Scholarship. ERA-Interim output was downloaded from the European Centre for Medium-Range Weather Forecasts data server (http://apps.ecmwf.int/datasets/), the Marshall SAM index from the British Antarctic Survey (http://www.antarctica.ac.uk/met/gjma/sam.html), the SOI from the University Corporation for Atmospheric Research (http://www.cgd.ucar.edu/cas/catalog/climind/soi.html), and the Nino 3.4 index from the National Center for Atmospheric Research (http://www.cgd.ucar.edu/cas/catalog/climind/Nino_3_3.4_indices.html).</t>
  </si>
  <si>
    <t>MAR 27</t>
  </si>
  <si>
    <t>10.1002/2014JD022830</t>
  </si>
  <si>
    <t>CG1UZ</t>
  </si>
  <si>
    <t>WOS:000353061800001</t>
  </si>
  <si>
    <t>Mitchell, LE; Buizert, C; Brook, EJ; Breton, DJ; Fegyveresi, J; Baggenstos, D; Orsi, A; Severinghaus, J; Alley, RB; Albert, M; Rhodes, RH; McConnell, JR; Sigl, M; Maselli, O; Gregory, S; Ahn, J</t>
  </si>
  <si>
    <t>Mitchell, Logan E.; Buizert, Christo; Brook, Edward J.; Breton, Daniel J.; Fegyveresi, John; Baggenstos, Daniel; Orsi, Anais; Severinghaus, Jeffrey; Alley, Richard B.; Albert, Mary; Rhodes, Rachael H.; McConnell, Joseph R.; Sigl, Michael; Maselli, Olivia; Gregory, Stephanie; Ahn, Jinho</t>
  </si>
  <si>
    <t>Observing and modeling the influence of layering on bubble trapping in polar firn</t>
  </si>
  <si>
    <t>firn; layering; ice core; methane; firn density; total air content</t>
  </si>
  <si>
    <t>AIR-CONTENT; ICE-CORE; ANTARCTIC ICE; ATMOSPHERIC METHANE; CLIMATIC PARAMETERS; ACCUMULATION-RATE; GAS-TRANSPORT; CLOSE-OFF; DENSIFICATION; GREENLAND</t>
  </si>
  <si>
    <t>Interpretation of ice core trace gas records depends on an accurate understanding of the processes that smooth the atmospheric signal in the firn. Much work has been done to understand the processes affecting air transport in the open pores of the firn, but a paucity of data from air trapped in bubbles in the firn-ice transition region has limited the ability to constrain the effect of bubble closure processes. Here we present high-resolution measurements of firn density, methane concentrations, nitrogen isotopes, and total air content that show layering in the firn-ice transition region at the West Antarctic Ice Sheet (WAIS) Divide ice core site. Using the notion that bubble trapping is a stochastic process, we derive a new parameterization for closed porosity that incorporates the effects of layering in a steady state firn modeling approach. We include the process of bubble trapping into an open-porosity firn air transport model and obtain a good fit to the firn core data. We find that layering broadens the depth range over which bubbles are trapped, widens the modeled gas age distribution of air in closed bubbles, reduces the mean gas age of air in closed bubbles, and introduces stratigraphic irregularities in the gas age scale that have a peak-to-peak variability of 10 years at WAIS Divide. For a more complete understanding of gas occlusion and its impact on ice core records, we suggest that this experiment be repeated at sites climatically different from WAIS Divide, for example, on the East Antarctic plateau.</t>
  </si>
  <si>
    <t>[Mitchell, Logan E.; Buizert, Christo; Brook, Edward J.; Rhodes, Rachael H.] Oregon State Univ, Coll Earth Ocean &amp; Atmospher Sci, Corvallis, OR 97331 USA; [Mitchell, Logan E.] Univ Utah, Dept Atmospher Sci, Salt Lake City, UT USA; [Breton, Daniel J.] Univ Maine, Dept Phys &amp; Astron, Orono, ME 04469 USA; [Breton, Daniel J.] Univ Maine, Climate Change Inst, Orono, ME USA; [Fegyveresi, John; Alley, Richard B.] Penn State Univ, Dept Geosci, University Pk, PA 16802 USA; [Fegyveresi, John; Alley, Richard B.] Penn State Univ, Earth &amp; Environm Syst Inst, University Pk, PA 16802 USA; [Baggenstos, Daniel; Orsi, Anais; Severinghaus, Jeffrey] Univ Calif San Diego, Scripps Inst Oceanog, La Jolla, CA 92093 USA; [Orsi, Anais] CEA CNRS UVSQ, Lab Sci Climat &amp; Environm, Gif Sur Yvette, France; [Albert, Mary; Gregory, Stephanie] Dartmouth Coll, Thayer Sch Engn, Hanover, NH 03755 USA; [McConnell, Joseph R.; Sigl, Michael; Maselli, Olivia] Nevada Syst Higher Educ, Desert Res Inst, Reno, NV USA; [Ahn, Jinho] Seoul Natl Univ, Sch Earth &amp; Environm Sci, Seoul, South Korea</t>
  </si>
  <si>
    <t>Oregon State University; Utah System of Higher Education; University of Utah; University of Maine System; University of Maine Orono; University of Maine System; University of Maine Orono; Pennsylvania Commonwealth System of Higher Education (PCSHE); Pennsylvania State University; Pennsylvania State University - University Park; Pennsylvania Commonwealth System of Higher Education (PCSHE); Pennsylvania State University; Pennsylvania State University - University Park; University of California System; University of California San Diego; Scripps Institution of Oceanography; CEA; Centre National de la Recherche Scientifique (CNRS); Universite Paris Saclay; Dartmouth College; Nevada System of Higher Education (NSHE); Desert Research Institute NSHE; Seoul National University (SNU)</t>
  </si>
  <si>
    <t>Mitchell, LE (corresponding author), Oregon State Univ, Coll Earth Ocean &amp; Atmospher Sci, Corvallis, OR 97331 USA.</t>
  </si>
  <si>
    <t>logan.e.mitchell@gmail.com</t>
  </si>
  <si>
    <t>Brook, Edward/AAB-7807-2021; Baggenstos, Daniel/AAK-5751-2021; Mitchell, Logan E/A-5481-2011</t>
  </si>
  <si>
    <t>Baggenstos, Daniel/0000-0001-9756-6884; Mitchell, Logan E/0000-0002-8749-954X; Fegyveresi, John/0000-0002-1029-6277; Albert, Mary/0000-0001-7842-2359; Breton, Daniel/0000-0001-9040-5340; Sigl, Michael/0000-0002-9028-9703; Buizert, Christo/0000-0002-2227-1747; Rhodes, Rachael/0000-0001-7511-1969</t>
  </si>
  <si>
    <t>NSF OPP [0538578, 0520523, 0538538, 0944343, 0944078, 1142166, 1043528]; NASA/Oregon Space Grant Consortium [NNG05GJ85H]; NOAA Climate and Global Change Fellowship Program; Polar Academic Program (PAP) of Korea Polar Research Institute (KOPRI) [PD12010]; NSF [ANT-0944018, ANT-1245663, 0230396, 0440817, 0944348, 0944266]; NSF OPP; Directorate For Geosciences; Office of Polar Programs (OPP) [1142166] Funding Source: National Science Foundation; Office Of Internatl Science &amp;Engineering; Office Of The Director [0968391] Funding Source: National Science Foundation; Office of Polar Programs (OPP); Directorate For Geosciences [0944552, 1043528] Funding Source: National Science Foundation</t>
  </si>
  <si>
    <t>NSF OPP(National Science Foundation (NSF)NSF - Directorate for Geosciences (GEO)); NASA/Oregon Space Grant Consortium(National Aeronautics &amp; Space Administration (NASA)); NOAA Climate and Global Change Fellowship Program(National Oceanic Atmospheric Admin (NOAA) - USA); Polar Academic Program (PAP) of Korea Polar Research Institute (KOPRI)(Korea Polar Research Institute of Marine Research Placement (KOPRI)); NSF(National Science Foundation (NSF)); NSF OPP(National Science Foundation (NSF)NSF - Directorate for Geosciences (GEO)); Directorate For Geosciences; Office of Polar Programs (OPP)(National Science Foundation (NSF)NSF - Directorate for Geosciences (GEO)); Office Of Internatl Science &amp;Engineering; Office Of The Director(National Science Foundation (NSF)NSF - Office of the Director (OD)); Office of Polar Programs (OPP); Directorate For Geosciences(National Science Foundation (NSF)NSF - Directorate for Geosciences (GEO))</t>
  </si>
  <si>
    <t>This work was supported by NSF OPP grants 0538578, 0520523, 0538538, 0944343 (to J.P.S.), 0944078 (to M.R.A.), 1142166 (to J.R.M.), and 1043528 (to R.B.A.), the NASA/Oregon Space Grant Consortium grant NNG05GJ85H (to L.E.M.), the NOAA Climate and Global Change Fellowship Program, administered by the University Corporation for Atmospheric Research (to C.B.), and the Polar Academic Program (PAP, PD12010) of Korea Polar Research Institute (KOPRI). We thank Brendan Williams, James Lee, and Jon Edwards for assisting in sample preparation and analysis at OSU; N. Chellman and L. Layman for help in the continuous analyses at DRI; Max Stevens for checking the porosity parameterization equations; Jakob Schwander and David Etheridge for useful discussions and sharing porosity data; Steve Montzka for sharing WAIS halocarbon firn air data; the University of Wisconsin-Madison Automatic Weather Station Program for the surface pressure observations from Kominko-Slade AWS (NSF grants ANT-0944018 and ANT-1245663); two anonymous reviewers for constructive comments which improved the clarity of the manuscript; the WAIS Divide Science Coordination Office at DRI, Reno, Nevada, for the collection and distribution of the WAIS Divide ice core (Kendrick Taylor, NSF grants 0230396, 0440817, 0944348, and 0944266 University of New Hampshire); NSF OPP which funds the Ice Drilling Program Office and Ice Drilling Design and Operations group for coring activities; NSF which funds the National Ice Core Laboratory which curated and processed the core; Raytheon Polar Services which provided logistics support in Antarctica; and the 109th New York Air National Guard for airlift in Antarctica. Data and description can be downloaded from the NOAA National Climate Data Center http://www.ncdc.noaa.gov/data-access/paleoclimatology-data.</t>
  </si>
  <si>
    <t>10.1002/2014JD022766</t>
  </si>
  <si>
    <t>Green Published, Bronze, Green Accepted</t>
  </si>
  <si>
    <t>WOS:000353061800026</t>
  </si>
  <si>
    <t>Brown, RM; Techow, NMSM; Wood, AG; Phillips, RA</t>
  </si>
  <si>
    <t>Brown, Ruth M.; Techow, N. M. S. Mareile; Wood, Andrew G.; Phillips, Richard A.</t>
  </si>
  <si>
    <t>Hybridization and Back-Crossing in Giant Petrels (Macronectes giganteus and M. halli) at Bird Island, South Georgia, and a Summary of Hybridization in Seabirds</t>
  </si>
  <si>
    <t>PATERNITY INFERENCE; HALDANE RULE; SEX-RATIO; HYBRID; INTROGRESSION; POPULATION; SPECIATION; EVOLUTION; SPP.; SELECTION</t>
  </si>
  <si>
    <t>Hybridization in natural populations provides an opportunity to study the evolutionary processes that shape divergence and genetic isolation of species. The emergence of pre-mating barriers is often the precursor to complete reproductive isolation. However, in recently diverged species, pre-mating barriers may be incomplete, leading to hybridization between seemingly distinct taxa. Here we report results of a long-term study at Bird Island, South Georgia, of the extent of hybridization, mate fidelity, timing of breeding and breeding success in mixed and conspecific pairs of the sibling species, Macronectes halli (northern giant petrel) and M. giganteus (southern giant petrel). The proportion of mixed-species pairs varied annually from 0.4-2.4% (mean of 1.5%), and showed no linear trend with time. Mean laying date in mixed-species pairs tended to be later than in northern giant petrel, and always earlier than in southern giant petrel pairs, and their breeding success (15.6%) was lower than that of conspecific pairs. By comparison, mixed-species pairs at both Marion and Macquarie islands always failed before hatching. Histories of birds in mixed-species pairs at Bird Island were variable; some bred previously or subsequently with a conspecific partner, others subsequently with a different allospecific partner, and some mixed-species pairs remained together for multiple seasons. We also report the first verified back-crossing of a hybrid giant petrel with a female northern giant petrel. We discuss the potential causes and evolutionary consequences of hybridization and back-crossing in giant petrels and summarize the incidence of back-crossing in other seabird species.</t>
  </si>
  <si>
    <t>[Brown, Ruth M.; Wood, Andrew G.; Phillips, Richard A.] British Antarctic Survey, Ecosyst Programme, Cambridge CB3 0ET, England; [Techow, N. M. S. Mareile] Univ Cape Town, Percy FitzPatrick Inst, DST NRF Ctr Excellence, ZA-7925 Cape Town, South Africa</t>
  </si>
  <si>
    <t>UK Research &amp; Innovation (UKRI); Natural Environment Research Council (NERC); NERC British Antarctic Survey; National Research Foundation - South Africa; University of Cape Town</t>
  </si>
  <si>
    <t>Phillips, RA (corresponding author), British Antarctic Survey, Ecosyst Programme, Cambridge CB3 0ET, England.</t>
  </si>
  <si>
    <t>raphil@bas.ac.uk</t>
  </si>
  <si>
    <t>Natural Environment Research Council; NERC [bas0100025] Funding Source: UKRI; Natural Environment Research Council [bas0100025] Funding Source: researchfish</t>
  </si>
  <si>
    <t>This work was supported by the Natural Environment Research Council (www.nerc.ac.uk). The funder had no role in study design, data collection and analysis, decision to publish, or preparation of the manuscript.</t>
  </si>
  <si>
    <t>e0121688</t>
  </si>
  <si>
    <t>10.1371/journal.pone.0121688</t>
  </si>
  <si>
    <t>CE8ZT</t>
  </si>
  <si>
    <t>Green Published, Green Submitted, gold, Green Accepted</t>
  </si>
  <si>
    <t>WOS:000352133600112</t>
  </si>
  <si>
    <t>Karanovic, I</t>
  </si>
  <si>
    <t>Karanovic, Ivana</t>
  </si>
  <si>
    <t>Barcoding of Ancient Lake Ostracods (Crustacea) Reveals Cryptic Speciation with Extremely Low Distances</t>
  </si>
  <si>
    <t>WESTERN-AUSTRALIA; PHYLOGENIES; DIVERGENCE; INFERENCE; ALIGNMENT; TAXONOMY; MRBAYES; RATES; MODEL</t>
  </si>
  <si>
    <t>Ostracods are drastically reduced crustaceans, with never more than eight appendages enclosed between two valves, leaving only a limited number of morphological characters for species delineation. Conservative morphology of characters used to define genera, along with high variability of characters used to define species are creating problems in applying a morphospecies concept. A high intraspecific variability in a Lake Biwa (Japan) endemic, Physocypria biwaensis (Okubo, 1990), has been observed previously but was never studied in detail. Two sympatric forms, differing in pigmentation and size, suggest a presence of reproductive isolation. The aim of this study is to employ molecular and morphometric tools to aid in species delineation within P. biwaensis complex and reconstruct their phylogenetic relationships. A fragment of the mtCOI gene was amplified from 30 specimens, and an additional 37 specimens were studied for morphological characters. Resulting phylogenies showed that each morphologically distinct form is associated with a distinct phylogenetic group based on mtDNA. The average pairwise distance is very low (5%), indicating a recent divergence time. I speculate that there is a possibility that one of them originated in the lake, while the other probably colonized it afterwards. This seems to be supported with an apparent niche partitioning at different depths. In spite of the fact that traditionally used sexual characters are highly variable in these two species, the morphometric analysis of shell and soft part related characters clearly delineates them and suggests that such characters may be useful for future detection of seemingly cryptic ostracod species.</t>
  </si>
  <si>
    <t>[Karanovic, Ivana] Hanyang Univ, Dept Life Sci, Seoul 133791, South Korea; [Karanovic, Ivana] Univ Tasmania, Inst Marine &amp; Antarctic Studies, Hobart, Tas, Australia</t>
  </si>
  <si>
    <t>Hanyang University; University of Tasmania</t>
  </si>
  <si>
    <t>NIBR (National Institute of Biological Resources), Korea [2013-02-001]; Lake Biwa Museum Comprehensive Research Project, Japan [11-01]; National Research Foundation of Korea [22A20130012352] Funding Source: Korea Institute of Science &amp; Technology Information (KISTI), National Science &amp; Technology Information Service (NTIS)</t>
  </si>
  <si>
    <t>NIBR (National Institute of Biological Resources), Korea; Lake Biwa Museum Comprehensive Research Project, Japan; National Research Foundation of Korea(National Research Foundation of Korea)</t>
  </si>
  <si>
    <t>Financial support for sequencing and SEM work to the author came from NIBR (National Institute of Biological Resources) grant (NIBR No. 2013-02-001), Korea, while the necessary facilities were provided by the Hanyang University and Eulji University, both in Seoul. Collecting from the Lake Biwa was supported by the Lake Biwa Museum Comprehensive Research Project 11-01, Japan. The funders had no role in study design and analysis, decision to publish, or preparation of the manuscript.</t>
  </si>
  <si>
    <t>MAR 26</t>
  </si>
  <si>
    <t>e0121133</t>
  </si>
  <si>
    <t>10.1371/journal.pone.0121133</t>
  </si>
  <si>
    <t>CK6QW</t>
  </si>
  <si>
    <t>WOS:000356353700084</t>
  </si>
  <si>
    <t>Arthur, B; Hindell, M; Bester, M; Trathan, P; Jonsen, I; Staniland, I; Oosthuizen, WC; Wege, M; Lea, MA</t>
  </si>
  <si>
    <t>Arthur, Benjamin; Hindell, Mark; Bester, Marthan; Trathan, Phil; Jonsen, Ian; Staniland, Iain; Oosthuizen, W. Chris; Wege, Mia; Lea, Mary-Anne</t>
  </si>
  <si>
    <t>Return Customers: Foraging Site Fidelity and the Effect of Environmental Variability in Wide-Ranging Antarctic Fur Seals</t>
  </si>
  <si>
    <t>SOUTHERN-OCEAN; HOME-RANGE; OCEANOGRAPHIC FEATURES; ARCTOCEPHALUS-GAZELLA; MACARONI PENGUINS; MARINE PREDATOR; ANIMAL MOVEMENT; ELEPHANT SEAL; BEHAVIOR; HABITAT</t>
  </si>
  <si>
    <t>Strategies employed by wide-ranging foraging animals involve consideration of habitat quality and predictability and should maximise net energy gain. Fidelity to foraging sites is common in areas of high resource availability or where predictable changes in resource availability occur. However, if resource availability is heterogeneous or unpredictable, as it often is in marine environments, then habitat familiarity may also present ecological benefits to individuals. We examined the winter foraging distribution of female Antarctic fur seals, Arctocephalus gazelle, over four years to assess the degree of foraging site fidelity at two scales; within and between years. On average, between-year fidelity was strong, with most individuals utilising more than half of their annual foraging home range over multiple years. However, fidelity was a bimodal strategy among individuals, with five out of eight animals recording between-year overlap values of greater than 50%, while three animals recorded values of less than 5%. High long-term variance in sea surface temperature, a potential proxy for elevated long-term productivity and prey availability, typified areas of overlap. Within-year foraging site fidelity was weak, indicating that successive trips over the winter target different geographic areas. We suggest that over a season, changes in prey availability are predictable enough for individuals to shift foraging area in response, with limited associated energetic costs. Conversely, over multiple years, the availability of prey resources is less spatially and temporally predictable, increasing the potential costs of shifting foraging area and favouring long-term site fidelity. In a dynamic and patchy environment, multi-year foraging site fidelity may confer a long-term energetic advantage to the individual. Such behaviours that operate at the individual level have evolutionary and ecological implications and are potential drivers of niche specialization and modifiers of intra-specific competition.</t>
  </si>
  <si>
    <t>[Arthur, Benjamin; Hindell, Mark; Lea, Mary-Anne] Univ Tasmania, Inst Marine &amp; Antarctic Studies, Hobart, Tas, Australia; [Bester, Marthan; Oosthuizen, W. Chris; Wege, Mia] Univ Pretoria, Mammal Res Inst, Dept Zool &amp; Entomol, ZA-0002 Pretoria, South Africa; [Trathan, Phil; Staniland, Iain] British Antarctic Survey, Cambridge CB3 0ET, England; [Jonsen, Ian] Macquarie Univ, Dept Biol Sci, Sydney, NSW 2109, Australia</t>
  </si>
  <si>
    <t>University of Tasmania; University of Pretoria; UK Research &amp; Innovation (UKRI); Natural Environment Research Council (NERC); NERC British Antarctic Survey; Macquarie University</t>
  </si>
  <si>
    <t>Arthur, B (corresponding author), Univ Tasmania, Inst Marine &amp; Antarctic Studies, Hobart, Tas, Australia.</t>
  </si>
  <si>
    <t>Benjamin.Arthur@utas.edu.au</t>
  </si>
  <si>
    <t>Bester, Marthán N/E-5387-2010; Oosthuizen, W. Chris/I-2947-2016; Staniland, Iain/I-4725-2012; Wege, Mia/B-1103-2016; Hindell, Mark A/K-1131-2013; Lea, Mary-Anne/E-9054-2013</t>
  </si>
  <si>
    <t>Oosthuizen, W. Chris/0000-0003-2905-6297; Staniland, Iain/0000-0003-2736-9134; Wege, Mia/0000-0002-9022-3069; Chiaradia, Andre/0000-0002-6178-4211; Lea, Mary-Anne/0000-0001-8318-9299; Jonsen, Ian/0000-0001-5423-6076; Hindell, Mark/0000-0002-7823-7185; Arthur, Benjamin/0000-0002-1390-5760</t>
  </si>
  <si>
    <t>Australian Research Council; Sea World Research and Rescue Foundation Inc. Australia [SWR/6/2013]; Holsworth Wildlife Research Endowment [L0020491]; Natural Environment Research Council [bas0100025] Funding Source: researchfish; NERC [bas0100025] Funding Source: UKRI</t>
  </si>
  <si>
    <t>Australian Research Council(Australian Research Council); Sea World Research and Rescue Foundation Inc. Australia; Holsworth Wildlife Research Endowment; Natural Environment Research Council(UK Research &amp; Innovation (UKRI)Natural Environment Research Council (NERC)); NERC(UK Research &amp; Innovation (UKRI)Natural Environment Research Council (NERC))</t>
  </si>
  <si>
    <t>This research was funded by the Australian Research Council, Sea World Research and Rescue Foundation Inc. Australia (SWR/6/2013) and the Holsworth Wildlife Research Endowment (L0020491). The funders had no role in study design, data collection and analysis, decision to publish, or preparation of the manuscript.</t>
  </si>
  <si>
    <t>MAR 25</t>
  </si>
  <si>
    <t>e0120888</t>
  </si>
  <si>
    <t>10.1371/journal.pone.0120888</t>
  </si>
  <si>
    <t>CE5MO</t>
  </si>
  <si>
    <t>Green Published, gold, Green Submitted, Green Accepted</t>
  </si>
  <si>
    <t>WOS:000351880000110</t>
  </si>
  <si>
    <t>Crame, JA; Beu, AG; Ineson, JR; Francis, JE; Whittle, RJ; Bowman, VC</t>
  </si>
  <si>
    <t>Crame, J. A.; Beu, A. G.; Ineson, J. R.; Francis, J. E.; Whittle, R. J.; Bowman, V. C.</t>
  </si>
  <si>
    <t>The Early Origin of the Antarctic Marine Fauna and Its Evolutionary Implications (vol 9, e114743, 2014)</t>
  </si>
  <si>
    <t>MAR 24</t>
  </si>
  <si>
    <t>e0120036</t>
  </si>
  <si>
    <t>10.1371/journal.pone.0120036</t>
  </si>
  <si>
    <t>CH2XV</t>
  </si>
  <si>
    <t>WOS:000353889600056</t>
  </si>
  <si>
    <t>Stibal, M; Gözdereliler, E; Cameron, KA; Box, JE; Stevens, IT; Gokul, JK; Schostag, M; Zarsky, JD; Edwards, A; Irvine-Fynn, TDL; Jacobsen, CS</t>
  </si>
  <si>
    <t>Stibal, Marek; Gozdereliler, Erkin; Cameron, Karen A.; Box, Jason E.; Stevens, Ian T.; Gokul, Jarishma K.; Schostag, Morten; Zarsky, Jakub D.; Edwards, Arwyn; Irvine-Fynn, Tristram D. L.; Jacobsen, Carsten S.</t>
  </si>
  <si>
    <t>Microbial abundance in surface ice on the Greenland Ice Sheet</t>
  </si>
  <si>
    <t>glacier ice; microbial abundance; Greenland Ice Sheet; epifluorescence microscopy; flow cytometry; quantitative PCR; multivariate analysis</t>
  </si>
  <si>
    <t>HIGH ARCTIC GLACIER; BACTERIAL COMMUNITIES; ANTARCTIC ICE; FLOW-CYTOMETRY; CULTURABLE BACTERIA; ABLATION ZONE; LAKE VOSTOK; CRYOCONITE; SVALBARD; CORE</t>
  </si>
  <si>
    <t>Measuring microbial abundance in glacier ice and identifying its controls is essential for a better understanding and quantification of biogeochemical processes in glacial ecosystems. However, cell enumeration of glacier ice samples is challenging due to typically low cell numbers and the presence of interfering mineral particles. We quantified for the first time the abundance of microbial cells in surface ice from geographically distinct sites on the Greenland Ice Sheet (GrIS), using three enumeration methods: epifluorescence microscopy (EFM), flow cytometry (FCM), and quantitative polymerase chain reaction (qPCR). In addition, we reviewed published data on microbial abundance in glacier ice and tested the three methods on artificial ice samples of realistic cell (10(2)-10(7) cells ml(-1)) and mineral particle (0.1-100 mg ml(-1)) concentrations, simulating a range of glacial ice types, from clean subsurface ice to surface ice to sediment-laden basal ice. We then used multivariate statistical analysis to identify factors responsible for the variation in microbial abundance on the ice sheet. EFM gave the most accurate and reproducible results of the tested methodologies, and was therefore selected as the most suitable technique for cell enumeration of ice containing dust. Cell numbers in surface ice samples, determined by EFM, ranged from similar to 2 x 10(3) to similar to 2 x 10(6) cells ml(-1) while dust concentrations ranged from 0.01 to 2 mg ml(-1). The lowest abundances were found in ice sampled from the accumulation area of the ice sheet and in samples affected by fresh snow; these samples may be considered as a reference point of the cell abundance of precipitants that are deposited on the ice sheet surface. Dust content was the most significant variable to explain the variation in the abundance data, which suggests a direct association between deposited dust particles and cells and/or by their provision of limited nutrients to microbial communities on the GrIS.</t>
  </si>
  <si>
    <t>[Stibal, Marek; Gozdereliler, Erkin; Cameron, Karen A.; Box, Jason E.; Jacobsen, Carsten S.] Geol Survey Denmark &amp; Greenland, DK-1350 Copenhagen, Denmark; [Stibal, Marek; Gozdereliler, Erkin; Cameron, Karen A.; Schostag, Morten; Jacobsen, Carsten S.] Univ Copenhagen, Ctr Permafrost, Copenhagen, Denmark; [Stibal, Marek; Zarsky, Jakub D.] Charles Univ Prague, Dept Ecol, Prague, Czech Republic; [Stevens, Ian T.; Gokul, Jarishma K.; Edwards, Arwyn; Irvine-Fynn, Tristram D. L.] Aberystwyth Univ, Ctr Glaciol, Aberystwyth SY23 3FG, Dyfed, Wales; [Zarsky, Jakub D.] Univ South Bohemia, Ctr Polar Ecol, Ceske Budejovice, Czech Republic; [Jacobsen, Carsten S.] Univ Copenhagen, Dept Plant &amp; Environm Sci, Copenhagen, Denmark</t>
  </si>
  <si>
    <t>Geological Survey Of Denmark &amp; Greenland; University of Copenhagen; Charles University Prague; Aberystwyth University; University of South Bohemia Ceske Budejovice; University of Copenhagen</t>
  </si>
  <si>
    <t>Stibal, M (corresponding author), Geol Survey Denmark &amp; Greenland, Dept Geochem, Oster Voldgade 10, DK-1350 Copenhagen, Denmark.</t>
  </si>
  <si>
    <t>msti@geus.dk</t>
  </si>
  <si>
    <t>Box, Jason E/AAE-1654-2019; Zarsky, Jakub Dan/D-1383-2013; Stibal, Marek/I-3852-2016; Schostag, Morten Dencker/G-9653-2018; Box, Jason/H-5770-2013</t>
  </si>
  <si>
    <t>Box, Jason E/0000-0003-0052-8705; Zarsky, Jakub Dan/0000-0001-7072-0327; Schostag, Morten Dencker/0000-0001-9221-1398; Box, Jason/0000-0003-0052-8705; Stevens, Ian/0000-0001-6374-9500; Jacobsen, Carsten Suhr/0000-0003-1041-0823; Irvine-Fynn, Tristram/0000-0003-3157-6646; Cameron, Karen/0000-0003-4658-4913; Stibal, Marek/0000-0002-9998-5086; Gokul, Jarishma K./0000-0002-0050-4781</t>
  </si>
  <si>
    <t>Villum Young Investigator Programme grant [VKR 023121]; Danish Research Council [FNU 10-085274]; Dark Snow Project; Royal Society [RG130314]; Czech Ministry of Education [LM2010009]; Villum Fonden [00007270] Funding Source: researchfish</t>
  </si>
  <si>
    <t>Villum Young Investigator Programme grant; Danish Research Council(Det Frie Forskningsrad (DFF)); Dark Snow Project; Royal Society(Royal Society); Czech Ministry of Education(Ministry of Education, Youth &amp; Sports - Czech Republic); Villum Fonden(Villum Fonden)</t>
  </si>
  <si>
    <t>This research was funded by Villum Young Investigator Programme grant VKR 023121 to MS and Danish Research Council grant FNU 10-085274 to CJ, and supported by the Dark Snow Project (http://darksnowproject.org/). Flow cytometric analyses at Aberystwyth were supported by Royal Society grant RG130314 to AE. JZ was supported by Czech Ministry of Education grant LM2010009. We thank Pernille Stockman and Christina Rosenberg Lynge for technical assistance and Michele Citterio, Martin Veicherts, and McKenzie Skiles for field assistance,</t>
  </si>
  <si>
    <t>PO BOX 110, EPFL INNOVATION PARK, BUILDING I, LAUSANNE, 1015, SWITZERLAND</t>
  </si>
  <si>
    <t>10.3389/fmicb.2015.00225</t>
  </si>
  <si>
    <t>CF4KN</t>
  </si>
  <si>
    <t>Green Published, gold, Green Accepted</t>
  </si>
  <si>
    <t>WOS:000352518100001</t>
  </si>
  <si>
    <t>Kim, M; Cho, A; Lim, HS; Hong, SG; Kim, JH; Lee, J; Choi, T; Ahn, TS; Kim, OS</t>
  </si>
  <si>
    <t>Kim, Mincheol; Cho, Ahnna; Lim, Hyoun Soo; Hong, Soon Gyu; Kim, Ji Hee; Lee, Joohan; Choi, Taejin; Ahn, Tae Seok; Kim, Ok-Sun</t>
  </si>
  <si>
    <t>Highly Heterogeneous Soil Bacterial Communities around Terra Nova Bay of Northern Victoria Land, Antarctica</t>
  </si>
  <si>
    <t>DIVERSITY; ECOSYSTEMS</t>
  </si>
  <si>
    <t>Given the diminished role of biotic interactions in soils of continental Antarctica, abiotic factors are believed to play a dominant role in structuring of microbial communities. However, many ice-free regions remain unexplored, and it is unclear which environmental gradients are primarily responsible for the variations among bacterial communities. In this study, we investigated the soil bacterial community around Terra Nova Bay of Victoria Land by pyrosequencing and determined which environmental variables govern the bacterial community structure at the local scale. Six bacterial phyla, Actinobacteria, Proteobacteria, Acidobacteria, Chloroflexi, Cyanobacteria, and Bacteroidetes, were dominant, but their relative abundance varied greatly across locations. Bacterial community structures were affected little by spatial distance, but structured more strongly by site, which was in accordance with the soil physicochemical compositions. At both the phylum and species levels, bacterial community structure was explained primarily by pH and water content, while certain earth elements and trace metals also played important roles in shaping community variation. The higher heterogeneity of the bacterial community structure found at this site indicates how soil bacterial communities have adapted to different compositions of edaphic variables under extreme environmental conditions. Taken together, these findings greatly advance our understanding of the adaption of soil bacterial populations to this harsh environment.</t>
  </si>
  <si>
    <t>[Kim, Mincheol] Korea Polar Res Inst, Arctic Res Ctr, Inchon, South Korea; [Cho, Ahnna; Hong, Soon Gyu; Kim, Ok-Sun] Korea Polar Res Inst, Div Life Sci, Inchon, South Korea; [Cho, Ahnna; Ahn, Tae Seok] Kangwon Natl Univ, Dept Environm Sci, Chunchon, South Korea; [Lim, Hyoun Soo] Pusan Natl Univ, Dept Geol Sci, Busan, South Korea; [Kim, Ji Hee; Lee, Joohan] Korea Polar Res Inst, Dept New Antarctic Stn, Inchon, South Korea; [Choi, Taejin] Korea Polar Res Inst, Div Climate Change, Inchon, South Korea</t>
  </si>
  <si>
    <t>Korea Institute of Ocean Science &amp; Technology (KIOST); Korea Polar Research Institute (KOPRI); Korea Institute of Ocean Science &amp; Technology (KIOST); Korea Polar Research Institute (KOPRI); Kangwon National University; Pusan National University; Korea Institute of Ocean Science &amp; Technology (KIOST); Korea Polar Research Institute (KOPRI); Korea Polar Research Institute (KOPRI); Korea Institute of Ocean Science &amp; Technology (KIOST)</t>
  </si>
  <si>
    <t>Kim, OS (corresponding author), Korea Polar Res Inst, Div Life Sci, Inchon, South Korea.</t>
  </si>
  <si>
    <t>oskim@kopri.re.kr</t>
  </si>
  <si>
    <t>Lim, Hyoun Soo/AAC-5499-2022</t>
  </si>
  <si>
    <t>Lim, Hyoun Soo/0000-0002-2489-4470</t>
  </si>
  <si>
    <t>Korea Polar Research Institute [PE11030, PP13050, PE14020]; Ministry of Oceans and Fisheries [PM10050]</t>
  </si>
  <si>
    <t>Korea Polar Research Institute(Korea Polar Research Institute of Marine Research Placement (KOPRI)); Ministry of Oceans and Fisheries</t>
  </si>
  <si>
    <t>This work was supported by the Korea Polar Research Institute (grant PE11030, PP13050 and PE14020) and the Ministry of Oceans and Fisheries (Grant PM10050). The funders played a key role in study design, data collection and analysis, but not in the decision to publish and preparation of the manuscript.</t>
  </si>
  <si>
    <t>MAR 23</t>
  </si>
  <si>
    <t>e0119966</t>
  </si>
  <si>
    <t>10.1371/journal.pone.0119966</t>
  </si>
  <si>
    <t>CE6ZS</t>
  </si>
  <si>
    <t>WOS:000351987300098</t>
  </si>
  <si>
    <t>D'Andrilli, J; Foreman, C; Smith, H</t>
  </si>
  <si>
    <t>D'Andrilli, Juliana; Foreman, Christine; Smith, Heidi</t>
  </si>
  <si>
    <t>Antarctic ice-locked reservoirs of organic matter: Probing the bulk and molecular level chemical nature of organic matter by fluorescence spectroscopy and mass spectrometry</t>
  </si>
  <si>
    <t>ABSTRACTS OF PAPERS OF THE AMERICAN CHEMICAL SOCIETY</t>
  </si>
  <si>
    <t>[D'Andrilli, Juliana; Foreman, Christine] Montana State Univ, Chem &amp; Biol Engn, Bozeman, MT 59717 USA; [D'Andrilli, Juliana; Foreman, Christine; Smith, Heidi] Montana State Univ, Ctr Biofilm Engn, Bozeman, MT 59717 USA; [Smith, Heidi] Montana State Univ, Land Resources &amp; Environm Sci, Bozeman, MT 59717 USA</t>
  </si>
  <si>
    <t>Montana State University System; Montana State University Bozeman; Montana State University System; Montana State University Bozeman; Montana State University System; Montana State University Bozeman</t>
  </si>
  <si>
    <t>jules.dandrilli@gmail.com</t>
  </si>
  <si>
    <t>0065-7727</t>
  </si>
  <si>
    <t>ABSTR PAP AM CHEM S</t>
  </si>
  <si>
    <t>Abstr. Pap. Am. Chem. Soc.</t>
  </si>
  <si>
    <t>MAR 22</t>
  </si>
  <si>
    <t>VA9RR</t>
  </si>
  <si>
    <t>WOS:000411186500125</t>
  </si>
  <si>
    <t>Smith, H; Wei-Haas, M; SanClements, M; D'Andrilli, J; Foreman, C; Chin, YP; McKnight, D</t>
  </si>
  <si>
    <t>Smith, Heidi; Wei-Haas, Maya; SanClements, Michael; D'Andrilli, Juliana; Foreman, Christine; Chin, Yu-Ping; McKnight, Diane</t>
  </si>
  <si>
    <t>Transformations in autochthonous DOM: An Antarctic supraglacial case study</t>
  </si>
  <si>
    <t>[D'Andrilli, Juliana; Foreman, Christine] Montana State Univ, Chem &amp; Biol Engn, Bozeman, MT 59717 USA; [Chin, Yu-Ping] Ohio State Univ, Earth Sci, Columbus, OH 43210 USA; [Wei-Haas, Maya] Ohio State Univ, Columbus, OH 43210 USA; [Smith, Heidi; D'Andrilli, Juliana; Foreman, Christine] Montana State Univ, Ctr Biofilm Engn, Bozeman, MT 59717 USA; [Smith, Heidi] Montana State Univ, Land Resources &amp; Environm Sci, Bozeman, MT 59717 USA; [SanClements, Michael] NEON, Boulder, CO USA; [McKnight, Diane] INSTAAR, Boulder, CO USA</t>
  </si>
  <si>
    <t>Montana State University System; Montana State University Bozeman; University System of Ohio; Ohio State University; University System of Ohio; Ohio State University; Montana State University System; Montana State University Bozeman; Montana State University System; Montana State University Bozeman</t>
  </si>
  <si>
    <t>hjsmith12@gmail.com</t>
  </si>
  <si>
    <t>WOS:000411186500126</t>
  </si>
  <si>
    <t>Vankayala, SL; Kearns, F; Baker, B; Woodcock, H</t>
  </si>
  <si>
    <t>Vankayala, Sai Lakshmana; Kearns, Fiona; Baker, Bill; Woodcock, Henry</t>
  </si>
  <si>
    <t>Elucidating a chemical defense mechanism of Antarctic sponges</t>
  </si>
  <si>
    <t>[Kearns, Fiona] Univ S Florida, Chem, Tampa, FL USA; [Vankayala, Sai Lakshmana; Baker, Bill; Woodcock, Henry] Univ S Florida, Dept Chem, Tampa, FL USA; [Baker, Bill] Ctr Drug Discovery &amp; Innovat, Tampa, FL USA</t>
  </si>
  <si>
    <t>State University System of Florida; University of South Florida; State University System of Florida; University of South Florida</t>
  </si>
  <si>
    <t>fionakearns@mail.usf.edu</t>
  </si>
  <si>
    <t>Baker, Bill/N-4312-2019</t>
  </si>
  <si>
    <t>VA9RL</t>
  </si>
  <si>
    <t>WOS:000411183304160</t>
  </si>
  <si>
    <t>Perkins, NR; Hill, NA; Foster, SD; Barrett, NS</t>
  </si>
  <si>
    <t>Perkins, Nicholas R.; Hill, Nicole A.; Foster, Scott D.; Barrett, Neville S.</t>
  </si>
  <si>
    <t>Altered niche of an ecologically significant urchin species, Centrostephanus rodgersii, in its extended range revealed using an Autonomous Underwater Vehicle</t>
  </si>
  <si>
    <t>ESTUARINE COASTAL AND SHELF SCIENCE</t>
  </si>
  <si>
    <t>AUV; barrens; climate change; Marine Protected Area; niche shift; range shift; realised niche</t>
  </si>
  <si>
    <t>NEW-SOUTH-WALES; MARINE RESERVES; CLIMATE-CHANGE; GENETIC-STRUCTURE; SHIFTS; PATTERNS; INVASION; TRENDS; BIODIVERSITY; ASSEMBLAGES</t>
  </si>
  <si>
    <t>Poleward range shifts of species as a result of global climate change are being increasingly documented. As species extend into new ranges their ecological impacts and the niches that they occupy may be unpredictable. We use benthic imagery obtained from the broad-scale deployment of an Autonomous Underwater Vehicle (AUV) to quantify the depth distribution of barrens habitat formed by a recent range extension of the sea urchin species, Centrostephanus rodgersii, a known ecosystem engineer. AUV transects covering similar depths from both the historical range of New South Wales, Australia, and from the range extension area of the east coast of Tasmania were examined for the presence of barrens. We find that C. rodgersii occupies a different realised niche in its extended range, with barrens habitat occurring significantly deeper in Tasmanian waters (16-58 m) compared to NSW waters (7-27 m). The expansion of barrens habitat has devastating impacts on biodiversity, with flow-on effects to ecosystem services and local fisheries, and in Tasmania this threat extends to deeper, invertebrate-dominated habitats. This finding has important management implications, in particular the need to incorporate deeper reef systems into planning, with increased barrens expected under future climate change predictions. One conservation management approach is the use of no-take Marine Protected Areas (MPAs) to prevent barren establishment in representative habitats by rebuilding viable populations of urchin predators. We also examine the correlation between MPA status and the occurrence of barrens within a small, no-take Tasmanian reserve and adjacent control sites. We find that there is suggestive, but inconclusive, evidence for fewer barrens in the MPA (p = 0.07). Our study highlights the utility of a novel technology for conducting large-scale benthic surveys and monitoring the impacts of range extending species. (C) 2015 Elsevier Ltd. All rights reserved.</t>
  </si>
  <si>
    <t>[Perkins, Nicholas R.; Hill, Nicole A.; Barrett, Neville S.] Univ Tasmania, Inst Marine &amp; Antarct Studies, Hobart, Tas 7001, Australia; [Foster, Scott D.] CSIROs, Digital Prod Flagship, Hobart, Tas, Australia</t>
  </si>
  <si>
    <t>Perkins, NR (corresponding author), Univ Tasmania, Inst Marine &amp; Antarct Studies, Private Bag 49, Hobart, Tas 7001, Australia.</t>
  </si>
  <si>
    <t>Nicholas.Perkins@utas.edu.au</t>
  </si>
  <si>
    <t>Hill, Nicole/AAI-7323-2021; Barrett, Neville/J-7593-2014; Foster, Scott/E-9311-2010</t>
  </si>
  <si>
    <t>Hill, Nicole/0000-0001-9329-6717; Perkins, Nicholas/0000-0002-1328-2321; Barrett, Neville/0000-0002-6167-1356; Foster, Scott/0000-0002-6719-8002</t>
  </si>
  <si>
    <t>Marine Biodiversity Hub; Australian Government's National Environmental Research Program (NERP); AUV deployments via the Australian Centre for Field Robotics at the University of Sydney; AUV initiative</t>
  </si>
  <si>
    <t>Marine Biodiversity Hub; Australian Government's National Environmental Research Program (NERP)(Australian Government); AUV deployments via the Australian Centre for Field Robotics at the University of Sydney; AUV initiative</t>
  </si>
  <si>
    <t>This work was supported by the Marine Biodiversity Hub, a collaborative partnership supported through funding from the Australian Government's National Environmental Research Program (NERP). NERP Marine Biodiversity Hub partners include the Institute for Marine and Antarctic Studies, University of Tasmania; CSIRO Wealth from Oceans National Flagship, Geoscience Australia, Australian Institute of Marine Science, Museum Victoria, Charles Darwin University and the University of Western Australia. The IMOS program supported the AUV deployments via the Australian Centre for Field Robotics at the University of Sydney. Field support was provided in NSW by the Marine Parks Authority and in Tasmania by the Institute of Marine and Antarctic Studies. We'd like to thank Alan Jordan and Colin Buxton from these agencies for their strong support of the AUV initiative.</t>
  </si>
  <si>
    <t>0272-7714</t>
  </si>
  <si>
    <t>1096-0015</t>
  </si>
  <si>
    <t>ESTUAR COAST SHELF S</t>
  </si>
  <si>
    <t>Estuar. Coast. Shelf Sci.</t>
  </si>
  <si>
    <t>MAR 20</t>
  </si>
  <si>
    <t>10.1016/j.ecss.2015.01.014</t>
  </si>
  <si>
    <t>CF6OI</t>
  </si>
  <si>
    <t>WOS:000352675600008</t>
  </si>
  <si>
    <t>Goldner, A; Herold, N; Huber, M</t>
  </si>
  <si>
    <t>Goldner, A.; Herold, N.; Huber, M.</t>
  </si>
  <si>
    <t>Antarctic glaciation caused ocean circulation changes at the Eocene-Oligocene transition (vol 511, pg 574, 2014)</t>
  </si>
  <si>
    <t>Huber, Matthew/A-7677-2008</t>
  </si>
  <si>
    <t>Huber, Matthew/0000-0002-2771-9977</t>
  </si>
  <si>
    <t>MAR 19</t>
  </si>
  <si>
    <t>10.1038/nature14220</t>
  </si>
  <si>
    <t>CD6AY</t>
  </si>
  <si>
    <t>WOS:000351171900047</t>
  </si>
  <si>
    <t>Putzke, J; Athanásio, CG; de Albuquerque, MP; Victoria, FC; Pereira, AB</t>
  </si>
  <si>
    <t>Putzke, Jair; Athanasio, Camila G.; Pereira de Albuquerque, Margeli; Victoria, Filipe C.; Pereira, Antonio B.</t>
  </si>
  <si>
    <t>Comparative study of moss diversity in South Shetland Islands and in the Antarctic Peninsula</t>
  </si>
  <si>
    <t>REVISTA CHILENA DE HISTORIA NATURAL</t>
  </si>
  <si>
    <t>Bryophyta; Flora; Ice-free area; Shannon-Weaver index</t>
  </si>
  <si>
    <t>CONTINENTAL ANTARCTICA</t>
  </si>
  <si>
    <t>Background: This paper presents a comparative study of moss diversity in three collection sites in the South Shetland Islands (King George, Elephant, and Nelson Islands) and one in the Antarctic Continent (Hope Bay, Antarctic Peninsula). In the King George, Elephant, and Nelson Islands, the collections were done in ice-free areas during the austral summers of years 1988, 1989, 1990, 1991, 1992, and 1994. In Hope Bay, the collections were done in the 2009 summer (February). All collections were deposited in the HCB (Chaves Batista Herbarium). Findings: The King George Area is the most diverse area and the Hope Bay has the lowest diversity stats. The diversity stats for each region and the similarities between both are presented. Conclusion: This results suggested that harder climatic conditions determine lower diversity for the bryoflora.</t>
  </si>
  <si>
    <t>[Putzke, Jair] Univ Santa Cruz do Sul, UNISC, Santa Cruz Do Sul, Brazil; [Putzke, Jair; Athanasio, Camila G.; Pereira de Albuquerque, Margeli; Victoria, Filipe C.; Pereira, Antonio B.] Univ Fed Pampa, UNIPAMPA, INCT APA, Antarct Plants Studies Core, Sao Gabriel, Brazil</t>
  </si>
  <si>
    <t>Universidade de Santa Cruz do Sul; Universidade Federal do Pampa</t>
  </si>
  <si>
    <t>Victoria, FC (corresponding author), Univ Fed Pampa, UNIPAMPA, INCT APA, Antarct Plants Studies Core, Av Antonio Trilha 1847, Sao Gabriel, Brazil.</t>
  </si>
  <si>
    <t>filipevictoria@unipampa.edu.br</t>
  </si>
  <si>
    <t>Pereira, Antonio/AAD-5703-2019; Pereira, Antonio B/I-8201-2014; Putzke, Jair/P-9380-2019; Victoria, Filipe/F-6066-2013; Victoria, Filipe C/E-1890-2012; Athanasio, Camila/X-1081-2019</t>
  </si>
  <si>
    <t>Pereira, Antonio B/0000-0003-0368-4594; Victoria, Filipe/0000-0002-8580-1813;</t>
  </si>
  <si>
    <t>Brazilian Antarctic Program through the CNPq [574018/2008]; FAPERJ, Ministry of Environment - MMA [E-26/170.023/2008]; Ministry of Science and Technology - MCT; CIRM</t>
  </si>
  <si>
    <t>Brazilian Antarctic Program through the CNPq; FAPERJ, Ministry of Environment - MMA; Ministry of Science and Technology - MCT; CIRM(California Institute for Regenerative Medicine)</t>
  </si>
  <si>
    <t>This work was supported by the Brazilian Antarctic Program through the CNPq (process no. 574018/2008), FAPERJ (process no. E-26/170.023/2008), Ministry of Environment - MMA, and Ministry of Science and Technology - MCT and CIRM.</t>
  </si>
  <si>
    <t>SOC BIOLGIA CHILE</t>
  </si>
  <si>
    <t>CASILLA 16164, SANTIAGO 9, CHILE</t>
  </si>
  <si>
    <t>0716-078X</t>
  </si>
  <si>
    <t>0717-6317</t>
  </si>
  <si>
    <t>REV CHIL HIST NAT</t>
  </si>
  <si>
    <t>Rev. Chil. Hist. Nat.</t>
  </si>
  <si>
    <t>10.1186/s40693-014-0033-z</t>
  </si>
  <si>
    <t>CE4VU</t>
  </si>
  <si>
    <t>WOS:000351829100001</t>
  </si>
  <si>
    <t>Riesgo, A; Taboada, S; Sánchez-Vila, L; Solá, J; Bertran, A; Avila, C</t>
  </si>
  <si>
    <t>Riesgo, Ana; Taboada, Sergio; Sanchez-Vila, Laura; Sola, Joan; Bertran, Andrea; Avila, Conxita</t>
  </si>
  <si>
    <t>Some Like It Fat: Comparative Ultrastructure of the Embryo in Two Demosponges of the Genus Mycale (Order Poecilosclerida) from Antarctica and the Caribbean</t>
  </si>
  <si>
    <t>ORANGE ICING SPONGE; MARINE-INVERTEBRATES; REPRODUCTIVE STRATEGIES; ECOLOGICAL IMPLICATIONS; BENTHIC INVERTEBRATES; ENERGY-METABOLISM; LIPID-METABOLISM; COLD ADAPTATION; MATURE OOCYTE; SEA-URCHIN</t>
  </si>
  <si>
    <t>During embryogenesis, organisms with lecithotrophic indirect development usually accumulate large quantities of energetic reserves in the form of yolk that are necessary for larval survival. Since all sponges have lecithotrophic development, yolk formation is an ineludible step of their embryogenesis. Sponge yolk platelets have a wide range of morphological forms, from entirely lipid or protein platelets to a combined platelet showing both lipids and proteins and even glycogen. So far, there are no comparative studies on the nature and content of yolk in congeneric species of sponges inhabiting contrasting environments, which could have putative effects on the larval adaptation to environmental conditions. Here, we have taken advantage of the worldwide distribution of the sponge genus Mycale, in order to compare the embryogenesis and yolk formation in two species inhabiting contrasting latitudinal areas: M. acerata from Antarctic waters and M. laevis from the Caribbean. We have compared their brooded embryos and larvae using scanning and transmission electron microscopy, and calculated their energetic signatures based on the nature of their yolk. While the general morphological feature of embryos and larvae of both species were very similar, the main difference resided in the yolk nature. The Antarctic species, M. acerata, showed exclusively lipid yolk, whereas the Caribbean species, M. laevis, showed combined platelets of lipids and proteins and less frequently protein yolk platelets. The larvae of M. acerata were estimated to possess a two-fold energetic signature compared to that of M. laevis, which may have important ecological implications for their survival and for maintaining large population densities in the cold waters of the Southern Ocean.</t>
  </si>
  <si>
    <t>[Riesgo, Ana; Taboada, Sergio; Sanchez-Vila, Laura; Sola, Joan; Bertran, Andrea; Avila, Conxita] Univ Barcelona, Fac Biol, Dept Anim Biol, Barcelona, Spain; [Riesgo, Ana; Taboada, Sergio; Avila, Conxita] Univ Barcelona, Fac Biol, Biodivers Res Inst IrBIO, Barcelona, Spain</t>
  </si>
  <si>
    <t>Riesgo, A (corresponding author), Univ Barcelona, Fac Biol, Dept Anim Biol, Barcelona, Spain.</t>
  </si>
  <si>
    <t>anariesgogil@gmail.com</t>
  </si>
  <si>
    <t>Avila, Conxita/B-9466-2008; Taboada, Sergi/AAB-9390-2021; Riesgo, Ana/E-3341-2014</t>
  </si>
  <si>
    <t>Avila, Conxita/0000-0002-5489-8376; Taboada, Sergi/0000-0003-1669-1152; Riesgo, Ana/0000-0002-7993-1523</t>
  </si>
  <si>
    <t>Ministerio de Ciencia e Innovacion, Gobierno de Espana [CTM2010-17415/ANT]</t>
  </si>
  <si>
    <t>Ministerio de Ciencia e Innovacion, Gobierno de Espana(Spanish Government)</t>
  </si>
  <si>
    <t>Funding provided by CTM2010-17415/ANT - Ministerio de Ciencia e Innovacion, Gobierno de Espana: http://www.idi.mineco.gob.es/. The funders had no role in study design, data collection and analysis, decision to publish, or preparation of the manuscript.</t>
  </si>
  <si>
    <t>MAR 18</t>
  </si>
  <si>
    <t>e0118805</t>
  </si>
  <si>
    <t>10.1371/journal.pone.0118805</t>
  </si>
  <si>
    <t>CE9BN</t>
  </si>
  <si>
    <t>WOS:000352138500049</t>
  </si>
  <si>
    <t>Liu, Y; Moore, JC; Cheng, X; Gladstone, RM; Bassis, JN; Liu, HX; Wen, JH; Hui, FM</t>
  </si>
  <si>
    <t>Liu, Yan; Moore, John C.; Cheng, Xiao; Gladstone, Rupert M.; Bassis, Jeremy N.; Liu, Hongxing; Wen, Jiahong; Hui, Fengming</t>
  </si>
  <si>
    <t>Ocean-driven thinning enhances iceberg calving and retreat of Antarctic ice shelves</t>
  </si>
  <si>
    <t>iceberg calving; basal melt; mass balance; ice shelf; Antarctica</t>
  </si>
  <si>
    <t>EAST ANTARCTICA; MARINE ICE; BASAL MELT; BREAK-UP; PENINSULA; GLACIERS; CLIMATE</t>
  </si>
  <si>
    <t>Iceberg calving from all Antarctic ice shelves has never been directly measured, despite playing a crucial role in ice sheet mass balance. Rapid changes to iceberg calving naturally arise from the sporadic detachment of large tabular bergs but can also be triggered by climate forcing. Here we provide a direct empirical estimate of mass loss due to iceberg calving and melting from Antarctic ice shelves. We find that between 2005 and 2011, the total mass loss due to iceberg calving of 755 +/- 24 gigatonnes per year (Gt/y) is only half the total loss due to basal melt of 1516 +/- 106 Gt/y. However, we observe widespread retreat of ice shelves that are currently thinning. Net mass loss due to iceberg calving for these ice shelves (302 +/- 27 Gt/y) is comparable in magnitude to net mass loss due to basal melt (312 +/- 14 Gt/y). Moreover, we find that iceberg calving from these decaying ice shelves is dominated by frequent calving events, which are distinct from the less frequent detachment of isolated tabular icebergs associated with ice shelves in neutral or positive mass balance regimes. Our results suggest that thinning associated with ocean-driven increased basal melt can trigger increased iceberg calving, implying that iceberg calving may play an overlooked role in the demise of shrinking ice shelves, and is more sensitive to ocean forcing than expected from steady state calving estimates.</t>
  </si>
  <si>
    <t>[Liu, Yan; Moore, John C.; Cheng, Xiao; Hui, Fengming] Beijing Normal Univ, Coll Global Change &amp; Earth Syst Sci, State Key Lab Remote Sensing Sci, Beijing 100875, Peoples R China; [Liu, Yan; Moore, John C.; Cheng, Xiao; Hui, Fengming] Joint Ctr Global Change Studies, Beijing 100875, Peoples R China; [Moore, John C.] Univ Lapland, Arctic Ctr, Rovaniemi 96100, Finland; [Moore, John C.] Uppsala Univ, Dept Earth Sci, S-75236 Uppsala, Sweden; [Gladstone, Rupert M.] Univ Tasmania, Antarctic Climate &amp; Ecosyst Cooperat Res Ctr, Hobart, Tas, Australia; [Gladstone, Rupert M.] ETH, Versuchsanstalt Wasserbau Hydrol &amp; Glaziol, CH-8093 Zurich, Switzerland; [Bassis, Jeremy N.] Univ Michigan, Dept Atmospher Ocean &amp; Space Sci, Ann Arbor, MI 48109 USA; [Liu, Hongxing] Univ Cincinnati, McMicken Coll Arts &amp; Sci, Dept Geog, Cincinnati, OH 45221 USA; [Wen, Jiahong] Shanghai Normal Univ, Dept Geog, Shanghai 200234, Peoples R China</t>
  </si>
  <si>
    <t>Beijing Normal University; University of Lapland; Uppsala University; Antarctic Climate &amp; Ecosystems Cooperative Research Centre (ACE CRC); University of Tasmania; Swiss Federal Institutes of Technology Domain; ETH Zurich; University of Michigan System; University of Michigan; University System of Ohio; University of Cincinnati; Shanghai Normal University</t>
  </si>
  <si>
    <t>Cheng, X (corresponding author), Beijing Normal Univ, Coll Global Change &amp; Earth Syst Sci, State Key Lab Remote Sensing Sci, Beijing 100875, Peoples R China.</t>
  </si>
  <si>
    <t>john.moore.bnu@gmail.com; xcheng@bnu.edu.cn</t>
  </si>
  <si>
    <t>Moore, John C/B-2868-2013; Liu）, 刘岩（Yan/AAT-5481-2020; Bassis, Jeremy N/J-1706-2012; Gladstone, Rupert/C-1086-2013</t>
  </si>
  <si>
    <t>Moore, John C/0000-0001-8271-5787; Gladstone, Rupert/0000-0002-1582-3857</t>
  </si>
  <si>
    <t>Chinese Arctic and Antarctic Administration, National Basic Research Program of China [2012CB957704, 2015CB953600]; National Natural Science Foundation of China [41406211, 41176163, 41106157, 41276188]; National High-tech R&amp;D Program of China [2008AA121702, 2008AA09Z117]; Chinese Polar Environment Comprehensive Investigation &amp; Assessment Programmes; Fundamental Research Funds for the Central Universities of China; Young Talent fund of the State Key Laboratory of Remote Sensing Science; Marie Curie Actions within the European Commission; National Science Foundation [NSF-ANT 114085, NSF-ARC 1064535]; Directorate For Geosciences; Office of Polar Programs (OPP) [1064535] Funding Source: National Science Foundation</t>
  </si>
  <si>
    <t>Chinese Arctic and Antarctic Administration, National Basic Research Program of China; National Natural Science Foundation of China(National Natural Science Foundation of China (NSFC)); National High-tech R&amp;D Program of China(National High Technology Research and Development Program of China); Chinese Polar Environment Comprehensive Investigation &amp; Assessment Programmes; Fundamental Research Funds for the Central Universities of China(Fundamental Research Funds for the Central Universities); Young Talent fund of the State Key Laboratory of Remote Sensing Science; Marie Curie Actions within the European Commission(Marie Curie Actions); National Science Foundation(National Science Foundation (NSF)); Directorate For Geosciences; Office of Polar Programs (OPP)(National Science Foundation (NSF)NSF - Directorate for Geosciences (GEO))</t>
  </si>
  <si>
    <t>We thank M. R. van den Broeke and S. R. M. Ligtenberg for providing firn depth correction data, European Space Agency for providing Envisat ASAR data, and National Snow and Ice Data Center for distribution of other data. We thank the editor, two anonymous reviewers, T. A. Scambos, and K. C. Wang, whose comments substantially improved the manuscript. We also thank H. Huang, X. Li, F. Wang, T. Ci, T. Zhao, and M. Zhai for assistance with data processing. This research is supported by Chinese Arctic and Antarctic Administration, National Basic Research Program of China Grants 2012CB957704 and 2015CB953600; National Natural Science Foundation of China, Grants 41406211, 41176163, 41106157, and 41276188; National High-tech R&amp;D Program of China Grants 2008AA121702 and 2008AA09Z117; Chinese Polar Environment Comprehensive Investigation &amp; Assessment Programmes; Fundamental Research Funds for the Central Universities of China; and Young Talent fund of the State Key Laboratory of Remote Sensing Science. R.M.G. is funded by Marie Curie Actions within the European Commission Framework Programme 7, and J.N.B. was supported by National Science Foundation Grants NSF-ANT 114085 and NSF-ARC 1064535.</t>
  </si>
  <si>
    <t>MAR 17</t>
  </si>
  <si>
    <t>10.1073/pnas.1415137112</t>
  </si>
  <si>
    <t>CD4NM</t>
  </si>
  <si>
    <t>WOS:000351060000049</t>
  </si>
  <si>
    <t>Whitehead, AL; Lyver, PO; Ballard, G; Barton, K; Karl, BJ; Dugger, KM; Jennings, S; Lescroël, A; Wilson, PR; Ainley, DG</t>
  </si>
  <si>
    <t>Whitehead, Amy L.; Lyver, Phil O'B.; Ballard, Grant; Barton, Kerry; Karl, Brian J.; Dugger, Katie M.; Jennings, Scott; Lescroel, Amelie; Wilson, Peter R.; Ainley, David G.</t>
  </si>
  <si>
    <t>Factors driving Adelie penguin chick size, mass and condition at colonies of different sizes in the Southern Ross Sea</t>
  </si>
  <si>
    <t>Adelie penguin; Chick growth; Diet variability; Provisioning efficiency; Intraspecific competition</t>
  </si>
  <si>
    <t>PYGOSCELIS-ADELIAE; FORAGING EFFORT; FOOD AVAILABILITY; FLEDGING WEIGHT; BODY CONDITION; GROWTH; SURVIVAL; SEABIRD; COMPETITION; STRATEGIES</t>
  </si>
  <si>
    <t>Body size, mass and condition can affect an organism's ability to cope with variation in resource availability or metabolic demand, particularly as juveniles reach independence. It follows that changes to parental provisioning efficiency (size and frequency of meals) through intraspecific competition or environmental conditions that affect prey availability may affect chick size, mass and condition and ultimately post-fledging survival. We examined how Adelie penguin chick size, mass and condition varied among colonies of different sizes on Ross Island during a 15 yr period of high environmental variability and varying intraspecific competition. Aiding the study was a natural experiment in which the presence of 2 giant icebergs midway through the study abnormally increased sea ice concentration (SIC), altering adults' access to food. Concurrently, the colonies were rapidly increasing in size; based on previous work, this indicated increased trophic competition near colonies, a trend likely indicating a changing food web in the greater region. Results showed that increased amounts of sea ice, which reduced the ability of adults to access food, had a negative effect on the size and mass of chicks. However, a greater proportion of fish (vs. krill) in the diet had a positive effect on chick size. Moreover, in some cases, increased intraspecific competition may be a more important driver of provisioning rate and chick size than abiotic factors, with chicks showing the effects of reduced food delivery at larger colonies. Understanding these patterns will allow better understanding of how factors such as climate change and altered food webs may affect Adelie penguin populations.</t>
  </si>
  <si>
    <t>[Whitehead, Amy L.; Lyver, Phil O'B.; Karl, Brian J.] Landcare Res, Lincoln 7640, New Zealand; [Ballard, Grant] Point Blue Conservat Sci, Petaluma, CA 94954 USA; [Barton, Kerry] BartonK Solut, Nelson 7010, New Zealand; [Dugger, Katie M.; Jennings, Scott] Oregon State Univ, Dept Fisheries &amp; Wildlife, Corvallis, OR 97331 USA; [Lescroel, Amelie] Univ Montpellier 3, CEFE UMR 5175, CNRS, Univ Montpellier,EPHE, F-34293 Montpellier 5, France; [Ainley, David G.] HT Harvey &amp; Associates, Los Gatos, CA 95032 USA</t>
  </si>
  <si>
    <t>Landcare Research - New Zealand; Oregon State University; Centre National de la Recherche Scientifique (CNRS); CNRS - Institute of Ecology &amp; Environment (INEE); Universite Paul-Valery; Universite de Montpellier; Universite PSL; Ecole Pratique des Hautes Etudes (EPHE)</t>
  </si>
  <si>
    <t>Ainley, DG (corresponding author), HT Harvey &amp; Associates, 983 Univ Ave, Los Gatos, CA 95032 USA.</t>
  </si>
  <si>
    <t>dainley@penguinscience.com</t>
  </si>
  <si>
    <t>Whitehead, Amy/E-6505-2010</t>
  </si>
  <si>
    <t>Whitehead, Amy/0000-0002-4164-9047</t>
  </si>
  <si>
    <t>New Zealand's Foundation for Research, Science and Technology [C09527, C09X0510]; Ministry of Science and Innovation [C01X1001]; Landcare Research grants; NSF [0440643, 0944411]; US Antarctic Program; Office of Polar Programs (OPP); Directorate For Geosciences [0944141] Funding Source: National Science Foundation; Office of Polar Programs (OPP); Directorate For Geosciences [0944358, 0440643] Funding Source: National Science Foundation</t>
  </si>
  <si>
    <t>New Zealand's Foundation for Research, Science and Technology(New Zealand Foundation for Research, Science and Technology); Ministry of Science and Innovation(Spanish Government); Landcare Research grants; NSF(National Science Foundation (NSF)); US Antarctic Program; Office of Polar Programs (OPP); Directorate For Geosciences(National Science Foundation (NSF)NSF - Directorate for Geosciences (GEO)); Office of Polar Programs (OPP); Directorate For Geosciences(National Science Foundation (NSF)NSF - Directorate for Geosciences (GEO))</t>
  </si>
  <si>
    <t>A.L.W., P.O'B.L., B.J.K., K.B. and P.R.W. were funded by New Zealand's Foundation for Research, Science and Technology (C09527, C09X0510) and Ministry of Science and Innovation (C01X1001) and Landcare Research grants, with logistic support from Antarctica New Zealand. D.G.A., G.B., K.M.D., S.J. and A.L. were supported by NSF grants (0440643 and 0944411), and the US Antarctic Program. Our thanks go to the large number of field support staff who assisted this study over the years. We also thank M. Pinkerton, W. Fraser and the members of the New Zealand Antarctic Fisheries Working Group for review of the paper. All field work was conducted under a series of Antarctic Conservation Act permits and NZ and US Animal Ethic permits. Point Blue contribution #1994.</t>
  </si>
  <si>
    <t>MAR 16</t>
  </si>
  <si>
    <t>10.3354/meps11130</t>
  </si>
  <si>
    <t>CD9XC</t>
  </si>
  <si>
    <t>WOS:000351452700016</t>
  </si>
  <si>
    <t>Paquette, M; Fortier, D; Mueller, DR; Sarrazin, D; Vincent, WF</t>
  </si>
  <si>
    <t>Paquette, Michel; Fortier, Daniel; Mueller, Derek R.; Sarrazin, Denis; Vincent, Warwick F.</t>
  </si>
  <si>
    <t>Rapid disappearance of perennial ice on Canada's most northern lake</t>
  </si>
  <si>
    <t>Ice cover; lake ice; Perennial ice; High arctic; Nunavut; Polar lake</t>
  </si>
  <si>
    <t>ANTARCTIC LAKES; CLIMATE-CHANGE; REGIME SHIFTS; ARCTIC LAKES; COVER; ECOSYSTEMS; TRENDS</t>
  </si>
  <si>
    <t>Field records, aerial photographs, and satellite imagery show that the perennial ice cover on Ward Hunt Lake at Canada's northern coast experienced rapid contraction and thinning after at least 50years of relative stability. On all dates of sampling from 1953 to 2007, 3.5 to 4.3m of perennial ice covered 65-85% of the lake surface in summer. The ice cover thinned from 2008 onward, and the lake became ice free in 2011, an event followed by 26days of open water conditions in 2012. This rapid ice loss corresponded to a significant increase in melting degree days (MDD), from a mean (SD) of 80.4 (36.5) MDD (1996-2007) to 136.2 (16.4) MDD (2008-2012). The shallow bathymetry combined with heat advection by warm inflows caused feedback effects that accelerated the ice decay. These observations show how changes across a critical threshold can result in the rapid disappearance of thick perennial ice.</t>
  </si>
  <si>
    <t>[Paquette, Michel; Fortier, Daniel] Univ Montreal, Ctr Northern Studies, Montreal, PQ, Canada; [Paquette, Michel; Fortier, Daniel] Univ Montreal, Dept Geog, Montreal, PQ H3C 3J7, Canada; [Mueller, Derek R.] Carleton Univ, Dept Geog &amp; Environm Studies, Ottawa, ON K1S 5B6, Canada; [Sarrazin, Denis] Univ Laval, Ctr Northern Studies, Quebec City, PQ, Canada; [Vincent, Warwick F.] Takuvik, Ctr Northern Studies, Quebec City, PQ, Canada; [Vincent, Warwick F.] Univ Laval, Dept Biol, Quebec City, PQ G1K 7P4, Canada</t>
  </si>
  <si>
    <t>Universite de Montreal; Universite de Montreal; Carleton University; Laval University; Laval University</t>
  </si>
  <si>
    <t>Paquette, M (corresponding author), Univ Montreal, Ctr Northern Studies, Montreal, PQ, Canada.</t>
  </si>
  <si>
    <t>michel.paquette@umontreal.ca</t>
  </si>
  <si>
    <t>Fortier, Daniel/E-6965-2016; Vincent, Warwick/AAH-6152-2019</t>
  </si>
  <si>
    <t>Fortier, Daniel/0000-0003-0908-6157; Vincent, Warwick/0000-0001-9055-1938; Mueller, Derek/0000-0003-1974-319X</t>
  </si>
  <si>
    <t>Natural Sciences and Engineering Research Council of Canada (NSERC); Networks of Centres of Excellence program ArcticNet; Canada Research Chair program; Northern Scientific Training Program; Canadian Foundation for Innovation; Canadian Northern Studies Trust; Centre d'Etudes nordiques (CEN); Fonds de recherche du Quebec-Nature et technologies (FRQNT)</t>
  </si>
  <si>
    <t>Natural Sciences and Engineering Research Council of Canada (NSERC)(Natural Sciences and Engineering Research Council of Canada (NSERC)); Networks of Centres of Excellence program ArcticNet; Canada Research Chair program(Canada Research Chairs); Northern Scientific Training Program; Canadian Foundation for Innovation(Canada Foundation for Innovation); Canadian Northern Studies Trust; Centre d'Etudes nordiques (CEN); Fonds de recherche du Quebec-Nature et technologies (FRQNT)</t>
  </si>
  <si>
    <t>Radarsat-1 imagery was provided courtesy of the Alaska Satellite Facility, and Radarsat-2 imagery courtesy of the Canadian Ice Service and the Canadian Space Agency (SOAR program). RADARSAT is an official mark of the Canadian Space Agency. Other data used in this study are available in the Polar Data Catalogue (www.polardata.ca). This research was funded by Natural Sciences and Engineering Research Council of Canada (NSERC), the Networks of Centres of Excellence program ArcticNet, the Canada Research Chair program, the Northern Scientific Training Program, the Canadian Foundation for Innovation, Canadian Northern Studies Trust, Centre d'Etudes nordiques (CEN), and Fonds de recherche du Quebec-Nature et technologies (FRQNT). We also thank the Polar Continental Shelf Program (PCSP) for logistical support, Parks Canada for the use of facilities, and D. Antoniades and two anonymous reviewers for insightful comments on the manuscript.</t>
  </si>
  <si>
    <t>10.1002/2014GL062960</t>
  </si>
  <si>
    <t>CE5CL</t>
  </si>
  <si>
    <t>WOS:000351847600022</t>
  </si>
  <si>
    <t>Vollmer, MK; Rhee, TS; Rigby, M; Hofstetter, D; Hill, M; Schoenenberger, F; Reimann, S</t>
  </si>
  <si>
    <t>Vollmer, Martin K.; Rhee, Tae Siek; Rigby, Matt; Hofstetter, Doris; Hill, Matthias; Schoenenberger, Fabian; Reimann, Stefan</t>
  </si>
  <si>
    <t>Modern inhalation anesthetics: Potent greenhouse gases in the global atmosphere</t>
  </si>
  <si>
    <t>climate change; greenhouse gases; global warming; atmospheric chemistry</t>
  </si>
  <si>
    <t>DIFFERENT PERSPECTIVE; VOLATILE ANESTHETICS; IN-SITU; CLIMATE; EMISSIONS; ISOFLURANE; DESFLURANE; LIFETIMES; HALOTHANE; ENFLURANE</t>
  </si>
  <si>
    <t>Modern halogenated inhalation anesthetics undergo little metabolization during clinical application and evaporate almost completely to the atmosphere. Based on their first measurements in a range of environments, from urban areas to the pristine Antarctic environment, we detect a rapid accumulation and ubiquitous presence of isoflurane, desflurane, and sevoflurane in the global atmosphere. Over the past decade, their abundances in the atmosphere have increased to global mean mole fractions in 2014 of 0.097ppt, 0.30ppt, and 0.13ppt (parts per trillion, 10(-12), in dry air), respectively. Emissions of these long-lived greenhouse gases inferred from the observations suggest a global combined release to the atmosphere of 3.1 0.6 million t CO2 equivalent in 2014 of which approximate to 80% stems from desflurane. We also report on halothane, a previously widely used anesthetic. Its global mean mole fraction has declined to 9.2ppq (parts per quadrillion, 10(-15)) by 2014. However, the inferred present usage is still 280 120t yr(-1)</t>
  </si>
  <si>
    <t>[Vollmer, Martin K.; Hill, Matthias; Schoenenberger, Fabian; Reimann, Stefan] Empa, Swiss Fed Labs Mat Sci &amp; Technol, Lab Air Pollut &amp; Environm Technol, Dubendorf, Switzerland; [Rhee, Tae Siek] KIOST, Korea Polar Res Inst, Inchon, South Korea; [Rigby, Matt] Univ Bristol, Sch Chem, Bristol, Avon, England; [Hofstetter, Doris] Alphacare, Zurich, Switzerland</t>
  </si>
  <si>
    <t>Swiss Federal Institutes of Technology Domain; Swiss Federal Laboratories for Materials Science &amp; Technology (EMPA); Korea Polar Research Institute (KOPRI); Korea Institute of Ocean Science &amp; Technology (KIOST); University of Bristol</t>
  </si>
  <si>
    <t>Vollmer, MK (corresponding author), Empa, Swiss Fed Labs Mat Sci &amp; Technol, Lab Air Pollut &amp; Environm Technol, Dubendorf, Switzerland.</t>
  </si>
  <si>
    <t>martin.vollmer@empa.ch</t>
  </si>
  <si>
    <t>Reimann, Stefan/A-2327-2009; Rigby, Matthew/A-5555-2012</t>
  </si>
  <si>
    <t>Reimann, Stefan/0000-0002-9885-7138; Rigby, Matthew/0000-0002-2020-9253</t>
  </si>
  <si>
    <t>European FP7 Infrastructure Project Integrated Non-CO2 Greenhouse gas Observing System (InGOS); project HALCLIM by the Swiss Federal Office for the Environment (FOEN); Swiss State Secretariat for Education and Research and Innovation (SERI); National Research Foundation of Korea for the Korean-Swiss Science and Technology Cooperation Program; International Foundation High Altitude Research Stations Jungfraujoch and Gornergrat (HFSJG); European Metrology Research Programme ENV52 project Metrology for high-impact greenhouse gases (HIGHGAS); UK Natural Environment Research Council (NERC) [NE/1021365/1]; Korean Polar Research Program [PE13410]; NERC [NE/I021365/1, NE/L013088/1] Funding Source: UKRI; Natural Environment Research Council [NE/I021365/1, NE/L013088/1] Funding Source: researchfish</t>
  </si>
  <si>
    <t>European FP7 Infrastructure Project Integrated Non-CO2 Greenhouse gas Observing System (InGOS); project HALCLIM by the Swiss Federal Office for the Environment (FOEN); Swiss State Secretariat for Education and Research and Innovation (SERI); National Research Foundation of Korea for the Korean-Swiss Science and Technology Cooperation Program; International Foundation High Altitude Research Stations Jungfraujoch and Gornergrat (HFSJG); European Metrology Research Programme ENV52 project Metrology for high-impact greenhouse gases (HIGHGAS); UK Natural Environment Research Council (NERC)(UK Research &amp; Innovation (UKRI)Natural Environment Research Council (NERC)); Korean Polar Research Program; NERC(UK Research &amp; Innovation (UKRI)Natural Environment Research Council (NERC)); Natural Environment Research Council(UK Research &amp; Innovation (UKRI)Natural Environment Research Council (NERC))</t>
  </si>
  <si>
    <t>This research was conducted under the auspices of the European FP7 Infrastructure Project Integrated Non-CO2 Greenhouse gas Observing System (InGOS). Financial support was also provided through the project HALCLIM by the Swiss Federal Office for the Environment (FOEN), by the Swiss State Secretariat for Education and Research and Innovation (SERI) and by the National Research Foundation of Korea for the Korean-Swiss Science and Technology Cooperation Program. Further support comes from the International Foundation High Altitude Research Stations Jungfraujoch and Gornergrat (HFSJG), and the European Metrology Research Programme ENV52 project Metrology for high-impact greenhouse gases (HIGHGAS). We acknowledge the personnel at the Jungfraujoch observatory and at the King Sejong station, and the crew of the R/V Araon for instrumental and logistical support. We also acknowledge the many providers of flask samples composing the archived air record. Continuous support from colleagues in the Advanced Global Atmospheric Gases Experiment (AGAGE) is acknowledged. M. R. is supported by an advanced research fellowship from the UK Natural Environment Research Council (NERC) NE/1021365/1. T. S. R. acknowledges financial support from the Korean Polar Research Program PE13410. Keyhong Park helped to calculate backward trajectories for the SHIPPO-2012 results.</t>
  </si>
  <si>
    <t>10.1002/2014GL062785</t>
  </si>
  <si>
    <t>WOS:000351847600044</t>
  </si>
  <si>
    <t>van der Watt, LM; Swart, S</t>
  </si>
  <si>
    <t>van der Watt, Lize-Marie; Swart, Sandra</t>
  </si>
  <si>
    <t>Falling off the Map: South Africa, Antarctica and Empire, c. 1919-59</t>
  </si>
  <si>
    <t>JOURNAL OF IMPERIAL AND COMMONWEALTH HISTORY</t>
  </si>
  <si>
    <t>During the first half of the twentieth century, despatches about the coldest corner of the British Empire were circulated to three, sometimes four, of its southern neighbours under the British crown: Australia, New Zealand, South Africa and the Falklands. Of these four, South Africa seemed the least interested in Antarctica, despite the keen interest of some influential individuals and a strategy of bringing Antarctica into the imperial fold through British dominions that were proximate to Antarctica. In this context, we ask how South Africa viewed itself in relation to the Antarctic to the south and the British metropole to the north. We discuss the key activities that connected South Africa to Antarctica-whaling and weather forecasting. Moreover, we consider some of the enterprising plans for a South African National Antarctic expedition, and what these plans reveal of South Africa's perception of itself as a southern country. This article interlinks with a growing scholarship that is critical of treating Antarctic history as politically and culturally isolated, including showing how the relatively simple natural and political ecology of the Antarctic can throw into relief multiple national and international concerns.</t>
  </si>
  <si>
    <t>[van der Watt, Lize-Marie] Umea Univ, ARCUM, S-90187 Umea, Sweden</t>
  </si>
  <si>
    <t>Umea University</t>
  </si>
  <si>
    <t>van der Watt, LM (corresponding author), Umea Univ, ARCUM, S-90187 Umea, Sweden.</t>
  </si>
  <si>
    <t>lizemarie.vanderwatt@umu.se</t>
  </si>
  <si>
    <t>Swart, Sandra/0000-0002-4608-2182</t>
  </si>
  <si>
    <t>0308-6534</t>
  </si>
  <si>
    <t>1743-9329</t>
  </si>
  <si>
    <t>J IMP COMMONW HIST</t>
  </si>
  <si>
    <t>J. Imp. Commonw. Hist.</t>
  </si>
  <si>
    <t>MAR 15</t>
  </si>
  <si>
    <t>10.1080/03086534.2014.982409</t>
  </si>
  <si>
    <t>History</t>
  </si>
  <si>
    <t>CG6LW</t>
  </si>
  <si>
    <t>WOS:000353413600005</t>
  </si>
  <si>
    <t>Matyas, CJ</t>
  </si>
  <si>
    <t>Matyas, Corene J.</t>
  </si>
  <si>
    <t>Tropical cyclone formation and motion in the Mozambique Channel</t>
  </si>
  <si>
    <t>tropical cyclone; Mozambique Channel; El Nino Southern Oscillation; Southern Annular Mode; Madden-Julian Oscillation; Indian Ocean Subtropical Dipole</t>
  </si>
  <si>
    <t>SOUTHWEST INDIAN-OCEAN; SEA-SURFACE TEMPERATURE; ANTARCTIC OSCILLATION INDEX; MADDEN-JULIAN OSCILLATION; STATISTICAL PREDICTION; SOUTHERN-HEMISPHERE; INTERANNUAL VARIABILITY; RURAL MOZAMBIQUE; ANNULAR MODE; WATER-VAPOR</t>
  </si>
  <si>
    <t>Although tropical cyclones (TCs) forming in the Mozambique Channel are relatively close to land and have affected vulnerable populations, few studies specifically examine these storms. This study analysed formation frequency and location and storm motion during 1948-2010. A geographic information system was employed to calculate storm trajectory and determine whether or not landfall occurred. Reanalysis data from NCEP/NCAR were examined to identify environmental conditions such as 500hPa geopotential heights and precipitable water. Nonparametric statistical tests explored relationships between these conditions, TC attributes, and four teleconnections known to influence circulation patterns in the greater Southwest Indian Ocean: the El Nino Southern Oscillation (ENSO), Indian Ocean Subtropical Dipole (IOSD), Madden-Julian Oscillation (MJO), and Southern Annular Mode (SAM). Results show that 94 TCs formed in the channel, with approximately 50% making landfall. Formation frequency varied under different phases of the SAM, IOSD, and MJO. Findings differed when the study period was divided into half, suggesting that inclusion of data prior to 1979 be interpreted cautiously. During the second period, formation tended to occur in the northern (southern) portion of the channel when the IOSD and SAM were negative (positive). The MJO and SAM were associated with differences in precipitable water values, while the MJO and IOSD were associated with track curvature. Geopotential height anomalies at 500hPa varied under the three phases of ENSO.</t>
  </si>
  <si>
    <t>Univ Florida, Dept Geog, Gainesville, FL 32611 USA</t>
  </si>
  <si>
    <t>State University System of Florida; University of Florida</t>
  </si>
  <si>
    <t>Matyas, CJ (corresponding author), Univ Florida, Dept Geog, 3141 Turlington Hall, Gainesville, FL 32611 USA.</t>
  </si>
  <si>
    <t>matyas@ufl.edu</t>
  </si>
  <si>
    <t>Matyas, Corene/A-6435-2008</t>
  </si>
  <si>
    <t>Matyas, Corene/0000-0002-9773-2501</t>
  </si>
  <si>
    <t>National Science Foundation [BCS-1053864]; Direct For Social, Behav &amp; Economic Scie; Division Of Behavioral and Cognitive Sci [1053864] Funding Source: National Science Foundation</t>
  </si>
  <si>
    <t>National Science Foundation(National Science Foundation (NSF)); Direct For Social, Behav &amp; Economic Scie; Division Of Behavioral and Cognitive Sci(National Science Foundation (NSF)NSF - Directorate for Social, Behavioral &amp; Economic Sciences (SBE))</t>
  </si>
  <si>
    <t>This research was supported by the National Science Foundation BCS-1053864. Undergraduate student Christian Kamrath assisted in formatting the NCEP/NCAR Reanalysis data for importation into the GIS. Two anonymous reviewers helped to improve the manuscript.</t>
  </si>
  <si>
    <t>10.1002/joc.3985</t>
  </si>
  <si>
    <t>CC8TU</t>
  </si>
  <si>
    <t>WOS:000350642000005</t>
  </si>
  <si>
    <t>Pang, HX; Hou, SG; Landais, A; Masson-Delmotte, V; Prie, F; Steen-Larsen, HC; Risi, C; Li, YS; Jouzel, J; Wang, YT; He, J; Minster, B; Falourd, S</t>
  </si>
  <si>
    <t>Pang, Hongxi; Hou, Shugui; Landais, Amaelle; Masson-Delmotte, Valerie; Prie, Frederic; Steen-Larsen, Hans Christian; Risi, Camille; Li, Yuansheng; Jouzel, Jean; Wang, Yetang; He, Jing; Minster, Benedicte; Falourd, Sonia</t>
  </si>
  <si>
    <t>Spatial distribution of 17O-excess in surface snow along a traverse from Zhongshan station to Dome A, East Antarctica</t>
  </si>
  <si>
    <t>water isotopologues; O-17-excess; Dome A; ice sheet; Antarctica</t>
  </si>
  <si>
    <t>TRIPLE ISOTOPIC COMPOSITION; DEUTERIUM EXCESS RECORD; ICE CORE; WATER-VAPOR; PRECIPITATION; ORIGIN; TEMPERATURE; VARIABILITY; OXYGEN; CIRCULATION</t>
  </si>
  <si>
    <t>The influence of temperature on the triple isotopic composition of oxygen in water is still an open question and limits the interpretation of water isotopic profiles in Antarctic ice cores. The main limitation arises from the lack of O-17-excess measurements in surface snow and especially for remote regions characterized by low temperature and accumulation rate. In this study, we present new O-17-excess measurements of surface snow along an East Antarctic traverse, from the coastal Zhongshan station to the highest point of the Antarctic ice sheet at Dome A. The O-17-excess data significantly decrease inland, with a latitudinal gradient of -1.33 +/- 0.41 per meg/degree, an altitudinal gradient of -0.48 +/- 0.17 per meg/100 m, and a temperature gradient of 0.35 +/- 0.11 per meg/degrees C. Theoretical calculations performed using a Rayleigh model attribute this inland decrease to kinetic isotopic fractionation occurring during condensation from vapor to ice under supersaturation conditions at low temperatures. However, large heterogeneity of O-17-excess in Antarctic precipitation cannot only be explained by temperature at condensation and/or influences of relative humidity in the moisture source region. (C) 2015 Elsevier B.V. All rights reserved.</t>
  </si>
  <si>
    <t>[Pang, Hongxi; Hou, Shugui; He, Jing] Nanjing Univ, Sch Geog &amp; Oceanog Sci, Minist Educ, Key Lab Coast &amp; Isl Dev, Nanjing 210093, Jiangsu, Peoples R China; [Landais, Amaelle; Masson-Delmotte, Valerie; Prie, Frederic; Steen-Larsen, Hans Christian; Jouzel, Jean; Minster, Benedicte; Falourd, Sonia] CEA CNRS UVSQ IPSL, UMR8212, Lab Sci Climat &amp; Environm, Gif Sur Yvette, France; [Risi, Camille] IPSL CNRS UPMC, UMR8539, Lab Meteorol Dynam, F-75252 Paris 05, France; [Li, Yuansheng] Polar Res Inst China, Shanghai 200136, Peoples R China; [Wang, Yetang] Shandong Normal Univ, Coll Populat Resources &amp; Environm, Jinan 250014, Peoples R China</t>
  </si>
  <si>
    <t>Nanjing University; CEA; Centre National de la Recherche Scientifique (CNRS); Universite Paris Saclay; CNRS - National Institute for Earth Sciences &amp; Astronomy (INSU); Sorbonne Universite; Polar Research Institute of China; Shandong Normal University</t>
  </si>
  <si>
    <t>Hou, SG (corresponding author), Nanjing Univ, Sch Geog &amp; Oceanog Sci, Minist Educ, Key Lab Coast &amp; Isl Dev, Nanjing 210093, Jiangsu, Peoples R China.</t>
  </si>
  <si>
    <t>shugui@nju.edu.cn</t>
  </si>
  <si>
    <t>Hou, Shugui/J-3651-2015; Masson-Delmotte, Valerie L/G-1995-2011; Steen-Larsen, Hans Christian/F-9927-2013</t>
  </si>
  <si>
    <t>Masson-Delmotte, Valerie L/0000-0001-8296-381X; Hou, Shugui/0000-0002-0905-3542; LANDAIS, Amaelle/0000-0002-5620-5465; Steen-Larsen, Hans Christian/0000-0002-7202-5907</t>
  </si>
  <si>
    <t>National Natural Science Foundation of China [41176165, 41330526, 41171052, 41321062, 41206175]; Program for Chinese National Antarctic and Arctic Research Expedition [CHINARE2014-02-02]; Priority Academic Program Development of Jiangsu Higher Education Institutions (PAPD); Fundamental Research Funds for the Central Universities [1082020904]; ERC Starting Grant COMBINISO [306045]; European Research Council (ERC) [306045] Funding Source: European Research Council (ERC)</t>
  </si>
  <si>
    <t>National Natural Science Foundation of China(National Natural Science Foundation of China (NSFC)); Program for Chinese National Antarctic and Arctic Research Expedition; Priority Academic Program Development of Jiangsu Higher Education Institutions (PAPD); Fundamental Research Funds for the Central Universities(Fundamental Research Funds for the Central Universities); ERC Starting Grant COMBINISO(European Research Council (ERC)); European Research Council (ERC)(European Research Council (ERC)Spanish Government)</t>
  </si>
  <si>
    <t>This work was jointly supported by the National Natural Science Foundation of China (41176165, 41330526, 41171052, 41321062 and 41206175), the Program for Chinese National Antarctic and Arctic Research Expedition (CHINARE2014-02-02), the Priority Academic Program Development of Jiangsu Higher Education Institutions (PAPD), the Fundamental Research Funds for the Central Universities (1082020904), and the ERC Starting Grant COMBINISO (306045). We are grateful to many scientists, technicians and porters for their hard work in the field.</t>
  </si>
  <si>
    <t>10.1016/j.epsl.2015.01.014</t>
  </si>
  <si>
    <t>CC2OG</t>
  </si>
  <si>
    <t>WOS:000350183900012</t>
  </si>
  <si>
    <t>van der Wal, W; Whitehouse, PL; Schrama, EJO</t>
  </si>
  <si>
    <t>van der Wal, Wouter; Whitehouse, Pippa L.; Schrama, Ernst J. O.</t>
  </si>
  <si>
    <t>Effect of GIA models with 3D composite mantle viscosity on GRACE mass balance estimates for Antarctica</t>
  </si>
  <si>
    <t>glacial rebound; mantle rheology; viscosity; time-variable gravity; GRACE; Antarctica</t>
  </si>
  <si>
    <t>GLACIAL-ISOSTATIC-ADJUSTMENT; BENEATH ANTARCTICA; SEA LEVELS; ICE-SHEET; UPLIFT; EARTH; RHEOLOGY; SURFACE; TEMPERATURE; VELOCITY</t>
  </si>
  <si>
    <t>Seismic data indicate that there are large viscosity variations in the mantle beneath Antarctica. Consideration of such variations would affect predictions of models of Glacial Isostatic Adjustment (GIA), which are used to correct satellite measurements of ice mass change. However, most GIA models used for that purpose have assumed the mantle to be uniformly stratified in terms of viscosity. The goal of this study is to estimate the effect of lateral variations in viscosity on Antarctic mass balance estimates derived from the Gravity Recovery and Climate Experiment (GRACE) data. To this end, recently-developed global GIA models based on lateral variations in mantle temperature are tuned to fit constraints in the northern hemisphere and then compared to GPS-derived uplift rates in Antarctica. We find that these models can provide a better fit to GPS uplift rates in Antarctica than existing GIA models with a radially-varying (1D) rheology. When 3D viscosity models in combination with specific ice loading histories are used to correct GRACE measurements, mass loss in Antarctica is smaller than previously found for the same ice loading histories and their preferred 1D viscosity profiles. The variation in mass balance estimates arising from using different plausible realizations of 3D viscosity amounts to 20 Gt/yr for the ICE-5G ice model and 16 Gt/yr for the W12a ice model; these values are larger than the GRACE measurement error, but smaller than the variation arising from unknown ice history. While there exist 1D Earth models that can reproduce the total mass balance estimates derived using 3D Earth models, the spatial pattern of gravity rates can be significantly affected by 3D viscosity in a way that cannot be reproduced by GIA models with 1D viscosity. As an example, models with 1D viscosity always predict maximum gravity rates in the Ross Sea for the ICE-5G ice model, however, for one of the three preferred 3D models the maximum (for the same ice model) is found near the Weddell Sea. This demonstrates that 3D variations in viscosity affect the sensitivity of present-day uplift and gravity rates to changes in the timing of the ice history. In particular, low viscosities (&lt;10(19) Pas) found in West Antarctica make the mantle very sensitive to recent changes in ice thickness. (C) 2015 The Authors. Published by Elsevier B.V.</t>
  </si>
  <si>
    <t>[van der Wal, Wouter; Schrama, Ernst J. O.] Delft Univ Technol, NL-2629 HS Delft, Netherlands; [Whitehouse, Pippa L.] Univ Durham, Dept Geog, Durham DH1 3LE, England</t>
  </si>
  <si>
    <t>Delft University of Technology; Durham University</t>
  </si>
  <si>
    <t>van der Wal, W (corresponding author), Delft Univ Technol, Kluyverweg 1, NL-2629 HS Delft, Netherlands.</t>
  </si>
  <si>
    <t>w.vanderwal@tudelft.nl</t>
  </si>
  <si>
    <t>SCHRAMA, ERNST/0000-0002-9654-4082; Whitehouse, Pippa/0000-0002-9092-3444; van der Wal, Wouter/0000-0001-8030-9080</t>
  </si>
  <si>
    <t>Netherlands Organisation for Scientific Research (NWO) [863.11.015]; NERC Independent Research Fellowship [NE/K009958/1]; Natural Environment Research Council [NE/K009958/1] Funding Source: researchfish; NERC [NE/K009958/1] Funding Source: UKRI</t>
  </si>
  <si>
    <t>Netherlands Organisation for Scientific Research (NWO)(Netherlands Organization for Scientific Research (NWO)); NERC Independent Research Fellowship(UK Research &amp; Innovation (UKRI)Natural Environment Research Council (NERC)); Natural Environment Research Council(UK Research &amp; Innovation (UKRI)Natural Environment Research Council (NERC)); NERC(UK Research &amp; Innovation (UKRI)Natural Environment Research Council (NERC))</t>
  </si>
  <si>
    <t>We thank the two reviewers for their comments which helped us to improve the manuscript. We gratefully acknowledge Merijn Logtestijn for compiling the xenolith studies in Supplementary material A.2 and Matt King for valuable discussions regarding the GPS data. WW is funded by the Netherlands Organisation for Scientific Research (NWO Grant Number 863.11.015). PLW is supported by a NERC Independent Research Fellowship (grant number NE/K009958/1).</t>
  </si>
  <si>
    <t>10.1016/j.epsl.2015.01.001</t>
  </si>
  <si>
    <t>WOS:000350183900013</t>
  </si>
  <si>
    <t>Reinardy, BTI; Escutia, C; Iwai, M; Jimenez-Espejo, FJ; Cook, C; de Flierdt, TV; Brinkhuis, H</t>
  </si>
  <si>
    <t>Reinardy, B. T. I. t; Escutia, C.; Iwai, M.; Jimenez-Espejo, F. J.; Cook, C.; de Flierdt, T. van; Brinkhuis, H.</t>
  </si>
  <si>
    <t>Repeated advance and retreat of the East Antarctic Ice Sheet on the continental shelf during the early Pliocene warm period</t>
  </si>
  <si>
    <t>Grounding line; East Antarctic Ice Sheet; Micromorphology; Pliocene; Wilkes Subglacial Basin</t>
  </si>
  <si>
    <t>LAST GLACIAL MAXIMUM; WILKES LAND MARGIN; PINE ISLAND GLACIER; SUBGLACIAL TILL; MICROMORPHOLOGICAL EVIDENCE; STRATIGRAPHIC EVIDENCE; GLACIMARINE SEDIMENTS; MARINE-SEDIMENTS; SOUTHERN-OCEAN; FLOW DYNAMICS</t>
  </si>
  <si>
    <t>Diatom analysis of a sediment core recovered at IODP Site U1358 on the continental shelf off the Adelie Coast indicated that the lower section of the core contained an assemblage dating back to the Thalassiosira innura Zone of the lower Pliocene that ranges from 4.2 to 5.12 Ma. Based on lithological descriptions at both a macro-and micro-scale of this early Pliocene part of the core, four facies were interpreted from the diamictons representing the progressive advance and retreat of the grounding line over the site. Facies la and 1b contain a distinct directional signal from the orientation of the a-axis of clasts with several phases of fabric development along with both brittle and ductile deformation features that are common in sediments that have been subglacially deformed. Fades 1c and 1d are finely laminated and were deposited in open marine conditions. The four fades within the depositional model provide for the first time direct evidence for ice advancing across the shelf adjacent to the Wilkes Subglacial Basin on at least four occasions separated by three periods of open marine conditions indicating retreat of grounded ice inland of the site during a warmer than present early Pliocene. The times of open marine conditions are correlated with previous findings from the neighbouring rise sites that also indicated an oscillating ice margin. This has significant implications because firstly it suggests a dynamic East Antarctic Ice Sheet (EAIS) that is probably far more sensitive to climatic and oceanic forcing even during relatively short time periods than had previously been thought. Secondly it suggests that proxies used to interpret the advance and retreat of the grounding line from the rise can be linked with direct evidence of grounding line migration from the shelf. It also has important implications for the future behaviour and sensitivity of the EAIS under present continuing warming conditions. Together with results from the rise, this paper provides a crucial ice extent target for a new ice sheet model of this region during the Pliocene. (C) 2015 Elsevier B.V. All rights reserved.</t>
  </si>
  <si>
    <t>[Reinardy, B. T. I. t; Escutia, C.] CSIC, Inst Andaluz Ciencias Tierra, Granada 18100, Spain; [Iwai, M.] Kochi Univ, Dept Nat Sci, Kochi 7808520, Japan; [Jimenez-Espejo, F. J.] Japan Agcy Marine Earth Sci &amp; Technol JAMSTEC, Dept Biochem, Yokosuka, Kanagawa 2370061, Japan; [Cook, C.; de Flierdt, T. van] Univ London Imperial Coll Sci Technol &amp; Med, Dept Earth Sci &amp; Engn, London SW7 2AZ, England; [Brinkhuis, H.] Univ Utrecht, Fac Sci, Inst Environm Biol, NL-3584 CD Utrecht, Netherlands</t>
  </si>
  <si>
    <t>Consejo Superior de Investigaciones Cientificas (CSIC); CSIC - Instituto Andaluz de Ciencias de la Tierra (IACT); Kochi University; Japan Agency for Marine-Earth Science &amp; Technology (JAMSTEC); Imperial College London; Utrecht University</t>
  </si>
  <si>
    <t>Reinardy, BTI (corresponding author), Univ Bergen, Dept Earth Sci, Allegaten 41, N-5007 Bergen, Norway.</t>
  </si>
  <si>
    <t>Benedict.Reinardy@geo.uib.no</t>
  </si>
  <si>
    <t>Brinkhuis, Henk/IUO-8165-2023; Jimenez-Espejo, Francisco J./AAR-2318-2020; Reinardy, Benedict/HKO-3273-2023; Jimenez-Espejo, Francisco J/F-4486-2016; Escutia, Carlota/B-8614-2015</t>
  </si>
  <si>
    <t>Brinkhuis, Henk/0000-0003-0253-6610; Reinardy, Benedict/0000-0002-3409-6747; Jimenez-Espejo, Francisco J/0000-0002-0335-8580; Iwai, Masao/0000-0001-7489-1262; Escutia, Carlota/0000-0002-4932-8619</t>
  </si>
  <si>
    <t>US National Science Foundation (NSF); Spanish Ministry of Science and Innovation [CTM 2011-24079]; ERA-NET European Partnership in Polar Climate Science (EUROPOLAR) [EUI2009-04040]; NERC [NE/H025162/1, NE/H014144/1] Funding Source: UKRI; Natural Environment Research Council [NE/H025162/1, NE/H014144/1] Funding Source: researchfish</t>
  </si>
  <si>
    <t>US National Science Foundation (NSF)(National Science Foundation (NSF)); Spanish Ministry of Science and Innovation(Spanish Government); ERA-NET European Partnership in Polar Climate Science (EUROPOLAR); NERC(UK Research &amp; Innovation (UKRI)Natural Environment Research Council (NERC)); Natural Environment Research Council(UK Research &amp; Innovation (UKRI)Natural Environment Research Council (NERC))</t>
  </si>
  <si>
    <t>This research used samples and data provided by the Integrated Ocean Drilling Program (IODP). The IODP is sponsored by the US National Science Foundation (NSF) and participating countries under the management of the Joint Oceanographic Institutions. Financial support for this study was provided by the Spanish Ministry of Science and Innovation grant CTM 2011-24079 and ERA-NET European Partnership in Polar Climate Science (EUROPOLAR) - EUI2009-04040. We would also like to thank Adrian Palmer for a great deal of help and assistance with the preparation and production of thin sections as well as helpful discussions with Johann Klages, Emrys Phillips and Sandra Passchier. We thank Philip Bart and an anonymous reviewer for their helpful reviews that improved this manuscript.</t>
  </si>
  <si>
    <t>10.1016/j.palaeo.2015.01.009</t>
  </si>
  <si>
    <t>CC9QU</t>
  </si>
  <si>
    <t>WOS:000350706500007</t>
  </si>
  <si>
    <t>Rawlence, NJ; Perry, GLW; Smith, IWG; Scofield, RP; Tennyson, AJD; Matisoo-Smith, EA; Boessenkool, S; Austin, JJ; Waters, JM</t>
  </si>
  <si>
    <t>Rawlence, Nicolas J.; Perry, George L. W.; Smith, Ian W. G.; Scofield, R. Paul; Tennyson, Alan J. D.; Matisoo-Smith, Elizabeth A.; Boessenkool, Sanne; Austin, Jeremy J.; Waters, Jonathan M.</t>
  </si>
  <si>
    <t>Radiocarbon-dating and ancient DNA reveal rapid replacement of extinct prehistoric penguins</t>
  </si>
  <si>
    <t>Ancient-DNA; Extinction; Megadyptes antipodes; Megadyptes waitaha; Penguin; Radiocarbon-dating; Turnover</t>
  </si>
  <si>
    <t>MOA AVES; MEGAFAUNA; EVENTS; AGE</t>
  </si>
  <si>
    <t>Prehistoric faunal extinctions dramatically reshaped biological assemblages around the world. However, the timing of such biotic shifts is often obscured by the fragmentary nature and limited temporal resolution of fossil records. We use radiocarbon-dating and ancient-DNA analysis of prehistoric (ca A.D. 1450 - 1834) Megadyptes penguin specimens to assess the time-frame of biological turnover in coastal New Zealand following human settlement. These data suggest that the final extirpation of the endemic Megadyptes waitaha, and subsequent replacement by the previously sub-Antarctic-limited Megadyptes antipodes, likely occurred within a narrow temporal window (e.g. a century or less). This transition represents one of the most rapid prehistoric faunal turnover events documented, and is likely linked to human demographic and cultural transitions during the 15th Century. Our results suggest that anthropogenic forces can trigger rapid biogeographic shifts. (C) 2015 Elsevier Ltd. All rights reserved.</t>
  </si>
  <si>
    <t>[Rawlence, Nicolas J.; Waters, Jonathan M.] Univ Otago, Dept Zool, Allan Wilson Ctr Mol Ecol &amp; Evolut, Dunedin, New Zealand; [Perry, George L. W.] Univ Auckland, Sch Environm, Auckland 1, New Zealand; [Perry, George L. W.] Univ Auckland, Sch Biol Sci, Auckland 1, New Zealand; [Smith, Ian W. G.] Univ Otago, Dept Anthropol &amp; Archaeol, Dunedin, New Zealand; [Scofield, R. Paul] Canterbury Museum, Christchurch, New Zealand; [Tennyson, Alan J. D.] Museum New Zealand Te Papa Tongarewa, Wellington, New Zealand; [Matisoo-Smith, Elizabeth A.] Univ Otago, Dept Anat, Allan Wilson Ctr Mol Ecol &amp; Evolut, Dunedin, New Zealand; [Boessenkool, Sanne] Univ Oslo, Ctr Ecol &amp; Evolutionary Synth, Dept Biosci, N-0316 Oslo, Norway; [Austin, Jeremy J.] Univ Adelaide, Sch Earth &amp; Environm Sci, Australian Ctr Ancient DNA, Adelaide, SA 5005, Australia</t>
  </si>
  <si>
    <t>University of Otago; University of Auckland; University of Auckland; University of Otago; University of Otago; University of Oslo; University of Adelaide</t>
  </si>
  <si>
    <t>Rawlence, NJ (corresponding author), Univ Otago, Dept Zool, Allan Wilson Ctr Mol Ecol &amp; Evolut, POB 56, Dunedin, New Zealand.</t>
  </si>
  <si>
    <t>nic.rawlence@otago.ac.nz</t>
  </si>
  <si>
    <t>Scofield, R. Paul/A-4271-2011; Waters, Jonathan/B-4983-2009; Boessenkool, Sanne/K-4274-2017; Smith, Ian/B-6463-2008; Austin, Jeremy/F-8729-2010</t>
  </si>
  <si>
    <t>Scofield, R. Paul/0000-0002-7510-6980; Waters, Jonathan/0000-0002-1514-7916; Boessenkool, Sanne/0000-0001-8033-1165; Smith, Ian/0000-0003-3481-6086; Austin, Jeremy/0000-0003-4244-2942; Perry, George/0000-0001-9672-9135</t>
  </si>
  <si>
    <t>Royal Society of New Zealand Marsden Fund [UOO1112]; University of Otago; Allan Wilson Centre</t>
  </si>
  <si>
    <t>Royal Society of New Zealand Marsden Fund(Royal Society of New ZealandMarsden Fund (NZ)); University of Otago; Allan Wilson Centre</t>
  </si>
  <si>
    <t>We thank the Canterbury Museum, Museum of New Zealand Te Papa Tongarewa, Otago Museum (Moira White, Scott Reeves), and the University of Otago's Department of Anthropology and Archaeology for supplying samples. Andrew Wheeler helped to develop the R code used for the sightings analysis. We also thank two anonymous reviewers whose helpful comments improved this manuscript. Funding was provided by the Royal Society of New Zealand Marsden Fund (UOO1112), the University of Otago and the Allan Wilson Centre.</t>
  </si>
  <si>
    <t>10.1016/j.quascirev.2015.01.011</t>
  </si>
  <si>
    <t>CE6VY</t>
  </si>
  <si>
    <t>WOS:000351977500005</t>
  </si>
  <si>
    <t>Patil, VP; Karels, TJ; Hik, DS</t>
  </si>
  <si>
    <t>Patil, Vijay P.; Karels, Timothy J.; Hik, David S.</t>
  </si>
  <si>
    <t>Ecological, Evolutionary and Social Constraints on Reproductive Effort: Are Hoary Marmots Really Biennial Breeders?</t>
  </si>
  <si>
    <t>BODY CONDITION; CLIMATE-CHANGE; SURVIVAL; PATTERNS; COSTS; MASS; SUPPRESSION; POPULATION; HYPOTHESES; BEHAVIOR</t>
  </si>
  <si>
    <t>Biennial breeding is a rare life-history trait observed in animal species living in harsh, unproductive environments. This reproductive pattern is thought to occur in 10 of 14 species in the genus Marmota, making marmots useful model organisms for studying its ecological and evolutionary implications. Biennial breeding in marmots has been described as an obligate pattern which evolved as a mechanism to mitigate the energetic costs of reproduction (Evolved Constraint hypothesis). However, recent anecdotal evidence suggests that it is a facultative pattern controlled by annual variation in climate and food availability (Environmental Constraint hypothesis). Finally, in social animals like marmots, biennial breeding could result from reproductive competition between females within social groups (Social Constraint hypothesis). We evaluated these three hypotheses using mark-recapture data from an 8-year study of hoary marmot (Marmota caligata) population dynamics in the Yukon. Annual variation in breeding probability was modeled using multi-state markrecapture models, while other reproductive life-history traits were modeled with generalized linear mixed models. Hoary marmots were neither obligate nor facultative biennial breeders, and breeding probability was insensitive to evolved, environmental, or social factors. However, newly mature females were significantly less likely to breed than older individuals. Annual breeding did not result in increased mortality. Female survival and, to a lesser extent, average fecundity were correlated with winter climate, as indexed by the Pacific Decadal Oscillation. Hoary marmots are less conservative breeders than previously believed, and the evidence for biennial breeding throughout Marmota, and in other arctic/alpine/antarctic animals, should be re-examined. Prediction of future population dynamics requires an accurate understanding of life history strategies, and of how life history traits allow animals to cope with changes in weather and other demographic influences.</t>
  </si>
  <si>
    <t>[Patil, Vijay P.] Univ Alaska Fairbanks, Dept Biol &amp; Wildlife, Fairbanks, AK 99775 USA; [Patil, Vijay P.; Karels, Timothy J.; Hik, David S.] Univ Alberta, Dept Biol Sci, Edmonton, AB T6G 2E9, Canada</t>
  </si>
  <si>
    <t>University of Alaska System; University of Alaska Fairbanks; University of Alberta</t>
  </si>
  <si>
    <t>Patil, VP (corresponding author), Univ Alaska Fairbanks, Dept Biol &amp; Wildlife, Fairbanks, AK 99775 USA.</t>
  </si>
  <si>
    <t>vppatil@alaska.edu</t>
  </si>
  <si>
    <t>Hik, David/B-3462-2009</t>
  </si>
  <si>
    <t>Hik, David/0000-0002-8994-9305</t>
  </si>
  <si>
    <t>Environment Canada; Natural Science and Engineering Research Council of Canada; Yellowstone to Yukon (Y2Y) Science Grants program; Canada Foundation for Innovation; Canada Research Chairs Program; Canadian Circumpolar Institute, University of Alberta</t>
  </si>
  <si>
    <t>Environment Canada(CGIAR); Natural Science and Engineering Research Council of Canada(Natural Sciences and Engineering Research Council of Canada (NSERC)); Yellowstone to Yukon (Y2Y) Science Grants program; Canada Foundation for Innovation(Canada Foundation for InnovationCGIARSpanish Government); Canada Research Chairs Program(Canada Research Chairs); Canadian Circumpolar Institute, University of Alberta(University of Alberta)</t>
  </si>
  <si>
    <t>Funding was provided by Environment Canada, the Natural Science and Engineering Research Council of Canada, the Yellowstone to Yukon (Y2Y) Science Grants program, the Canada Foundation for Innovation, the Canada Research Chairs Program, and the Canadian Circumpolar Institute, University of Alberta. The funders had no role in study design, data collection and analysis, decision to publish, or preparation of the manuscript.</t>
  </si>
  <si>
    <t>MAR 13</t>
  </si>
  <si>
    <t>e0119081</t>
  </si>
  <si>
    <t>10.1371/journal.pone.0119081</t>
  </si>
  <si>
    <t>CD7NO</t>
  </si>
  <si>
    <t>WOS:000351277500063</t>
  </si>
  <si>
    <t>Crowley, JW; Katz, RF; Huybers, P; Langmuir, CH; Park, SH</t>
  </si>
  <si>
    <t>Crowley, John W.; Katz, Richard F.; Huybers, Peter; Langmuir, Charles H.; Park, Sung-Hyun</t>
  </si>
  <si>
    <t>Glacial cycles drive variations in the production of oceanic crust</t>
  </si>
  <si>
    <t>MELT EXTRACTION; PACIFIC; MANTLE</t>
  </si>
  <si>
    <t>Glacial cycles redistribute water between oceans and continents, causing pressure changes in the upper mantle, with consequences for the melting of Earth's interior. Using Plio-Pleistocene sea-level variations as a forcing function, theoretical models of mid-ocean ridge dynamics that include melt transport predict temporal variations in crustal thickness of hundreds of meters. New bathymetry from the Australian-Antarctic ridge shows statistically significant spectral energy near the Milankovitch periods of 23, 41, and 100 thousand years, which is consistent with model predictions. These results suggest that abyssal hills, one of the most common bathymetric features on Earth, record the magmatic response to changes in sea level. The models and data support a link between glacial cycles at the surface and mantle melting at depth, recorded in the bathymetric fabric of the sea floor.</t>
  </si>
  <si>
    <t>[Crowley, John W.; Katz, Richard F.] Univ Oxford, Dept Earth Sci, Oxford OX1 3PR, England; [Crowley, John W.; Huybers, Peter; Langmuir, Charles H.] Harvard Univ, Dept Earth &amp; Planetary Sci, Cambridge, MA 02138 USA; [Park, Sung-Hyun] Korea Polar Res Inst, Div Polar Earth Syst Sci, Inchon, South Korea</t>
  </si>
  <si>
    <t>University of Oxford; Harvard University; Korea Institute of Ocean Science &amp; Technology (KIOST); Korea Polar Research Institute (KOPRI)</t>
  </si>
  <si>
    <t>Katz, RF (corresponding author), Univ Oxford, Dept Earth Sci, Oxford OX1 3PR, England.</t>
  </si>
  <si>
    <t>richard.katz@earth.ox.ac.uk; shpark314@kopri.re.kr</t>
  </si>
  <si>
    <t>Katz, Richard F/D-3364-2009; langmuir, charles/ISV-3278-2023</t>
  </si>
  <si>
    <t>Katz, Richard F/0000-0001-8746-5430; Huybers, Peter/0000-0002-3734-8145; Park, Hyun/0000-0002-8055-2010; Crowley, John/0000-0001-8655-7907</t>
  </si>
  <si>
    <t>European Research Council (ERC) under the European Union [279925]; U.S. National Science Foundation [1338832]; Korea Polar Research Institute [PP13040, PE14050]; Leverhulme Trust; Korea Institute of Marine Science &amp; Technology Promotion (KIMST) [PE14050] Funding Source: Korea Institute of Science &amp; Technology Information (KISTI), National Science &amp; Technology Information Service (NTIS); European Research Council (ERC) [279925] Funding Source: European Research Council (ERC); Div Atmospheric &amp; Geospace Sciences; Directorate For Geosciences [1338832] Funding Source: National Science Foundation</t>
  </si>
  <si>
    <t>European Research Council (ERC) under the European Union(European Research Council (ERC)); U.S. National Science Foundation(National Science Foundation (NSF)); Korea Polar Research Institute(Korea Polar Research Institute of Marine Research Placement (KOPRI)); Leverhulme Trust(Leverhulme Trust); Korea Institute of Marine Science &amp; Technology Promotion (KIMST)(Korea Institute of Marine Science &amp; Technology Promotion (KIMST)); European Research Council (ERC)(European Research Council (ERC)Spanish Government); Div Atmospheric &amp; Geospace Sciences; Directorate For Geosciences(National Science Foundation (NSF)NSF - Directorate for Geosciences (GEO))</t>
  </si>
  <si>
    <t>The research leading to these results has received funding from the European Research Council (ERC) under the European Union's Seventh Framework Programme (FP7/2007-2013)/ERC grant agreement 279925 and from the U.S. National Science Foundation under grant 1338832. It is a part of project PP13040 and PE14050 funded by the Korea Polar Research Institute. J.W.C. thanks J. Mitrovica, and R.F.K. thanks the Leverhulme Trust for additional support. Numerical models were run at Oxford's Advanced Research Computing facility. Bathymetry data are included in the supplementary materials.</t>
  </si>
  <si>
    <t>10.1126/science.1261508</t>
  </si>
  <si>
    <t>CD1GZ</t>
  </si>
  <si>
    <t>WOS:000350824300034</t>
  </si>
  <si>
    <t>Oellermann, M; Lieb, B; Pörtner, HO; Semmens, JM; Mark, FC</t>
  </si>
  <si>
    <t>Oellermann, Michael; Lieb, Bernhard; Poertner, Hans-O; Semmens, Jayson M.; Mark, Felix C.</t>
  </si>
  <si>
    <t>Blue blood on ice: modulated blood oxygen transport facilitates cold compensation and eurythermy in an Antarctic octopod</t>
  </si>
  <si>
    <t>FRONTIERS IN ZOOLOGY</t>
  </si>
  <si>
    <t>Haemocyanin; Hemocyanin; Cephalopod; Oxygen affinity; Oxygen carrying capacity; Diffusion chamber; Pareledone charcoti; Octopus pallidus; Eledone moschata</t>
  </si>
  <si>
    <t>CIRCULATORY-SYSTEM; BINDING-PROPERTIES; THERMAL TOLERANCE; METABOLIC-RATE; CEPHALOPOD HEMOCYANINS; TEMPERATURE-DEPENDENCE; SEPIA-OFFICINALIS; SOUTHERN-OCEAN; ADAPTATION; HEMOGLOBIN</t>
  </si>
  <si>
    <t>Introduction: The Antarctic Ocean hosts a rich and diverse fauna despite inhospitable temperatures close to freezing, which require specialist adaptations to sustain animal activity and various underlying body functions. While oxygen transport has been suggested to be key in setting thermal tolerance in warmer climates, this constraint is relaxed in Antarctic fishes and crustaceans, due to high levels of dissolved oxygen. Less is known about how other Antarctic ectotherms cope with temperatures near zero, particularly the more active invertebrates like the abundant octopods. A continued reliance on the highly specialised blood oxygen transport system of cephalopods may concur with functional constraints at cold temperatures. We therefore analysed the octopod's central oxygen transport component, the blue blood pigment haemocyanin, to unravel strategies that sustain oxygen supply at cold temperatures. Results: To identify adaptive compensation of blood oxygen transport in octopods from different climatic regions, we compared haemocyanin oxygen binding properties, oxygen carrying capacities as well as haemolymph protein and ion composition between the Antarctic octopod Pareledone charcoti, the South-east Australian Octopus pallidus and the Mediterranean Eledone moschata. In the Antarctic Pareledone charcoti at 0 degrees C, oxygen unloading by haemocyanin was poor but supported by high levels of dissolved oxygen. However, lower oxygen affinity and higher oxygen carrying capacity compared to warm water octopods, still enabled significant contribution of haemocyanin to oxygen transport at 0 degrees C. At warmer temperatures, haemocyanin of Pareledone charcoti releases most of the bound oxygen, supporting oxygen supply at 10 degrees C. In warm water octopods, increasing oxygen affinities reduce the ability to release oxygen from haemocyanin at colder temperatures. Though, unlike Eledone moschata, Octopus pallidus attenuated this increase below 15 degrees C. Conclusions: Adjustments of haemocyanin physiological function and haemocyanin concentrations but also high dissolved oxygen concentrations support oxygen supply in the Antarctic octopus Pareledone charcoti at near freezing temperatures. Increased oxygen supply by haemocyanin at warmer temperatures supports extended warm tolerance and thus eurythermy of Pareledone charcoti. Limited haemocyanin function towards colder temperatures in Antarctic and warm water octopods highlights the general role of haemocyanin oxygen transport in constraining cold tolerance in octopods.</t>
  </si>
  <si>
    <t>[Oellermann, Michael; Poertner, Hans-O; Mark, Felix C.] Helmholtz Ctr Polar &amp; Marine Res, Alfred Wegener Inst, D-27570 Bremerhaven, Germany; [Lieb, Bernhard] Johannes Gutenberg Univ Mainz, Inst Zool, D-55099 Mainz, Germany; [Semmens, Jayson M.] Univ Tasmania, Inst Marine &amp; Antarct Studies, Fisheries Aquaculture &amp; Coasts Ctr, Hobart, Tas 7001, Australia</t>
  </si>
  <si>
    <t>Helmholtz Association; Alfred Wegener Institute, Helmholtz Centre for Polar &amp; Marine Research; Johannes Gutenberg University of Mainz; University of Tasmania</t>
  </si>
  <si>
    <t>Oellermann, M (corresponding author), Helmholtz Ctr Polar &amp; Marine Res, Alfred Wegener Inst, Handelshafen 12, D-27570 Bremerhaven, Germany.</t>
  </si>
  <si>
    <t>oellermann.m@gmail.com</t>
  </si>
  <si>
    <t>Pörtner, Hans-O./K-9429-2016; Oellermann, Michael/AAE-7962-2020; Mark, Felix Christopher/P-4759-2016; Lieb, Bernhard/AFT-2157-2022; Pörtner, Hans-O./ISU-9397-2023</t>
  </si>
  <si>
    <t>Pörtner, Hans-O./0000-0001-6535-6575; Oellermann, Michael/0000-0001-5392-6737; Mark, Felix Christopher/0000-0002-5586-6704; Semmens, Jayson/0000-0003-1742-6692</t>
  </si>
  <si>
    <t>Journal of Experimental Biology travelling fellowship; German Academic Exchange Service (DAAD) [D/11/43882]; Deutsche Forschungsgemeinschaft DFG [MA4271/1-2]; Alfred Wegener Institute for Polar and Marine Research</t>
  </si>
  <si>
    <t>Journal of Experimental Biology travelling fellowship; German Academic Exchange Service (DAAD)(Deutscher Akademischer Austausch Dienst (DAAD)); Deutsche Forschungsgemeinschaft DFG(German Research Foundation (DFG)); Alfred Wegener Institute for Polar and Marine Research(Helmholtz Association)</t>
  </si>
  <si>
    <t>We wish to thank all colleagues and technical staff of the Alfred Wegener Institute including Lena Jakob for performing ion chromatography, Fredy Veliz Moraleda and Nils Koschnick for acquisition and care of Pareledone charcoti, Timo Hirse, and Guido Krieten for technical assistance and Anneli Strobel for providing haemolymph pH and weight data of Eledone moschata. We would like to express our special thanks to Jan Strugnell (La Trobe University, Bundoora) for providing lab space and her extensive practical and theoretical support, Michael Imsic and all other staff and technicians of the La Trobe University for their kind support and the fishermen of T.O.P. Fish Pty Ltd for catching Octopus pallidus. We would further thank the two anonymous reviewers for their numerous helpful comments. This study was supported by a Journal of Experimental Biology travelling fellowship, a PhD scholarship by the German Academic Exchange Service (DAAD, D/11/43882) to MO, the Deutsche Forschungsgemeinschaft DFG (MA4271/1-2 to FCM) and the Alfred Wegener Institute for Polar and Marine Research.</t>
  </si>
  <si>
    <t>1742-9994</t>
  </si>
  <si>
    <t>FRONT ZOOL</t>
  </si>
  <si>
    <t>Front. Zool.</t>
  </si>
  <si>
    <t>MAR 11</t>
  </si>
  <si>
    <t>10.1186/s12983-015-0097-x</t>
  </si>
  <si>
    <t>CG2KI</t>
  </si>
  <si>
    <t>WOS:000353103100001</t>
  </si>
  <si>
    <t>Tamazian, A; Ludescher, J; Bunde, A</t>
  </si>
  <si>
    <t>Tamazian, Araik; Ludescher, Josef; Bunde, Armin</t>
  </si>
  <si>
    <t>Significance of trends in long-term correlated records</t>
  </si>
  <si>
    <t>PHYSICAL REVIEW E</t>
  </si>
  <si>
    <t>CLIMATE-CHANGE; RANGE DEPENDENCE; TIME-SERIES; SEA-LEVEL; PERSISTENCE; SURFACE; SPECTRA; MEMORY; MODEL</t>
  </si>
  <si>
    <t>We study the distribution P(x; alpha, L) of the relative trend x in long-term correlated records of length L that are characterized by a Hurst exponent a between 0.5 and 1.5. The relative trend x is the ratio between the strength of the trend Lambda in the record measured by linear regression and the standard deviation sigma around the regression line. We consider L between 400 and 2200, which is the typical length scale of monthly local and annual reconstructed global climate records. Extending previous work by Lennartz and Bunde [S. Lennartz and A. Bunde, Phys. Rev. E 84, 021129 (2011)] we show explicitly that x follows the Student's t distribution P proportional to [1 + (x/a)(2)/l](-(l+1)/2), where the scaling parameter a depends on both L and alpha, while the effective length l depends, for alpha below 1.15, only on the record length L. From P we can derive an analytical expression for the trend significance S(x; alpha, L) = integral(x)(-x) P(x';alpha, L)dx' and the border lines of the 95% significance interval. We show that the results are nearly independent of the distribution of the data in the record, holding for Gaussian data as well as for highly skewed non-Gaussian data. For an application, we use our methodology to estimate the significance of central west Antarctic warming.</t>
  </si>
  <si>
    <t>[Tamazian, Araik; Ludescher, Josef; Bunde, Armin] Univ Giessen, Inst Theoret Phys, Giessen, Germany</t>
  </si>
  <si>
    <t>Justus Liebig University Giessen</t>
  </si>
  <si>
    <t>Tamazian, A (corresponding author), St Petersburg State Electrotech Univ, Dept Radio Syst, St Petersburg 197376, Russia.</t>
  </si>
  <si>
    <t>Tamazian, Araik/0000-0002-2410-730X</t>
  </si>
  <si>
    <t>Deutsche Forschungsgemeinschaft; Ministry of Education and Science of the Russian Federation</t>
  </si>
  <si>
    <t>Deutsche Forschungsgemeinschaft(German Research Foundation (DFG)); Ministry of Education and Science of the Russian Federation(Ministry of Education and Science, Russian Federation)</t>
  </si>
  <si>
    <t>We would like to thank the Deutsche Forschungsgemeinschaft and the Ministry of Education and Science of the Russian Federation for financial support, and Naiming Yuan for critical reading of the manuscript.</t>
  </si>
  <si>
    <t>AMER PHYSICAL SOC</t>
  </si>
  <si>
    <t>COLLEGE PK</t>
  </si>
  <si>
    <t>ONE PHYSICS ELLIPSE, COLLEGE PK, MD 20740-3844 USA</t>
  </si>
  <si>
    <t>1539-3755</t>
  </si>
  <si>
    <t>1550-2376</t>
  </si>
  <si>
    <t>PHYS REV E</t>
  </si>
  <si>
    <t>Phys. Rev. E</t>
  </si>
  <si>
    <t>10.1103/PhysRevE.91.032806</t>
  </si>
  <si>
    <t>Physics, Fluids &amp; Plasmas; Physics, Mathematical</t>
  </si>
  <si>
    <t>Physics</t>
  </si>
  <si>
    <t>CD3GO</t>
  </si>
  <si>
    <t>WOS:000350966600014</t>
  </si>
  <si>
    <t>Wang, ZM; Zhang, XD; Guan, ZY; Sun, B; Yang, X; Liu, CY</t>
  </si>
  <si>
    <t>Wang, Zhaomin; Zhang, Xiangdong; Guan, Zhaoyong; Sun, Bo; Yang, Xin; Liu, Chengyan</t>
  </si>
  <si>
    <t>An atmospheric origin of the multi-decadal bipolar seesaw</t>
  </si>
  <si>
    <t>TEMPERATURE TRENDS; CIRCULATION; VARIABILITY; OZONE</t>
  </si>
  <si>
    <t>A prominent feature of recent climatic change is the strong Arctic surface warming that is contemporaneous with broad cooling over much of Antarctica and the Southern Ocean. Longer global surface temperature observations suggest that this contrasting pole-to-pole change could be a manifestation of a multi-decadal interhemispheric or bipolar seesaw pattern, which is well correlated with the North Atlantic sea surface temperature variability, and thus generally hypothesized to originate from Atlantic meridional overturning circulation oscillations. Here, we show that there is an atmospheric origin for this seesaw pattern. The results indicate that the Southern Ocean surface cooling (warming) associated with the seesaw pattern is attributable to the strengthening (weakening) of the Southern Hemisphere westerlies, which can be traced to Northern Hemisphere and tropical tropospheric warming (cooling). Antarctic ozone depletion has been suggested to be an important driving force behind the recently observed increase in the Southern Hemisphere's summer westerly winds; our results imply that Northern Hemisphere and tropical warming may have played a triggering role at an stage earlier than the first detectable Antarctic ozone depletion, and enhanced Antarctic ozone depletion through decreasing the lower stratospheric temperature.</t>
  </si>
  <si>
    <t>[Wang, Zhaomin; Guan, Zhaoyong; Liu, Chengyan] Nanjing Univ Informat Sci &amp; Technol, Polar Climate Syst &amp; Global Change Lab, Nanjing 210044, Jiangsu, Peoples R China; [Wang, Zhaomin; Liu, Chengyan] Nanjing Univ Informat Sci &amp; Technol, ESMC, NIAMS, Nanjing 210044, Jiangsu, Peoples R China; [Zhang, Xiangdong] Univ Alaska Fairbanks, Int Arctic Res Ctr, Fairbanks, AK 99775 USA; [Zhang, Xiangdong] Univ Alaska Fairbanks, Dept Atmospher Sci, Fairbanks, AK 99775 USA; [Sun, Bo] Polar Res Inst China, Shanghai 200136, Peoples R China; [Yang, Xin] British Antarctic Survey, Cambridge CB3 0ET, England</t>
  </si>
  <si>
    <t>Nanjing University of Information Science &amp; Technology; Nanjing University of Information Science &amp; Technology; University of Alaska System; University of Alaska Fairbanks; University of Alaska System; University of Alaska Fairbanks; Polar Research Institute of China; UK Research &amp; Innovation (UKRI); Natural Environment Research Council (NERC); NERC British Antarctic Survey</t>
  </si>
  <si>
    <t>Wang, ZM (corresponding author), Nanjing Univ Informat Sci &amp; Technol, Polar Climate Syst &amp; Global Change Lab, Nanjing 210044, Jiangsu, Peoples R China.</t>
  </si>
  <si>
    <t>wzm@nuist.edu.cn</t>
  </si>
  <si>
    <t>Zhang, Xiangdong/A-9711-2009; Yang, Xin/AGB-3514-2022; sun, bo/JFA-9978-2023</t>
  </si>
  <si>
    <t>Zhang, Xiangdong/0000-0001-5893-2888; Yang, Xin/0000-0002-3838-9758;</t>
  </si>
  <si>
    <t>Global Change Research Program of China [2015CB953904]; China National Natural Science Foundation (NSFC) [41276200]; Special Program for China Meteorology Trade [GYHY201306020]; Program for Innovation Research and Entrepreneurship team in Jiangsu Province; Priority Academic Program Development of Jiangsu Higher Education Institutions (PAPD); NSFC [41175062, 41306208]; Office of Polar Programs (OPP); Directorate For Geosciences [1023592] Funding Source: National Science Foundation; Natural Environment Research Council [bas0100032, bas0100024] Funding Source: researchfish; NERC [bas0100032, bas0100024] Funding Source: UKRI</t>
  </si>
  <si>
    <t>Global Change Research Program of China; China National Natural Science Foundation (NSFC)(National Natural Science Foundation of China (NSFC)); Special Program for China Meteorology Trade; Program for Innovation Research and Entrepreneurship team in Jiangsu Province; Priority Academic Program Development of Jiangsu Higher Education Institutions (PAPD); NSFC(National Natural Science Foundation of China (NSFC)); Office of Polar Programs (OPP); Directorate For Geosciences(National Science Foundation (NSF)NSF - Directorate for Geosciences (GEO)); Natural Environment Research Council(UK Research &amp; Innovation (UKRI)Natural Environment Research Council (NERC)); NERC(UK Research &amp; Innovation (UKRI)Natural Environment Research Council (NERC))</t>
  </si>
  <si>
    <t>We are grateful for discussions with and comments from colleagues at the British Antarctic Survey, including J. King, M. Meredith, A. Orr, G. Marshall, J. B. Sallee, and J. Turner, during the analysis and writing of this paper. Z. Wang was supported by the Global Change Research Program of China (2015CB953904), by the China National Natural Science Foundation (NSFC) Project (41276200), by the Special Program for China Meteorology Trade (Grant No. GYHY201306020), by Program for Innovation Research and Entrepreneurship team in Jiangsu Province, and by a project funded by the Priority Academic Program Development of Jiangsu Higher Education Institutions (PAPD). Z. Guan was partly supported by NSFC Project (41175062). C. Liu was support by NSFC project (41306208). This paper is ESMC contribution No. 035.</t>
  </si>
  <si>
    <t>MAR 10</t>
  </si>
  <si>
    <t>10.1038/srep08909</t>
  </si>
  <si>
    <t>CD4YG</t>
  </si>
  <si>
    <t>WOS:000351091900002</t>
  </si>
  <si>
    <t>Ade, PAR; Aghanim, N; Ahmed, Z; Aikin, RW; Alexander, KD; Arnaud, M; Aumont, J; Baccigalupi, C; Banday, AJ; Barkats, D; Barreiro, RB; Bartlett, JG; Bartolo, N; Battaner, E; Benabed, K; Benoît, A; Benoit-Lévy, A; Benton, SJ; Bernard, JP; Bersanelli, M; Bielewicz, P; Bischoff, CA; Bock, JJ; Bonaldi, A; Bonavera, L; Bond, JR; Borrill, J; Bouchet, FR; Boulanger, F; Brevik, JA; Bucher, M; Buder, I; Bullock, E; Burigana, C; Butler, RC; Buza, V; Calabrese, E; Cardoso, JF; Catalano, A; Challinor, A; Chary, RR; Chiang, HC; Christensen, PR; Colombo, LPL; Combet, C; Connors, J; Couchot, F; Coulais, A; Crill, BP; Curto, A; Cuttaia, F; Danese, L; Davies, RD; Davis, RJ; de Bernardis, P; de Rosa, A; de Zotti, G; Delabrouille, J; Delouis, JM; Désert, FX; Dickinson, C; Diego, JM; Dole, H; Donzelli, S; Doré, O; Douspis, M; Dowell, CD; Duband, L; Ducout, A; Dunkley, J; Dupac, X; Dvorkin, C; Efstathiou, G; Elsner, F; Ensslin, TA; Eriksen, HK; Falgarone, E; Filippini, JP; Finelli, F; Fliescher, S; Forni, O; Frailis, M; Fraisse, AA; Franceschi, E; Frejsel, A; Galeotta, S; Galli, S; Ganga, K; Ghosh, T; Giard, M; Gjerlow, E; Golwala, SR; González-Nuevo, J; Górski, KM; Gratton, S; Gregorio, A; Gruppuso, A; Gudmundsson, JE; Halpern, M; Hansen, FK; Hanson, D; Harrison, DL; Hasselfield, M; Helou, G; Henrot-Versillée, S; Herranz, D; Hildebrandt, SR; Hilton, GC; Hivon, E; Hobson, M; Holmes, WA; Hovest, W; Hristov, VV; Huffenberger, KM; Hui, H; Hurier, G; Irwin, KD; Jaffe, AH; Jaffe, TR; Jewell, J; Jones, WC; Juvela, M; Karakci, A; Karkare, KS; Kaufman, JP; Keating, BG; Kefeli, S; Keihänen, E; Kernasovskiy, SA; Keskitalo, R; Kisner, TS; Kneissl, R; Knoche, J; Knox, L; Kovac, JM; Krachmalnicoff, N; Kunz, M; Kuo, CL; Kurki-Suonio, H; Lagache, G; Lähteenmäki, A; Lamarre, JM; Lasenby, A; Lattanzi, M; Lawrence, CR; Leitch, EM; Leonardi, R; Levrier, F; Lewis, A; Liguori, M; Lilje, PB; Linden-Vornle, M; López-Caniego, M; Lubin, PM; Lueker, M; Macías-Pérez, JF; Maffei, B; Maino, D; Mandolesi, N; Mangilli, A; Maris, M; Martin, PG; Martínez-González, E; Masi, S; Mason, P; Matarrese, S; Megerian, KG; Meinhold, PR; Melchiorri, A; Mendes, L; Mennella, A; Migliaccio, M; Mitra, S; Miville-Deschênes, MA; Moneti, A; Montier, L; Morgante, G; Mortlock, D; Moss, A; Munshi, D; Murphy, JA; Naselsky, P; Nati, F; Natoli, P; Netterfield, CB; Nguyen, HT; Norgaard-Nielsen, HU; Noviello, F; Novikov, D; Novikov, I; O'Brient, R; Ogburn, RW; Orlando, A; Pagano, L; Pajot, F; Paladini, R; Paoletti, D; Partridge, B; Pasian, F; Patanchon, G; Pearson, TJ; Perdereau, O; Perotto, L; Pettorino, V; Piacentini, F; Piat, M; Pietrobon, D; Plaszczynski, S; Pointecouteau, E; Polenta, G; Ponthieu, N; Pratt, GW; Prunet, S; Pryke, C; Puget, JL; Rachen, JP; Reach, WT; Rebolo, R; Reinecke, M; Remazeilles, M; Renault, C; Renzi, A; Richter, S; Ristorcelli, I; Rocha, G; Rossetti, M; Roudier, G; Rowan-Robinson, M; Rubiño-Martín, JA; Rusholme, B; Sandri, M; Santos, D; Savelainen, M; Savini, G; Schwarz, R; Scott, D; Seiffert, MD; Sheehy, CD; Spencer, LD; Staniszewski, ZK; Stolyarov, V; Sudiwala, R; Sunyaev, R; Sutton, D; Suur-Uski, AS; Sygnet, JF; Tauber, JA; Teply, GP; Terenzi, L; Thompson, KL; Toffolatti, L; Tolan, JE; Tomasi, M; Tristram, M; Tucci, M; Turner, AD; Valenziano, L; Valiviita, J; Van Tent, B; Vibert, L; Vielva, P; Vieregg, AG; Villa, F; Wade, LA; Wandelt, BD; Watson, R; Weber, AC; Wehus, IK; White, M; White, SDM; Willmert, J; Wong, CL; Yoon, KW; Yvon, D; Zacchei, A; Zonca, A</t>
  </si>
  <si>
    <t>Ade, P. A. R.; Aghanim, N.; Ahmed, Z.; Aikin, R. W.; Alexander, K. D.; Arnaud, M.; Aumont, J.; Baccigalupi, C.; Banday, A. J.; Barkats, D.; Barreiro, R. B.; Bartlett, J. G.; Bartolo, N.; Battaner, E.; Benabed, K.; Benoit, A.; Benoit-Levy, A.; Benton, S. J.; Bernard, J. -P.; Bersanelli, M.; Bielewicz, P.; Bischoff, C. A.; Bock, J. J.; Bonaldi, A.; Bonavera, L.; Bond, J. R.; Borrill, J.; Bouchet, F. R.; Boulanger, F.; Brevik, J. A.; Bucher, M.; Buder, I.; Bullock, E.; Burigana, C.; Butler, R. C.; Buza, V.; Calabrese, E.; Cardoso, J. -F.; Catalano, A.; Challinor, A.; Chary, R. -R.; Chiang, H. C.; Christensen, P. R.; Colombo, L. P. L.; Combet, C.; Connors, J.; Couchot, F.; Coulais, A.; Crill, B. P.; Curto, A.; Cuttaia, F.; Danese, L.; Davies, R. D.; Davis, R. J.; de Bernardis, P.; de Rosa, A.; de Zotti, G.; Delabrouille, J.; Delouis, J. -M.; Desert, F. -X.; Dickinson, C.; Diego, J. M.; Dole, H.; Donzelli, S.; Dore, O.; Douspis, M.; Dowell, C. D.; Duband, L.; Ducout, A.; Dunkley, J.; Dupac, X.; Dvorkin, C.; Efstathiou, G.; Elsner, F.; Ensslin, T. A.; Eriksen, H. K.; Falgarone, E.; Filippini, J. P.; Finelli, F.; Fliescher, S.; Forni, O.; Frailis, M.; Fraisse, A. A.; Franceschi, E.; Frejsel, A.; Galeotta, S.; Galli, S.; Ganga, K.; Ghosh, T.; Giard, M.; Gjerlow, E.; Golwala, S. R.; Gonzalez-Nuevo, J.; Gorski, K. M.; Gratton, S.; Gregorio, A.; Gruppuso, A.; Gudmundsson, J. E.; Halpern, M.; Hansen, F. K.; Hanson, D.; Harrison, D. L.; Hasselfield, M.; Helou, G.; Henrot-Versille, S.; Herranz, D.; Hildebrandt, S. R.; Hilton, G. C.; Hivon, E.; Hobson, M.; Holmes, W. A.; Hovest, W.; Hristov, V. V.; Huffenberger, K. M.; Hui, H.; Hurier, G.; Irwin, K. D.; Jaffe, A. H.; Jaffe, T. R.; Jewell, J.; Jones, W. C.; Juvela, M.; Karakci, A.; Karkare, K. S.; Kaufman, J. P.; Keating, B. G.; Kefeli, S.; Keihanen, E.; Kernasovskiy, S. A.; Keskitalo, R.; Kisner, T. S.; Kneissl, R.; Knoche, J.; Knox, L.; Kovac, J. M.; Krachmalnicoff, N.; Kunz, M.; Kuo, C. L.; Kurki-Suonio, H.; Lagache, G.; Lahteenmaki, A.; Lamarre, J. -M.; Lasenby, A.; Lattanzi, M.; Lawrence, C. R.; Leitch, E. M.; Leonardi, R.; Levrier, F.; Lewis, A.; Liguori, M.; Lilje, P. B.; Linden-Vornle, M.; Lopez-Caniego, M.; Lubin, P. M.; Lueker, M.; Macias-Perez, J. F.; Maffei, B.; Maino, D.; Mandolesi, N.; Mangilli, A.; Maris, M.; Martin, P. G.; Martinez-Gonzalez, E.; Masi, S.; Mason, P.; Matarrese, S.; Megerian, K. G.; Meinhold, P. R.; Melchiorri, A.; Mendes, L.; Mennella, A.; Migliaccio, M.; Mitra, S.; Miville-Deschenes, M. -A.; Moneti, A.; Montier, L.; Morgante, G.; Mortlock, D.; Moss, A.; Munshi, D.; Murphy, J. A.; Naselsky, P.; Nati, F.; Natoli, P.; Netterfield, C. B.; Nguyen, H. T.; Norgaard-Nielsen, H. U.; Noviello, F.; Novikov, D.; Novikov, I.; O'Brient, R.; Ogburn, R. W.; Orlando, A.; Pagano, L.; Pajot, F.; Paladini, R.; Paoletti, D.; Partridge, B.; Pasian, F.; Patanchon, G.; Pearson, T. J.; Perdereau, O.; Perotto, L.; Pettorino, V.; Piacentini, F.; Piat, M.; Pietrobon, D.; Plaszczynski, S.; Pointecouteau, E.; Polenta, G.; Ponthieu, N.; Pratt, G. W.; Prunet, S.; Pryke, C.; Puget, J. -L.; Rachen, J. P.; Reach, W. T.; Rebolo, R.; Reinecke, M.; Remazeilles, M.; Renault, C.; Renzi, A.; Richter, S.; Ristorcelli, I.; Rocha, G.; Rossetti, M.; Roudier, G.; Rowan-Robinson, M.; Rubino-Martin, J. A.; Rusholme, B.; Sandri, M.; Santos, D.; Savelainen, M.; Savini, G.; Schwarz, R.; Scott, D.; Seiffert, M. D.; Sheehy, C. D.; Spencer, L. D.; Staniszewski, Z. K.; Stolyarov, V.; Sudiwala, R.; Sunyaev, R.; Sutton, D.; Suur-Uski, A. -S.; Sygnet, J. -F.; Tauber, J. A.; Teply, G. P.; Terenzi, L.; Thompson, K. L.; Toffolatti, L.; Tolan, J. E.; Tomasi, M.; Tristram, M.; Tucci, M.; Turner, A. D.; Valenziano, L.; Valiviita, J.; Van Tent, B.; Vibert, L.; Vielva, P.; Vieregg, A. G.; Villa, F.; Wade, L. A.; Wandelt, B. D.; Watson, R.; Weber, A. C.; Wehus, I. K.; White, M.; White, S. D. M.; Willmert, J.; Wong, C. L.; Yoon, K. W.; Yvon, D.; Zacchei, A.; Zonca, A.</t>
  </si>
  <si>
    <t>BICEP KECK; Planck Collaborations</t>
  </si>
  <si>
    <t>Joint Analysis of BICEP2/Keck Array and Planck Data</t>
  </si>
  <si>
    <t>PHYSICAL REVIEW LETTERS</t>
  </si>
  <si>
    <t>PROBE WMAP OBSERVATIONS; GRAVITY-WAVES; POLARIZATION; EMISSION; ANISOTROPY; SUBMILLIMETER; PRODUCTS; SPECTRUM; DUST</t>
  </si>
  <si>
    <t>We report the results of a joint analysis of data from BICEP2/Keck Array and Planck. BICEP2 and Keck Array have observed the same approximately 400 deg(2) patch of sky centered on RA 0 h, Dec. -57.5 degrees. The combined maps reach a depth of 57 nK deg in Stokes Q and U in a band centered at 150 GHz. Planck has observed the full sky in polarization at seven frequencies from 30 to 353 GHz, but much less deeply in any given region (1.2 mu K deg in Q and U at 143 GHz). We detect 150 x 353 cross-correlation in B modes at high significance. We fit the single- and cross-frequency power spectra at frequencies &gt;= 150 GHz to a lensed-Lambda CDM model that includes dust and a possible contribution from inflationary gravitational waves (as parametrized by the tensor-to-scalar ratio r), using a prior on the frequency spectral behavior of polarized dust emission from previous Planck analysis of other regions of the sky. We find strong evidence for dust and no statistically significant evidence for tensor modes. We probe various model variations and extensions, including adding a synchrotron component in combination with lower frequency data, and find that these make little difference to the r constraint. Finally, we present an alternative analysis which is similar to a map-based cleaning of the dust contribution, and show that this gives similar constraints. The final result is expressed as a likelihood curve for r, and yields an upper limit r(0.05) &lt; 0.12 at 95% confidence. Marginalizing over dust and r, lensing B modes are detected at 7.0 sigma significance.</t>
  </si>
  <si>
    <t>[Ade, P. A. R.; Munshi, D.; Spencer, L. D.; Sudiwala, R.] Cardiff Univ, Sch Phys &amp; Astron, Cardiff CF24 3AA, S Glam, Wales; [Aghanim, N.; Aumont, J.; Boulanger, F.; Dole, H.; Douspis, M.; Ghosh, T.; Hurier, G.; Kunz, M.; Lagache, G.; Mangilli, A.; Miville-Deschenes, M. -A.; Pajot, F.; Ponthieu, N.; Puget, J. -L.; Remazeilles, M.; Vibert, L.] Univ Paris 11, CNRS, UMR8617, Inst Astrophys Spatiale, F-91405 Orsay, France; [Ahmed, Z.; Irwin, K. D.; Kernasovskiy, S. A.; Kuo, C. L.; Ogburn, R. W.; Thompson, K. L.; Tolan, J. E.; Yoon, K. W.] Stanford Univ, Dept Phys, Stanford, CA 94305 USA; [Aikin, R. W.; Bock, J. J.; Brevik, J. A.; Crill, B. P.; Dore, O.; Filippini, J. P.; Golwala, S. R.; Helou, G.; Hildebrandt, S. R.; Hristov, V. V.; Hui, H.; Kefeli, S.; Lueker, M.; Mason, P.; Pearson, T. J.; Rocha, G.; Seiffert, M. D.; Staniszewski, Z. K.; Teply, G. P.] CALTECH, Pasadena, CA 91125 USA; [Alexander, K. D.; Bischoff, C. A.; Buder, I.; Buza, V.; Connors, J.; Dvorkin, C.; Karkare, K. S.; Kovac, J. M.; Richter, S.; Wong, C. L.] Harvard Smithsonian Ctr Astrophys, Cambridge, MA 02138 USA; [Arnaud, M.; Pratt, G. W.] Univ Paris Diderot, Lab AIM, Serv Astrophys, IRFU,CEA DSM CNRS,CEA Saclay, F-91191 Gif Sur Yvette, France; [Baccigalupi, C.; Bielewicz, P.; Danese, L.; de Zotti, G.; Gonzalez-Nuevo, J.] SISSA, Astrophys Sector, I-34136 Trieste, Italy; [Banday, A. J.; Bernard, J. -P.; Bielewicz, P.; Forni, O.; Giard, M.; Jaffe, T. R.; Montier, L.; Pointecouteau, E.; Ristorcelli, I.] Univ Toulouse, UPS OMP, IRAP, F-31028 Toulouse 4, France; [Banday, A. J.; Bernard, J. -P.; Bielewicz, P.; Forni, O.; Giard, M.; Jaffe, T. R.; Montier, L.; Pointecouteau, E.; Ristorcelli, I.] CNRS, IRAP, F-31028 Toulouse 4, France; [Barkats, D.] Joint ALMA Observ, Santiago, Chile; [Barreiro, R. B.; Benoit, A.; Bonavera, L.; Curto, A.; Diego, J. M.; Gonzalez-Nuevo, J.; Herranz, D.; Lopez-Caniego, M.; Martinez-Gonzalez, E.; Toffolatti, L.; Vielva, P.] Univ Cantabria, CSIC, Inst Fis Cantabria, Santander, Spain; [Bartlett, J. G.; Bucher, M.; Cardoso, J. -F.; Delabrouille, J.; Ganga, K.; Karakci, A.; Patanchon, G.; Piat, M.; Remazeilles, M.; Roudier, G.] Univ Paris Diderot, Observ Paris, Sorbonne Paris Cite, APC,AstroParticule &amp; Cosmol,CNRS IN2P3,CEA lrfu, F-75205 Paris 13, France; [Bartlett, J. G.; Bock, J. J.; Colombo, L. P. L.; Crill, B. P.; Dore, O.; Dowell, C. D.; Gorski, K. M.; Hanson, D.; Hildebrandt, S. R.; Holmes, W. A.; Jewell, J.; Lawrence, C. R.; Megerian, K. G.; Mitra, S.; Nguyen, H. T.; O'Brient, R.; Pietrobon, D.; Rocha, G.; Roudier, G.; Seiffert, M. D.; Staniszewski, Z. K.; Turner, A. D.; Wade, L. A.; Weber, A. C.; Wehus, I. K.] CALTECH, Jet Prop Lab, Pasadena, CA 91125 USA; [Bartolo, N.; Liguori, M.; Matarrese, S.] Univ Padua, Dipartimento Fis &amp; Astron G Galilei, I-35131 Padua, Italy; [Bartolo, N.; Liguori, M.; Matarrese, S.] Ist Nazl Fis Nucl, Sez Padova, I-35131 Padua, Italy; [Battaner, E.] Univ Granada, Dept Fis Teor &amp; Cosmos, Fac Ciencias, Granada, Spain; [Battaner, E.] Univ Granada, Inst Carlos I Fis Teor &amp; Computac, Granada, Spain; [Benabed, K.; Benoit-Levy, A.; Bouchet, F. R.; Cardoso, J. -F.; Delouis, J. -M.; Ducout, A.; Elsner, F.; Hivon, E.; Moneti, A.; Prunet, S.; Sygnet, J. -F.; Wandelt, B. D.] CNRS, Inst Astrophys Paris, UMR7095, F-75014 Paris, France; [Benabed, K.; Benoit-Levy, A.; Delouis, J. -M.; Elsner, F.; Hivon, E.; Prunet, S.; Wandelt, B. D.] Univ Paris 06, UMR7095, F-75014 Paris, France; [Benoit, A.] Univ Grenoble 1, CNRS, Inst Neel, Grenoble, France; [Benoit-Levy, A.; Elsner, F.] UCL, Dept Phys &amp; Astron, London WC1E 6BT, England; [Benton, S. J.] Univ Toronto, Dept Phys, Toronto, ON M5S 1A7, Canada; [Bersanelli, M.; Krachmalnicoff, N.; Maino, D.; Mennella, A.; Rossetti, M.; Tomasi, M.] Univ Milan, Dipartimento Fis, Milan, Italy; [Bersanelli, M.; Donzelli, S.; Maino, D.; Mennella, A.; Rossetti, M.; Tomasi, M.] INAF IASF Milano, Milan, Italy; [Bonaldi, A.; Davies, R. D.; Davis, R. J.; Dickinson, C.; Maffei, B.; Noviello, F.; Remazeilles, M.; Watson, R.] Univ Manchester, Sch Phys &amp; Astron, Jodrell Bank, Ctr Astrophys, Manchester M13 9PL, Lancs, England; [Bond, J. R.; Hanson, D.; Martin, P. G.; Miville-Deschenes, M. -A.] Univ Toronto, CITA, Toronto, ON M5S 3H8, Canada; [Borrill, J.; Keskitalo, R.] Univ Calif Berkeley, Lawrence Berkeley Natl Lab, Computat Cosmol Ctr, Berkeley, CA 94720 USA; [Borrill, J.] Univ Calif Berkeley, Space Sci Lab, Berkeley, CA 94720 USA; [Bouchet, F. R.] Univ Paris 04, UPMC, Inst Astrophys Paris, UMR7095, F-75014 Paris, France; [Bullock, E.; Pryke, C.] Univ Minnesota, Minnesota Inst Astrophys, Minneapolis, MN 55455 USA; [Butler, R. C.; Cuttaia, F.; de Rosa, A.; Finelli, F.; Franceschi, E.; Gruppuso, A.; Mandolesi, N.; Morgante, G.; Natoli, P.; Paoletti, D.; Sandri, M.; Terenzi, L.; Toffolatti, L.; Valenziano, L.; Villa, F.] INAF IASF Bologna, Bologna, Italy; [Burigana, C.; Lattanzi, M.; Mandolesi, N.; Natoli, P.] Univ Ferrara, Dipartimento Sci &amp; Fis Terra, I-44122 Ferrara, Italy; [Burigana, C.; Finelli, F.; Paoletti, D.] Ist Nazl Fis Nucl, Sez Bologna, I-40126 Bologna, Italy; [Calabrese, E.; Dunkley, J.] Univ Oxford, Sub Dept Astrophys, Oxford OX1 3RH, England; [Cardoso, J. -F.] CNRS, UMR 5141, Lab Traitement &amp; Commun Informat, F-75634 Paris 13, France; [Cardoso, J. -F.] Telecom ParisTech, F-75634 Paris 13, France; [Catalano, A.; Combet, C.; Macias-Perez, J. F.; Perotto, L.; Renault, C.; Santos, D.] Univ Grenoble Alpes, CNRS, IN2P3, Labe Phys Subatom &amp; Cosmol, F-38026 Grenoble, France; [Catalano, A.; Coulais, A.; Falgarone, E.; Lamarre, J. -M.; Levrier, F.; Roudier, G.] CNRS, Observ Paris, LERMA, Paris, France; [Challinor, A.; Efstathiou, G.; Gratton, S.; Harrison, D. L.; Migliaccio, M.; Sutton, D.] Univ Cambridge, Inst Astron, Cambridge CB3 0HA, England; [Challinor, A.; Gratton, S.; Harrison, D. L.; Lasenby, A.; Migliaccio, M.; Stolyarov, V.; Sutton, D.] Kavli Inst Cosmol Cambridge, Cambridge CB3 0HA, England; [Challinor, A.] Univ Cambridge, DAMTP, Ctr Theoret Cosmol, Cambridge CB3 0WA, England; [Chary, R. -R.; Paladini, R.; Pearson, T. J.; Rusholme, B.] CALTECH, Infrared Proc &amp; Anal Ctr, Pasadena, CA 91125 USA; [Chiang, H. C.; Fraisse, A. A.; Gudmundsson, J. E.; Jones, W. C.; Nati, F.] Princeton Univ, Dept Phys, Princeton, NJ USA; [Chiang, H. C.] Univ KwaZulu Natal, Sch Math Stat &amp; Comp Sci, Astrophys &amp; Cosmol Res Unit, ZA-4000 Durban, South Africa; [Christensen, P. R.; Frejsel, A.; Naselsky, P.; Novikov, I.] Niels Bohr Inst, DK-2100 Copenhagen, Denmark; [Christensen, P. R.; Naselsky, P.] Niels Bohr Inst, Discovery Ctr, DK-2100 Copenhagen, Denmark; [Colombo, L. P. L.] Univ So Calif, Dana &amp; David Dornsife Coll Letter Arts &amp; Sci, Dept Phys &amp; Astron, Los Angeles, CA 90089 USA; [Couchot, F.; Henrot-Versille, S.; Mangilli, A.; Perdereau, O.; Plaszczynski, S.; Tristram, M.] Univ Paris 11, CNRS, IN2P3, LAL, F-91405 Orsay, France; [Curto, A.; Hobson, M.; Lasenby, A.; Stolyarov, V.] Univ Cambridge, Cavendish Lab, Astrophys Grp, Cambridge CB3 0HE, England; [de Bernardis, P.; Masi, S.; Melchiorri, A.; Pagano, L.; Piacentini, F.] Univ Roma La Sapienza, Dipartimento Fis, I-00185 Rome, Italy; [de Zotti, G.] Osserv Astron Padova, INAF, Padua, Italy; [Desert, F. -X.; Ponthieu, N.] Univ Grenoble Alpes, Inst Planetol &amp; Astrophys Grenoble, IPAG, F-38000 Grenoble, France; [Desert, F. -X.; Ponthieu, N.] CNRS, IPAG, F-38000 Grenoble, France; [Dole, H.] Inst Univ France, F-75005 Paris, France; [Duband, L.] Serv Basses Temperatures Commiss Energie Atom, F-38054 Grenoble, France; [Ducout, A.; Jaffe, A. H.; Mortlock, D.; Rowan-Robinson, M.] Univ London Imperial Coll Sci Technol &amp; Med, Blackett Lab, London SW7 2AZ, England; [Dupac, X.; Leonardi, R.; Lopez-Caniego, M.; Mendes, L.] European Space Agcy, ESAC, Planck Sci Off, Madrid, Spain; [Ensslin, T. A.; Hovest, W.; Knoche, J.; Rachen, J. P.; Reinecke, M.; Sunyaev, R.; White, S. D. M.] Max Planck Inst Astrophys, D-85741 Garching, Germany; [Eriksen, H. K.; Gjerlow, E.; Hansen, F. K.; Lilje, P. B.] Univ Oslo, Inst Theoret Astrophys, Oslo, Norway; [Filippini, J. P.; Wandelt, B. D.] Univ Illinois, Dept Phys, Urbana, IL USA; [Fliescher, S.; Pryke, C.; Schwarz, R.; Sheehy, C. D.; Willmert, J.] Univ Minnesota, Sch Phys &amp; Astron, Minneapolis, MN 55455 USA; [Frailis, M.; Galeotta, S.; Gregorio, A.; Maris, M.; Pasian, F.; Zacchei, A.] Osserv Astron Trieste, INAF, I-34131 Trieste, Italy; [Gorski, K. M.] Univ Warsaw Observ, PL-00478 Warsaw, Poland; [Gregorio, A.] Univ Trieste, Dipartmento Fis, I-34127 Trieste, Italy; [Gregorio, A.] Ist Nazl Fis Nucl, I-34127 Trieste, Italy; [Halpern, M.; Hasselfield, M.; Scott, D.] Univ British Columbia, Dept Phys &amp; Astron, Vancouver, BC V5Z 1M9, Canada; [Hanson, D.] McGill Univ, Montreal, PQ H3A 2T8, Canada; [Hilton, G. C.; Irwin, K. D.] Natl Inst Stand &amp; Technol, Boulder, CO 80305 USA; [Huffenberger, K. M.] Florida State Univ, Dept Phys, Tallahassee, FL 32306 USA; [Irwin, K. D.; Kuo, C. L.; Ogburn, R. W.; Yoon, K. W.] SLAC Natl Accelerator Lab, Kavli Inst Particle Astrophys &amp; Cosmol, Menlo Pk, CA 94025 USA; [Juvela, M.; Keihanen, E.; Kurki-Suonio, H.; Savelainen, M.; Suur-Uski, A. -S.; Valiviita, J.] Univ Helsinki, Dept Phys, Helsinki, Finland; [Kaufman, J. P.; Keating, B. G.; Orlando, A.] Univ Calif San Diego, Dept Phys, La Jolla, CA 92093 USA; [Kisner, T. S.] Univ Calif Berkeley, Lawrence Berkeley Natl Lab, Berkeley, CA 94720 USA; [Kneissl, R.] ESO Vitacura, European Southern Observ, Santiago 19001, Chile; [Kneissl, R.] ALMA Santiago Cent Offices, Atacama Large Millimeter Submillimeter Array, Santiago, Chile; [Knox, L.] Univ Calif Davis, Dept Phys, Davis, CA 95616 USA; [Kunz, M.; Tucci, M.] Univ Geneva, Dept Phys Theor, CH-1211 Geneva 4, Switzerland; [Kunz, M.] African Inst Math Sci, Cape Town, South Africa; [Kurki-Suonio, H.; Lahteenmaki, A.; Savelainen, M.; Suur-Uski, A. -S.; Valiviita, J.] Aalto Univ, Univ Helsinki, Helsinki Inst Phys, Helsinki, Finland; [Lagache, G.] Aix Marseille Univ, CNRS, Lab Astrophys Marseille, F-13388 Marseille, France; [Lahteenmaki, A.] Aalto Univ, Metsahovi Radio Observ, FI-00076 Aalto, Finland; [Lahteenmaki, A.] Dept Radio Sci &amp; Engn, FI-00076 Aalto, Finland; [Leitch, E. M.; Turner, A. D.] Univ Chicago, Chicago, IL 60637 USA; [Lewis, A.] Univ Sussex, Dept Phys &amp; Astron, Brighton BN1 9QH, E Sussex, England; [Linden-Vornle, M.; Norgaard-Nielsen, H. U.] Tech Univ Denmark, Natl Space Inst, DTU Space, DK-2800 Lyngby, Denmark; [Lubin, P. M.; Meinhold, P. R.; Zonca, A.] Univ Calif Santa Barbara, Dept Phys, Santa Barbara, CA USA; [Matarrese, S.] Ist Nazl Fis Nucl, Gran Sasso Sci Inst, I-67100 Laquila, Italy; [Melchiorri, A.; Pagano, L.] Univ Roma La Sapienza, Ist Nazl Fis Nucl, Sez Roma 1, I-00185 Rome, Italy; [Mitra, S.] IUCAA, Pune 411007, Maharashtra, India; [Moss, A.] Univ Nottingham, Sch Phys &amp; Astron, Nottingham NG7 2RD, England; [Murphy, J. A.] Natl Univ Ireland, Dept Expt Phys, Maynooth, Kildare, Ireland; [Natoli, P.; Polenta, G.] Agenzia Spaziale Italiana Sci Data Ctr, I-00133 Rome, Italy; [Netterfield, C. B.] Univ Toronto, Dept Astron &amp; Astrophys, Toronto, ON, Canada; [Novikov, D.; Novikov, I.] Russian Acad Sci, PN Lebedev Phys Inst, Ctr Astro Space, Moscow 117997, Russia; [Partridge, B.] Haverford Coll, Dept Astron, Haverford, PA 19041 USA; [Pettorino, V.] HGSFP, D-69120 Heidelberg, Germany; [Pettorino, V.] Heidelberg Univ, Dept Theoret Phys, D-69120 Heidelberg, Germany; [Polenta, G.] Osserv Astron Roma, INAF, I-00040 Monte Porzio Catone, Italy; [Rachen, J. P.] Radboud Univ Nijmegen, Dept Astrophys, IMAPP, NL-6500 GL Nijmegen, Netherlands; [Reach, W. T.] Univ Space Res Assoc, Stratospher Observ Infrared Astron, Moffett Field, CA 94035 USA; [Rebolo, R.; Rubino-Martin, J. A.] Inst Astrofis Canarias, Tenerife, Spain; [Rebolo, R.] CSIC, Madrid, Spain; [Rebolo, R.; Rubino-Martin, J. A.] Univ La Laguna, Dept Astrofis, E-38206 Tenerife, Spain; [Renzi, A.] Univ Roma Tor Vergata, Dipartimento Matemat, I-00133 Rome, Italy; [Renzi, A.] Univ Roma Tor Vergata, Ist Nazl Fis Nucl, Sez Roma 2, Rome, Italy; [Savini, G.] UCL, Opt Sci Lab, London, England; [Sheehy, C. D.; Vieregg, A. G.] Univ Chicago, Kavli Inst Cosmol Phys, Chicago, IL 60637 USA; [Stolyarov, V.] Russian Acad Sci, Special Astrophys Observ, Karachai 369167, Russia; [Sunyaev, R.] Russian Acad Sci, Space Res Inst IKI, Moscow 117997, Russia; [Tauber, J. A.] European Space Agcy, Estec, NL-2201 AZ Noordwijk, Netherlands; [Terenzi, L.] Univ E Campus, Fac Ingn, I-22060 Novedrate, CO, Italy; [Toffolatti, L.] Univ Oviedo, Dept Fis, E-33007 Oviedo, Spain; [Van Tent, B.] Univ Paris 11, Phys Theor Lab, F-91405 Orsay, France; [Van Tent, B.] CNRS, F-91405 Orsay, France; [Vieregg, A. G.] Univ Chicago, Enrico Fermi Inst, Dept Phys, Chicago, IL 60637 USA; [White, M.] Univ Calif Berkeley, Dept Phys, Berkeley, CA 94720 USA; [Yvon, D.] CEA Saclay, DSM Irfu SPP, F-91191 Gif Sur Yvette, France</t>
  </si>
  <si>
    <t>Cardiff University; Sorbonne Universite; Universite Paris Saclay; Centre National de la Recherche Scientifique (CNRS); CNRS - National Institute for Earth Sciences &amp; Astronomy (INSU); Stanford University; California Institute of Technology; Smithsonian Astrophysical Observatory; Harvard University; Smithsonian Institution; Universite Paris Saclay; CEA; Centre National de la Recherche Scientifique (CNRS); Universite Paris Cite; International School for Advanced Studies (SISSA); Universite de Toulouse; Universite Toulouse III - Paul Sabatier; Centre National de la Recherche Scientifique (CNRS); Universite de Toulouse; Universite Toulouse III - Paul Sabatier; Centre National de la Recherche Scientifique (CNRS); Consejo Superior de Investigaciones Cientificas (CSIC); Universidad de Cantabria; CSIC - Instituto de Fisica de Cantabria (IFCA); Centre National de la Recherche Scientifique (CNRS); CNRS - National Institute of Nuclear and Particle Physics (IN2P3); Universite PSL; Observatoire de Paris; CEA; Universite Paris Cite; National Aeronautics &amp; Space Administration (NASA); NASA Jet Propulsion Laboratory (JPL); California Institute of Technology; University of Padua; Istituto Nazionale di Fisica Nucleare (INFN); University of Granada; University of Granada; Centre National de la Recherche Scientifique (CNRS); CNRS - National Institute for Earth Sciences &amp; Astronomy (INSU); Sorbonne Universite; Centre National de la Recherche Scientifique (CNRS); CNRS - National Institute for Earth Sciences &amp; Astronomy (INSU); Sorbonne Universite; Communaute Universite Grenoble Alpes; Universite Grenoble Alpes (UGA); Centre National de la Recherche Scientifique (CNRS); University of London; University College London; University of Toronto; University of Milan; Istituto Nazionale Astrofisica (INAF); University of Manchester; Jodrell Bank Centre for Astrophysics; University of Toronto; United States Department of Energy (DOE); Lawrence Berkeley National Laboratory; University of California System; University of California Berkeley; University of California System; University of California Berkeley; Centre National de la Recherche Scientifique (CNRS); CNRS - National Institute for Earth Sciences &amp; Astronomy (INSU); Sorbonne Universite; University of Minnesota System; University of Minnesota Twin Cities; Istituto Nazionale Astrofisica (INAF); University of Ferrara; Istituto Nazionale di Fisica Nucleare (INFN); University of Oxford; Centre National de la Recherche Scientifique (CNRS); IMT - Institut Mines-Telecom; Institut Polytechnique de Paris; Centre National de la Recherche Scientifique (CNRS); CNRS - National Institute of Nuclear and Particle Physics (IN2P3); Communaute Universite Grenoble Alpes; Universite Grenoble Alpes (UGA); Centre National de la Recherche Scientifique (CNRS); Universite PSL; Observatoire de Paris; University of Cambridge; University of Cambridge; University of Cambridge; California Institute of Technology; Princeton University; University of Kwazulu Natal; University of Copenhagen; Niels Bohr Institute; University of Copenhagen; Niels Bohr Institute; University of Southern California; Centre National de la Recherche Scientifique (CNRS); CNRS - National Institute of Nuclear and Particle Physics (IN2P3); Universite Paris Saclay; University of Cambridge; Sapienza University Rome; Istituto Nazionale Astrofisica (INAF); University of Padua; Institut de Planetologie et d'Astrophysique de Grenoble (IPAG); Communaute Universite Grenoble Alpes; Universite Grenoble Alpes (UGA); Institut de Planetologie et d'Astrophysique de Grenoble (IPAG); Centre National de la Recherche Scientifique (CNRS); Institut Universitaire de France; Imperial College London; European Space Agency; Max Planck Society; University of Oslo; University of Illinois System; University of Illinois Urbana-Champaign; University of Minnesota System; University of Minnesota Twin Cities; Istituto Nazionale Astrofisica (INAF); University of Warsaw; Warsaw University Observatory; University of Trieste; Istituto Nazionale di Fisica Nucleare (INFN); University of British Columbia; McGill University; National Institute of Standards &amp; Technology (NIST) - USA; State University System of Florida; Florida State University; Stanford University; United States Department of Energy (DOE); SLAC National Accelerator Laboratory; University of Helsinki; University of California System; University of California San Diego; United States Department of Energy (DOE); Lawrence Berkeley National Laboratory; University of California System; University of California Berkeley; European Southern Observatory; University of California System; University of California Davis; University of Geneva; Helsinki Institute of Physics; University of Helsinki; Aalto University; Aix-Marseille Universite; Centre National de la Recherche Scientifique (CNRS); Aalto University; Aalto University; University of Chicago; University of Sussex; Technical University of Denmark; University of California System; University of California Santa Barbara; Gran Sasso Science Institute (GSSI); Istituto Nazionale di Fisica Nucleare (INFN); Sapienza University Rome; Istituto Nazionale di Fisica Nucleare (INFN); Inter-University Centre for Astronomy &amp; Astrophysics; University of Nottingham; Maynooth University; Agenzia Spaziale Italiana (ASI); University of Toronto; Russian Academy of Sciences; Russian Academy of Science Lebedev Physical Institute; Haverford College; Ruprecht Karls University Heidelberg; Istituto Nazionale Astrofisica (INAF); Radboud University Nijmegen; Universities Space Research Association (USRA); Instituto de Astrofisica de Canarias; Consejo Superior de Investigaciones Cientificas (CSIC); Universidad de la Laguna; University of Rome Tor Vergata; Istituto Nazionale di Fisica Nucleare (INFN); University of Rome Tor Vergata; University of London; University College London; University of Chicago; Russian Academy of Sciences; Special Astrophysics Observatory of the Russian Academy of Sciences; Russian Academy of Sciences; Space Research Institute of the Russian Academy of Sciences; European Space Agency; Universita Ecampus; University of Oviedo; Universite Paris Saclay; Centre National de la Recherche Scientifique (CNRS); University of Chicago; University of California System; University of California Berkeley; Universite Paris Saclay; CEA</t>
  </si>
  <si>
    <t>Ade, PAR (corresponding author), Cardiff Univ, Sch Phys &amp; Astron, Cardiff CF24 3AA, S Glam, Wales.</t>
  </si>
  <si>
    <t>Brendan.P.Crill@jpl.nasa.gov; pryke@physics.umn.edu</t>
  </si>
  <si>
    <t>Piacentini, Francesco/ABD-3434-2020; Rocha, Graca/R-5577-2017; Bouchet, François R/B-5202-2014; Rachen, Jörg P./P-4192-2018; Lähteenmäki, Anne/L-5987-2013; Harrison, Diana/AAR-2604-2020; Pagano, Luca/AGP-3415-2022; Novikov, Igor D/N-5098-2015; Ghosh, Tuhin/E-6899-2016; Yvon, Dominique/D-2280-2015; White, Simon/Y-2399-2019; Orlando, Angiola/AAI-3379-2021; Hivon, Eric/C-4298-2014; Miville-Deschênes, Marc-Antoine/AFV-8707-2022; Tomasi, Maurizio/I-1234-2016; Rachen, Jörg Paul/AAR-4369-2020; Morgante, Gianluca/AAI-1245-2021; Wandelt, Benjamin/AAW-1156-2021; Herranz, Diego/K-9143-2014; Piacentini, Francesco/E-7234-2010; Martin, Andres Curto/AAQ-6213-2021; Lattanzi, Massimiliano/D-8120-2011; Vielva, Patricio/ABC-9916-2021; Bielewicz, Pawel/S-4535-2018; Colombo, Loris P/J-2415-2016; jones, william C/AGJ-6132-2022; Lilje, Per B/A-2699-2012; Diego, Jose M/I-2511-2015; Reach, William T/C-4710-2008; Toffolatti, Luigi/K-5070-2014; Roudier, Gael/IWU-6840-2023; Orlando, Angiola/AAH-6918-2020; Nati, Federico/O-6551-2019; Lasenby, Anthony/ABC-7691-2021; Savini, Gianluca/C-1188-2009; Rebolo, Rafael/S-1563-2019; Couchot, François/GSN-0652-2022; Seiffert, Michael/AAI-1547-2020; Nati, Federico/I-4469-2016; Battaner, Eduardo/P-7019-2014; kaufman, jarrod/GXV-3683-2022; Melchiorri, Alessandro/AAD-1715-2020; Nguyen, H.T/AAG-1974-2021; Maffei, Bruno/ISA-8539-2023; Gregorio, Anna A/J-1632-2012; di F., Alessandro D.A.M. Spallicci/AAV-4177-2021; Novikov, Dmitry I/P-1807-2015; López-Caniego, Marcos/M-4695-2013; Naselsky, Pavel D/M-4799-2014; Martinez-Gonzalez, Enrique/AAB-2741-2019; Barreiro, Rita Belen/N-5442-2014; Stolyarov, Vladislav/C-5656-2017; Bonaldi, Anna/JFL-1083-2023; Renzi, Alessandro/K-4114-2015; Vielva, Patricio/F-6745-2014; Bonavera, Laura/E-9368-2017; Martinez-Gonzalez, Enrique/E-9534-2015; Rubiño-Martin, Jose Alberto/R-9864-2019; Nguyễn, Hương/JUV-6128-2023; Butler, Reginald/N-4647-2015; Savini, Giorgio/F-5753-2019; Remazeilles, Mathieu/N-1793-2015; Gonzalez-Nuevo Gonzalez, Joaquin/I-3562-2014; Keating, Brian/J-6063-2017; Gruppuso, Alessandro/N-5592-2015; White, Martin/I-3880-2015; Juvela, Mika/H-6131-2011; Orlando, Angiola/T-3869-2017; Matarrese, Sabino/C-8296-2018; Valiviita, Jussi/A-9058-2016; Kurki-Suonio, Hannu/B-8502-2016; cardoso, jean francois/L-4252-2018; Stolyarov, Andrey/H-7207-2012; Pearson, Timothy/N-2376-2015</t>
  </si>
  <si>
    <t>Bouchet, François R/0000-0002-8051-2924; Rachen, Jörg P./0000-0002-6310-3889; Harrison, Diana/0000-0001-8687-6588; Pagano, Luca/0000-0003-1820-5998; Yvon, Dominique/0000-0002-1609-6735; White, Simon/0000-0002-1061-6154; Hivon, Eric/0000-0003-1880-2733; Miville-Deschênes, Marc-Antoine/0000-0002-7351-6062; Tomasi, Maurizio/0000-0002-1448-6131; Rachen, Jörg Paul/0000-0002-6310-3889; Morgante, Gianluca/0000-0001-9234-7412; Wandelt, Benjamin/0000-0002-5854-8269; Herranz, Diego/0000-0003-4540-1417; Piacentini, Francesco/0000-0002-5444-9327; Martin, Andres Curto/0000-0002-7451-7438; Lattanzi, Massimiliano/0000-0003-1059-2532; Bielewicz, Pawel/0000-0001-9882-7046; jones, william C/0000-0002-3636-1241; Diego, Jose M/0000-0001-9065-3926; Roudier, Gael/0000-0002-7402-7797; Orlando, Angiola/0000-0001-9464-3100; Nati, Federico/0000-0002-8307-5088; Lasenby, Anthony/0000-0002-8208-6332; Seiffert, Michael/0000-0002-7536-9393; Nati, Federico/0000-0002-8307-5088; Battaner, Eduardo/0000-0003-3871-4458; Melchiorri, Alessandro/0000-0001-5326-6003; Nguyen, H.T/0000-0001-5580-2877; Maffei, Bruno/0000-0002-2214-5329; Barreiro, Rita Belen/0000-0002-6139-4272; Stolyarov, Vladislav/0000-0001-8151-828X; Renzi, Alessandro/0000-0001-9856-1970; Vielva, Patricio/0000-0003-0051-272X; Bonavera, Laura/0000-0001-8039-3876; Martinez-Gonzalez, Enrique/0000-0002-0179-8590; Rubiño-Martin, Jose Alberto/0000-0001-5289-3021; Suur-Uski, Anna-Stiina/0000-0001-5029-2863; Galeotta, Samuele/0000-0002-3748-5115; Mitra, Sanjit/0000-0002-0800-4626; Pettorino, Valeria/0000-0002-4203-9320; Hildebrandt, Sergi/0000-0003-0220-0009; Hurier, Guillaume/0000-0002-1215-0706; Leonardi, Rodrigo/0000-0002-5071-0831; Villa, Fabrizio/0000-0003-1798-861X; DE ROSA, ADRIANO GIUSEPPE/0009-0001-8367-9359; Migliaccio, Marina/0000-0003-2040-4654; Kunz, Martin/0000-0002-3052-7394; Rocha, Graca/0000-0002-4150-8076; Barkats, Denis/0000-0002-8971-1954; Pryke, Clement/0000-0003-3983-6668; Kneissl, Ruediger/0000-0002-5580-006X; Butler, Reginald/0000-0003-4366-5996; Kovac, John/0009-0003-5432-7180; Savini, Giorgio/0000-0003-4449-9416; Remazeilles, Mathieu/0000-0001-9126-6266; Gonzalez-Nuevo Gonzalez, Joaquin/0000-0003-1354-6822; Frailis, Marco/0000-0002-7400-2135; Elsner, Franz/0000-0002-1838-7288; Bischoff, Colin/0000-0001-9185-6514; Tristram, Matthieu/0000-0001-7276-8324; Keating, Brian/0000-0003-3118-5514; Lilje, Per/0000-0003-4324-7794; Keihanen, Elina/0000-0003-1804-7715; Zacchei, Andrea/0000-0003-0396-1192; TERENZI, LUCA/0000-0001-9915-6379; Macias-Perez, Juan Francisco/0000-0002-5385-2763; Moss, Adam/0000-0002-7245-7670; Couchot, Francois/0000-0002-7714-7700; Pasian, Fabio/0000-0002-4869-3227; Polenta, Gianluca/0000-0003-4067-9196; Willmert, Justin/0000-0002-6452-4693; Gregorio, Anna/0000-0003-4028-8785; Colombo, Loris/0000-0003-4572-7732; Aumont, Jonathan/0000-0001-6279-0691; Ensslin, Torsten/0000-0001-5246-1624; Valenziano, Luca/0000-0002-1170-0104; Ahmed, Zeeshan/0000-0002-9957-448X; Burigana, Carlo/0000-0002-3005-5796; Gorski, Krzysztof/0000-0003-2933-8630; Paoletti, Daniela/0000-0003-4761-6147; Rossetti, Mariachiara/0000-0002-9775-732X; de Bernardis, Paolo/0000-0001-6547-6446; Irwin, Kent/0000-0002-2998-9743; Reach, William/0000-0001-8362-4094; Challinor, Anthony/0000-0003-3479-7823; Liguori, Michele/0000-0002-0383-2254; Wehus, Ingunn Kathrine/0000-0003-3821-7275; Finelli, Fabio/0000-0002-6694-3269; Gruppuso, Alessandro/0000-0001-9272-5292; White, Martin/0000-0001-9912-5070; Juvela, Mika/0000-0002-5809-4834; HENROT, Sophie/0000-0003-1218-2991; Cuttaia, Francesco/0000-0001-6608-5017; Orlando, Angiola/0000-0001-8004-5054; Watson, Robert/0000-0002-5873-0124; Zonca, Andrea/0000-0001-6841-1058; Delouis, Jean-Marc/0000-0002-0713-1658; Maris, Michele/0000-0001-9442-2754; Crill, Brendan/0000-0002-4650-8518; Chiang, Hsin/0000-0002-4098-9533; Paladini, Roberta/0000-0002-5158-243X; Matarrese, Sabino/0000-0002-2573-1243; De Zotti, Gianfranco/0000-0003-2868-2595; Lopez-Caniego, Marcos/0000-0003-1016-9283; Franceschi, Enrico/0000-0002-0585-6591; Helou, George/0000-0003-3367-3415; Desert, Francois-Xavier/0000-0001-6478-7883; Sandri, Maura/0000-0003-4806-5375; Valiviita, Jussi/0000-0001-6225-3693; Scott, Douglas/0000-0002-6878-9840; Martin, Peter/0000-0002-5236-3896; Huffenberger, Kevin/0000-0001-7109-0099; Alexander, Kate/0000-0002-8297-2473; Kurki-Suonio, Hannu/0000-0002-4618-3063; /0000-0002-5215-6993; Hui, Howard/0000-0001-5812-1903; cardoso, jean francois/0000-0002-3388-6608; Rebolo, Rafael/0000-0003-3767-7085; Dickinson, Clive/0000-0002-0045-442X; Krachmalnicoff, Nicoletta/0000-0002-5501-8449; MENNELLA, ANIELLO/0000-0002-5343-6655; Lewis, Antony/0000-0001-5927-6667; Golwala, Sunil/0000-0002-1098-7174; Stolyarov, Andrey/0000-0001-7046-7202; Knoche, Joerg/0000-0003-4905-2437; Pearson, Timothy/0000-0001-5213-6231; Chary, Ranga Ram/0000-0001-7583-0621; Coulais, Alain/0000-0001-6492-7719; Rusholme, Benjamin/0000-0001-7648-4142; Mangilli, Anna/0000-0002-4457-3690; Linden-Vornle, Michael/0000-0001-5380-2822</t>
  </si>
  <si>
    <t>U.S. National Science Foundation [ANT-0742818, ANT-1044978, ANT-0742592, ANT-1110087]; JPL Research and Technology Development Fund from the NASA [06-ARPA206-0040, 10-SAT10-0017]; National Science Foundation [ANT-1145172, ANT-1145143, ANT-1145248]; Keck Foundation (Caltech); ESA; CNES (France); CNRS/INSU-IN2P3-INP (France); ASI (Italy); CNR (Italy); INAF (Italy); NASA (USA); DoE (USA); STFC (UK); UKSA (UK); CSIC (Spain); MINECO (Spain); JA (Spain); RES (Spain); Tekes (Finland); AoF (Finland); CSC (Finland); DLR (Germany); MPG (Germany); CSA (Canada); DTU Space (Denmark); SER/SSO (Switzerland); RCN (Norway); SFI (Ireland); FCT/MCTES (Portugal); ERC (EU); PRACE (EU); STFC [ST/J001511/1, ST/K000926/1, ST/L000393/1, ST/K000985/1, ST/J001368/1, ST/L000768/1, ST/N000056/1, ST/K00106X/1, ST/K001051/1, ST/L000652/1, ST/K002805/1, ST/L000636/1, ST/F010885/1, ST/F01239X/1] Funding Source: UKRI; Science and Technology Facilities Council [ST/N000056/1, ST/J001368/1, ST/K002821/1, ST/F01239X/1, ST/K002805/1, ST/L000768/1, ST/F010885/1, ST/K004131/1, ST/L000636/1, ST/K000985/1, ST/L000393/1, ST/L000652/1, ST/K001051/1, ST/K00106X/1] Funding Source: researchfish; UK Space Agency [ST/M007685/1, ST/N001206/1, ST/H001212/1, ST/K003674/1, ST/N001095/1, ST/H001239/1] Funding Source: researchfish; Villum Fonden [00010056] Funding Source: researchfish; Direct For Mathematical &amp; Physical Scien; Division Of Physics [1125897] Funding Source: National Science Foundation; Directorate For Geosciences; Office of Polar Programs (OPP) [1145143, 1145172] Funding Source: National Science Foundation; Division Of Astronomical Sciences; Direct For Mathematical &amp; Physical Scien [1255358] Funding Source: National Science Foundation</t>
  </si>
  <si>
    <t>U.S. National Science Foundation(National Science Foundation (NSF)); JPL Research and Technology Development Fund from the NASA; National Science Foundation(National Science Foundation (NSF)); Keck Foundation (Caltech); ESA(European Space Agency); CNES (France)(Centre National D'etudes Spatiales); CNRS/INSU-IN2P3-INP (France); ASI (Italy)(Agenzia Spaziale Italiana (ASI)); CNR (Italy)(Consiglio Nazionale delle Ricerche (CNR)); INAF (Italy)(Istituto Nazionale Astrofisica (INAF)); NASA (USA)(National Aeronautics &amp; Space Administration (NASA)); DoE (USA)(United States Department of Energy (DOE)); STFC (UK)(UK Research &amp; Innovation (UKRI)Science &amp; Technology Facilities Council (STFC)); UKSA (UK); CSIC (Spain); MINECO (Spain)(Spanish Government); JA (Spain); RES (Spain); Tekes (Finland)(Finnish Funding Agency for Technology &amp; Innovation (TEKES)); AoF (Finland); CSC (Finland); DLR (Germany)(Helmholtz AssociationGerman Aerospace Centre (DLR)); MPG (Germany)(Max Planck Society); CSA (Canada); DTU Space (Denmark); SER/SSO (Switzerland); RCN (Norway); SFI (Ireland)(Science Foundation Ireland); FCT/MCTES (Portugal)(Fundacao para a Ciencia e a Tecnologia (FCT)); ERC (EU); PRACE (EU)(European Union (EU)); STFC(UK Research &amp; Innovation (UKRI)Science &amp; Technology Facilities Council (STFC)); Science and Technology Facilities Council(UK Research &amp; Innovation (UKRI)Science &amp; Technology Facilities Council (STFC)); UK Space Agency; Villum Fonden(Villum Fonden); Direct For Mathematical &amp; Physical Scien; Division Of Physics(National Science Foundation (NSF)NSF - Directorate for Mathematical &amp; Physical Sciences (MPS)); Directorate For Geosciences; Office of Polar Programs (OPP)(National Science Foundation (NSF)NSF - Directorate for Geosciences (GEO)); Division Of Astronomical Sciences; Direct For Mathematical &amp; Physical Scien(National Science Foundation (NSF)NSF - Directorate for Mathematical &amp; Physical Sciences (MPS))</t>
  </si>
  <si>
    <t>BICEP2 was supported by the U.S. National Science Foundation under Grants No. ANT-0742818 and No. ANT-1044978 (Caltech and Harvard) and No. ANT-0742592 and No. ANT-1110087 (Chicago and Minnesota). The development of antenna-coupled detector technology was supported by the JPL Research and Technology Development Fund and Grants No. 06-ARPA206-0040 and No. 10-SAT10-0017 from the NASA APRA and SAT programs. The Keck Array project was supported by the National Science Foundation under Grants No. ANT-1145172 (Harvard), No. ANT-1145143 (Minnesota) and No. ANT-1145248 (Stanford), and from the Keck Foundation (Caltech). We thank the staff of the U.S. Antarctic Program and in particular the South Pole Station without whose help this research would not have been possible. The Planck Collaboration acknowledges the support of the following: ESA; CNES, and CNRS/INSU-IN2P3-INP (France); ASI, CNR, and INAF (Italy); NASA and DoE (USA); STFC and UKSA (UK); CSIC, MINECO, JA and RES (Spain); Tekes, AoF, and CSC (Finland); DLR and MPG (Germany); CSA (Canada); DTU Space (Denmark); SER/SSO (Switzerland); RCN (Norway); SFI (Ireland); FCT/MCTES (Portugal); ERC and PRACE (EU). A description of the Planck Collaboration and a list of its members, indicating which technical or scientific activities they have been involved in, can be found in Ref. [52].</t>
  </si>
  <si>
    <t>0031-9007</t>
  </si>
  <si>
    <t>1079-7114</t>
  </si>
  <si>
    <t>PHYS REV LETT</t>
  </si>
  <si>
    <t>Phys. Rev. Lett.</t>
  </si>
  <si>
    <t>MAR 9</t>
  </si>
  <si>
    <t>10.1103/PhysRevLett.114.101301</t>
  </si>
  <si>
    <t>Physics, Multidisciplinary</t>
  </si>
  <si>
    <t>CC8ND</t>
  </si>
  <si>
    <t>Green Submitted, Green Published, Green Accepted, hybrid</t>
  </si>
  <si>
    <t>WOS:000350624500002</t>
  </si>
  <si>
    <t>Weimerskirch, H; Delord, K; Guitteaud, A; Phillips, RA; Pinet, P</t>
  </si>
  <si>
    <t>Weimerskirch, Henri; Delord, Karine; Guitteaud, Audrey; Phillips, Richard A.; Pinet, Patrick</t>
  </si>
  <si>
    <t>Extreme variation in migration strategies between and within wandering albatross populations during their sabbatical year, and their fitness consequences</t>
  </si>
  <si>
    <t>DIOMEDEA-EXULANS; SEABIRD; DISPERSAL; BIRDS; EVOLUTION; DYNAMICS; PATTERNS; TRACKING; WIND; CONSERVATION</t>
  </si>
  <si>
    <t>Migratory behavior, routes and zones used during the non-breeding season are assumed to have been selected to maximize fitness, and can lead to genetic differentiation. Yet, here we show that migration strategies differ markedly between and within two genetically similar populations of wandering albatross Diomedea exulans from the Crozet and Kerguelen archipelagos in the Indian Ocean. Wandering albatrosses usually breed biennially if successful, and during the sabbatical year, all birds from Kerguelen migrate to the Pacific Ocean, whereas most from Crozet are sedentary. Instead of taking the shortest routes, which would involve a return against headwinds, migratory birds fly with the westerly winds, requiring detours of 10,000 s km. In total, migrants circumnavigate Antarctica 2 to 3 times, covering more than 120,000 km in a single sabbatical year. Our results indicate strong links between migratory behavior and fitness; all birds from Kerguelen breed biennially, whereas a significant proportion of those from Crozet, especially females, are sedentary and breed in consecutive calendar years. To breed annually, these females temporarily change mate, but return to their original partner in the following year. This extreme variation in migratory behavior has important consequences in term of life history evolution and susceptibility to climate change and fisheries.</t>
  </si>
  <si>
    <t>[Weimerskirch, Henri; Delord, Karine; Guitteaud, Audrey; Pinet, Patrick] CNRS, Ctr Etud Biol Chize, F-79360 Villiers En Bois, France; [Phillips, Richard A.] British Antarctic Survey, Nat Environm Res Council, Cambridge CB3 0ET, England</t>
  </si>
  <si>
    <t>Centre National de la Recherche Scientifique (CNRS); UK Research &amp; Innovation (UKRI); Natural Environment Research Council (NERC); NERC British Antarctic Survey</t>
  </si>
  <si>
    <t>Weimerskirch, H (corresponding author), CNRS, Ctr Etud Biol Chize, F-79360 Villiers En Bois, France.</t>
  </si>
  <si>
    <t>henriw@cebc.cnrs.fr</t>
  </si>
  <si>
    <t>Weimerskirch, Henri/F-5562-2013; Weimerskirch, Henri/K-7306-2019</t>
  </si>
  <si>
    <t>Weimerskirch, Henri/0000-0002-0457-586X</t>
  </si>
  <si>
    <t>IPEV [109]; Prince Albert II de Monaco Foundation; European Research Council Advanced Grant under the European Community [ERC-2012-ADG_20120314]; Natural Environment Research Council [bas0100035] Funding Source: researchfish; NERC [bas0100035] Funding Source: UKRI</t>
  </si>
  <si>
    <t>IPEV; Prince Albert II de Monaco Foundation; European Research Council Advanced Grant under the European Community(European Research Council (ERC)); Natural Environment Research Council(UK Research &amp; Innovation (UKRI)Natural Environment Research Council (NERC)); NERC(UK Research &amp; Innovation (UKRI)Natural Environment Research Council (NERC))</t>
  </si>
  <si>
    <t>The study at Crozet and Kerguelen Islands was supported by IPEV (programme No 109), with additional funding from the Prince Albert II de Monaco Foundation. The Ethics Committee of IPEV and Comite de l'Environnement Polaire approved the field procedures. We thank the many field workers involved in the Crozet and Kerguelen tracking programs since 1989, and Dominique Besson and Maud Berlincourt for help with data management. We thank Yves Cherel and Samantha Patrick for helpful comments on the manuscript. The study is a contribution to the Program EARLYLIFE funded by a European Research Council Advanced Grant under the European Community's Seven Framework Program FP7/2007-2013 (Grant Agreement ERC-2012-ADG_20120314 to Henri Weimerskirch).</t>
  </si>
  <si>
    <t>10.1038/srep08853</t>
  </si>
  <si>
    <t>CC7LO</t>
  </si>
  <si>
    <t>gold, Green Accepted, Green Published</t>
  </si>
  <si>
    <t>WOS:000350549200003</t>
  </si>
  <si>
    <t>Carrión, O; Delgado, L; Mercade, E</t>
  </si>
  <si>
    <t>Carrion, Ornella; Delgado, Lidia; Mercade, Elena</t>
  </si>
  <si>
    <t>New emulsifying and cryoprotective exopolysaccharide from Antarctic Pseudomonas sp ID1</t>
  </si>
  <si>
    <t>Exopolysaccharide; Emulsifier; Cryoprotectant; Antarctica; Pseudomonas</t>
  </si>
  <si>
    <t>EXTRACELLULAR POLYSACCHARIDE; BACTERIAL EXOPOLYSACCHARIDES; SEA-ICE; CHEMICAL-CHARACTERIZATION; MARINE; PURIFICATION; TEMPERATURE; EMULSIFIERS; SUBSTANCES; PUTIDA</t>
  </si>
  <si>
    <t>Pseudomonas sp. ID1 is a cold-adapted bacterium isolated from a marine sediment sample collected from South Shetland Islands (Antarctica) that is noted for the highly mucous appearance of its colonies. In this work, we have characterized an exopolysaccharide (EPS) produced by this strain, which is mainly composed of glucose, galactose and fucose, and has a molecular mass higher than 2 x 10(6) Da. We have also studied its potential biotechnological applications as an emulsifier and cryoprotectant agent. The EPS emulsifying activity against different food and cosmetic oils was much higher than commercial gums such as xanthan gum and arabic gum, and surfarctants such as Span 20. It formed highly stable emulsions against the cosmetic oil cetiol V, exhibiting pseudoplastic flow behavior, low thixotrophy and yield stress. The EPS of Pseudomonas sp. ID1 conferred significant cryoprotection for the strain itself as well as for other bacteria, including Escherichia coli, suggesting a universal cryoprotectant role. The cryoprotective activity of the EPS showed a clear dose-response relation at -20 degrees C and -80 degrees C and was significantly higher than that observed for the membrane stabilizer fetal bovine serum (FBS). These properties make the EPS of Pseudomonas sp. ID1 a promising alternative to commercial polysaccharides as an emulsifier and cryoprotectant agent for food, pharmaceutical and cosmetic industries. (C) 2014 Published by Elsevier Ltd.</t>
  </si>
  <si>
    <t>[Carrion, Ornella; Delgado, Lidia; Mercade, Elena] Univ Barcelona, Fac Farm, Lab Microbiol, E-08028 Barcelona, Spain</t>
  </si>
  <si>
    <t>University of Barcelona</t>
  </si>
  <si>
    <t>Mercade, E (corresponding author), Univ Barcelona, Fac Farm, Lab Microbiol, Av Joan XXIII S-N, E-08028 Barcelona, Spain.</t>
  </si>
  <si>
    <t>mmercade@ub.edu</t>
  </si>
  <si>
    <t>DELGADO, LIDIA/H-7939-2015; Carrion, Ornella/AAS-5142-2021; Mercade, Elena/L-5218-2014</t>
  </si>
  <si>
    <t>Carrion, Ornella/0000-0002-9959-7905; Mercade, Elena/0000-0001-7828-2210</t>
  </si>
  <si>
    <t>Government of Spain (CICYT) [CTQ 2010-21183-C02-01/PPQ]; Autonomous Government of Catalonia [2009SGR1212]; Spanish Ministry of Economy and Competitiveness [BES-2011-044048]</t>
  </si>
  <si>
    <t>Government of Spain (CICYT)(Consejo Interinstitucional de Ciencia y Tecnologia (CICYT)); Autonomous Government of Catalonia(Generalitat de Catalunya); Spanish Ministry of Economy and Competitiveness(Spanish Government)</t>
  </si>
  <si>
    <t>We gratefully acknowledge the assistance of Scientific and Technological Centers of the University of Barcelona for their technological support. We also thank Dr. Elisabet Gonzalez Mira from the Department of Physical Chemistry at the University of Barcelona for her advice regarding emulsions characterization. This research was supported by the Government of Spain (CICYT project CTQ 2010-21183-C02-01/PPQ) and by the Autonomous Government of Catalonia (grant 2009SGR1212). Ornella Carrion was the recipient of a fellowship from the Spanish Ministry of Economy and Competitiveness (BES-2011-044048).</t>
  </si>
  <si>
    <t>MAR 6</t>
  </si>
  <si>
    <t>10.1016/j.carbpol.2014.08.060</t>
  </si>
  <si>
    <t>AW4PS</t>
  </si>
  <si>
    <t>WOS:000346263800130</t>
  </si>
  <si>
    <t>McGill, LM; Shannon, AJ; Pisani, D; Félix, MA; Ramlov, H; Dix, I; Wharton, DA; Burnell, AM</t>
  </si>
  <si>
    <t>McGill, Lorraine M.; Shannon, Adam J.; Pisani, Davide; Felix, Marie-Anne; Ramlov, Hans; Dix, Ilona; Wharton, David A.; Burnell, Ann M.</t>
  </si>
  <si>
    <t>Anhydrobiosis and Freezing-Tolerance: Adaptations That Facilitate the Establishment of Panagrolaimus Nematodes in Polar Habitats</t>
  </si>
  <si>
    <t>PHYLOGENETIC NICHE CONSERVATISM; ANTARCTIC-NEMATODE; CRYOPROTECTIVE DEHYDRATION; ANTIFREEZE PROTEINS; DESICCATION-TOLERANCE; SURVIVAL; RECRYSTALLIZATION; EVOLUTION; DAVIDI; PLANTS</t>
  </si>
  <si>
    <t>Anhydrobiotic animals can survive the loss of both free and bound water from their cells. While in this state they are also resistant to freezing. This physiology adapts anhydrobiotes to harsh environments and it aids their dispersal. Panagrolaimus davidi, a bacterial feeding anhydrobiotic nematode isolated from Ross Island Antarctica, can survive intracellular ice formation when fully hydrated. A capacity to survive freezing while fully hydrated has also been observed in some other Antarctic nematodes. We experimentally determined the anhydrobiotic and freezing-tolerance phenotypes of 24 Panagrolaimus strains from tropical, temperate, continental and polar habitats and we analysed their phylogenetic relationships. We found that several other Panagrolaimus isolates can also survive freezing when fully hydrated and that tissue extracts from these freezing-tolerant nematodes can inhibit the growth of ice crystals. We show that P. davidi belongs to a clade of anhydrobiotic and freezing- tolerant panagrolaimids containing strains from temperate and continental regions and that P. superbus, an early colonizer at Surtsey island, Iceland after its volcanic formation, is closely related to a species from Pennsylvania, USA. Ancestral state reconstructions show that anhydrobiosis evolved deep in the phylogeny of Panagrolaimus. The early-diverging Panagrolaimus lineages are strongly anhydrobiotic but weakly freezing-tolerant, suggesting that freezing tolerance is most likely a derived trait. The common ancestors of the davidi and the superbus clades were anhydrobiotic and also possessed robust freezing tolerance, along with a capacity to inhibit the growth and recrystallization of ice crystals. Unlike other endemic Antarctic nematodes, the life history traits of P. davidi do not show evidence of an evolved response to polar conditions. Thus we suggest that the colonization of Antarctica by P. davidi and of Surtsey by P. superbus may be examples of recent ecological fitting of freezing-tolerant anhydrobiotic propagules to the respective abiotic conditions in Ross Island and Surtsey.</t>
  </si>
  <si>
    <t>[McGill, Lorraine M.; Shannon, Adam J.; Dix, Ilona; Burnell, Ann M.] Maynooth Univ, Dept Biol, Maynooth, Kildare, Ireland; [Shannon, Adam J.] Technol Sci Grp Europe LLP, Knaresborough HG5 8QB, N Yorkshire, England; [Pisani, Davide] Univ Bristol, Sch Biol Sci, Bristol BS8 1UG, Avon, England; [Pisani, Davide] Univ Bristol, Sch Earth Sci, Bristol BS8 1UG, Avon, England; [Felix, Marie-Anne] Ecole Normale Super, Inst Biol, F-75230 Paris 05, France; [Ramlov, Hans] Roskilde Univ, Dept Sci Syst &amp; Models, DK-4000 Roskilde, Denmark; [Wharton, David A.] Univ Otago, Dept Zool, Dunedin 9054, New Zealand</t>
  </si>
  <si>
    <t>Maynooth University; University of Bristol; University of Bristol; Universite PSL; Ecole Normale Superieure (ENS); Roskilde University; University of Otago</t>
  </si>
  <si>
    <t>Burnell, AM (corresponding author), Maynooth Univ, Dept Biol, Maynooth, Kildare, Ireland.</t>
  </si>
  <si>
    <t>ann.burnell@nuim.ie</t>
  </si>
  <si>
    <t>Pisani, Davide/ABD-5225-2021</t>
  </si>
  <si>
    <t>Pisani, Davide/0000-0003-0949-6682; Ramlov, Hans/0000-0003-1113-0583; Wharton, David/0000-0001-6369-4984</t>
  </si>
  <si>
    <t>Science Foundation Ireland [08/RFP/EOB166, 09/RFP/EOB2506]; Science Foundation Ireland (SFI) [09/RFP/EOB2506] Funding Source: Science Foundation Ireland (SFI)</t>
  </si>
  <si>
    <t>Science Foundation Ireland(Science Foundation Ireland); Science Foundation Ireland (SFI)(Science Foundation Ireland)</t>
  </si>
  <si>
    <t>This project was funded by Science Foundation Ireland (Projects 08/RFP/EOB166 and 09/RFP/EOB2506).</t>
  </si>
  <si>
    <t>e0116084</t>
  </si>
  <si>
    <t>10.1371/journal.pone.0116084</t>
  </si>
  <si>
    <t>CC9KQ</t>
  </si>
  <si>
    <t>WOS:000350689400003</t>
  </si>
  <si>
    <t>Torres, LG; Sutton, PJH; Thompson, DR; Delord, K; Weimerskirch, H; Sagar, PM; Sommer, E; Dilley, BJ; Ryan, PG; Phillips, RA</t>
  </si>
  <si>
    <t>Torres, Leigh G.; Sutton, Philip J. H.; Thompson, David R.; Delord, Karine; Weimerskirch, Henri; Sagar, Paul M.; Sommer, Erica; Dilley, Ben J.; Ryan, Peter G.; Phillips, Richard A.</t>
  </si>
  <si>
    <t>Poor Transferability of Species Distribution Models for a Pelagic Predator, the Grey Petrel, Indicates Contrasting Habitat Preferences across Ocean Basins</t>
  </si>
  <si>
    <t>MARINE PREDATOR; SOUTHERN-OCEAN; REGRESSION; PREDICTION; ACCURACY; SENSITIVITY; SEABIRDS; BEHAVIOR; SUCCESS; REGIONS</t>
  </si>
  <si>
    <t>Species distribution models (SDMs) are increasingly applied in conservation management to predict suitable habitat for poorly known populations. High predictive performance of SDMs is evident in validations performed within the model calibration area (interpolation), but few studies have assessed SDM transferability to novel areas (extrapolation), particularly across large spatial scales or pelagic ecosystems. We performed rigorous SDM validation tests on distribution data from three populations of a long-ranging marine predator, the grey petrel Procellaria cinerea, to assess model transferability across the Southern Hemisphere (25-65 degrees S). Oceanographic data were combined with tracks of grey petrels from two remote sub-Antarctic islands (Antipodes and Kerguelen) using boosted regression trees to generate three SDMs: one for each island population, and a combined model. The predictive performance of these models was assessed using withheld tracking data from within the model calibration areas (interpolation), and from a third population, Marion Island (extrapolation). Predictive performance was assessed using k-fold cross validation and point biserial correlation. The two population-specific SDMs included the same predictor variables and suggested birds responded to the same broad-scale oceanographic influences. However, all model validation tests, including of the combined model, determined strong interpolation but weak extrapolation capabilities. These results indicate that habitat use reflects both its availability and bird preferences, such that the realized distribution patterns differ for each population. The spatial predictions by the three SDMs were compared with tracking data and fishing effort to demonstrate the conservation pitfalls of extrapolating SDMs outside calibration regions. This exercise revealed that SDM predictions would have led to an underestimate of overlap with fishing effort and potentially misinformed bycatch mitigation efforts. Although SDMs can elucidate potential distribution patterns relative to large-scale climatic and oceanographic conditions, knowledge of local habitat availability and preferences is necessary to understand and successfully predict region-specific realized distribution patterns.</t>
  </si>
  <si>
    <t>[Torres, Leigh G.] Oregon State Univ, Dept Fisheries &amp; Wildlife, Marine Mammal Inst, Newport, OR 97365 USA; [Sutton, Philip J. H.; Thompson, David R.] Natl Inst Water &amp; Atmospher Res Ltd, Wellington, New Zealand; [Delord, Karine; Weimerskirch, Henri] Ctr Etud Biol Chize, CNRS UPR 1934, Villiers En Bois, France; [Sagar, Paul M.] Natl Inst Water &amp; Atmospher Res Ltd, Christchurch, New Zealand; [Sommer, Erica] Denny Ecol, Cambridge, England; [Dilley, Ben J.; Ryan, Peter G.] Univ Cape Town, DST NRF Ctr Excellence, Percy FitzPatrick Inst, ZA-7700 Rondebosch, South Africa; [Phillips, Richard A.] NERC, British Antarctic Survey, Cambridge, England</t>
  </si>
  <si>
    <t>Oregon State University; National Institute of Water &amp; Atmospheric Research (NIWA) - New Zealand; Centre National de la Recherche Scientifique (CNRS); National Institute of Water &amp; Atmospheric Research (NIWA) - New Zealand; University of Cape Town; National Research Foundation - South Africa; UK Research &amp; Innovation (UKRI); Natural Environment Research Council (NERC); NERC British Antarctic Survey</t>
  </si>
  <si>
    <t>Torres, LG (corresponding author), Oregon State Univ, Dept Fisheries &amp; Wildlife, Marine Mammal Inst, Newport, OR 97365 USA.</t>
  </si>
  <si>
    <t>leigh.torres@oregonstate.edu</t>
  </si>
  <si>
    <t>Weimerskirch, Henri/K-7306-2019; Weimerskirch, Henri/F-5562-2013; Thompson, David/C-3520-2008; Thompson, David R/E-2431-2018</t>
  </si>
  <si>
    <t>Weimerskirch, Henri/0000-0002-0457-586X; Sutton, Phil/0000-0003-2936-0918</t>
  </si>
  <si>
    <t>National Institute of Water and Atmospheric Research, Ltd. (NIWA); New Zealand Ministry for Primary Industries [PRO2006-01]; Institut Polaire Francais Paul-Emile Victor (IPEV, programme) [109]; Prince Albert II de Monaco Foundation; Program ANR Biodiversite REMIGE; Program ANR 07 Biodiv 'Glides'; South African National Antarctic Programme; BirdLife International's Seabird Tracking Fund; NERC [bas0100025] Funding Source: UKRI; Natural Environment Research Council [bas0100025] Funding Source: researchfish</t>
  </si>
  <si>
    <t>National Institute of Water and Atmospheric Research, Ltd. (NIWA); New Zealand Ministry for Primary Industries; Institut Polaire Francais Paul-Emile Victor (IPEV, programme); Prince Albert II de Monaco Foundation; Program ANR Biodiversite REMIGE(Agence Nationale de la Recherche (ANR)); Program ANR 07 Biodiv 'Glides'(Agence Nationale de la Recherche (ANR)); South African National Antarctic Programme; BirdLife International's Seabird Tracking Fund; NERC(UK Research &amp; Innovation (UKRI)Natural Environment Research Council (NERC)); Natural Environment Research Council(UK Research &amp; Innovation (UKRI)Natural Environment Research Council (NERC))</t>
  </si>
  <si>
    <t>Funding and support for this study was provided by the National Institute of Water and Atmospheric Research, Ltd. (NIWA), the New Zealand Ministry for Primary Industries (PRO2006-01), the Institut Polaire Francais Paul-Emile Victor (IPEV, programme no. 109, HW), the Prince Albert II de Monaco Foundation, Program ANR Biodiversite 2005-11 REMIGE, and Program ANR 07 Biodiv 'Glides'. Research at Marion Island is supported by the South African National Antarctic Programme and GLS loggers for this colony were sponsored by BirdLife International's Seabird Tracking Fund. Denny Ecology provided support in the form of a salary for author ES, but did not have any additional role in the study design, data collection and analysis, decision to publish, or preparation of the manuscript. The specific roles of these authors are articulated in the 'author contributions' section.</t>
  </si>
  <si>
    <t>e0120014</t>
  </si>
  <si>
    <t>10.1371/journal.pone.0120014</t>
  </si>
  <si>
    <t>Green Accepted, Green Published, Green Submitted, gold</t>
  </si>
  <si>
    <t>WOS:000350689400092</t>
  </si>
  <si>
    <t>Lee, WY; Jung, JW; Han, YD; Chung, H; Kim, JH</t>
  </si>
  <si>
    <t>Lee, Won Young; Jung, Jin-Woo; Han, Yeong-Deok; Chung, Hosung; Kim, Jeong-Hoon</t>
  </si>
  <si>
    <t>A new sex determination method using morphological traits in adult chinstrap and gentoo penguins on King George Island, Antarctica</t>
  </si>
  <si>
    <t>Animal Cells and Systems</t>
  </si>
  <si>
    <t>morphological sexing; molecular sexing; gentoo penguin; chinstrap penguin</t>
  </si>
  <si>
    <t>PYGOSCELIS-PAPUA; BIRDS</t>
  </si>
  <si>
    <t>Sex identification is a fundamental work for studying the behavioural ecology in animals. Although recent molecular sexing techniques have enabled us to distinguish the sexes, it is still convenient to discriminate the sexes with morphological traits especially when surveying colonial animals under harsh field conditions. For chinstrap and gentoo penguins in Antarctica, previous studies developed several morphological discriminant functions, but many studies did not adopt molecular sexing methods for deciding sexes. In this study, we tested previous morphology-based sexing methods to determine their applicability to adult chinstrap and gentoo penguins breeding at Narebski Point (Antarctic Specially Protected Area No. 171) in Barton Peninsula on King George Island. Furthermore, we aimed to develop alternative morphological features to reliably discriminate penguin sexes. Our results showed that the accuracies of previously suggested functions varied among discriminant functions in both species (approximately 64-82%). Here, we developed new functions to discriminate sexes in chinstrap and gentoo penguins, using bill and middle toe size which are easily acquired and less error-prone. The classification accuracy of the discriminant functions derived in this study was &gt;90% for both species. Also, it was successfully applicable to another chinstrap population.</t>
  </si>
  <si>
    <t>[Lee, Won Young; Jung, Jin-Woo; Chung, Hosung; Kim, Jeong-Hoon] Korea Polar Res Inst, Div Polar Life Sci, Inchon, South Korea; [Jung, Jin-Woo; Han, Yeong-Deok] Kongju Natl Univ, Dept Biol Sci, Gongju, South Korea</t>
  </si>
  <si>
    <t>Korea Institute of Ocean Science &amp; Technology (KIOST); Korea Polar Research Institute (KOPRI); Kongju National University</t>
  </si>
  <si>
    <t>Kim, JH (corresponding author), Korea Polar Res Inst, Div Polar Life Sci, Inchon, South Korea.</t>
  </si>
  <si>
    <t>jhkim94@kopri.re.kr</t>
  </si>
  <si>
    <t>Han, Yeong-Deok/GWR-0467-2022</t>
  </si>
  <si>
    <t>Basic Science Research Program through the National Research Foundation of Korea (NRF) - Ministry of Education, Science and Technology [NRF-2014 R1A6A3A01008495]; Long-Term Ecological Researches on King George Island to Predict Ecosystem Responses to Climate Change [PE14020]; Development of Environmental Monitoring Techniques of Antarctic Specially Protected Area (ASPA) - Korea Polar Research Institute [171, PE13360]</t>
  </si>
  <si>
    <t>Basic Science Research Program through the National Research Foundation of Korea (NRF) - Ministry of Education, Science and Technology; Long-Term Ecological Researches on King George Island to Predict Ecosystem Responses to Climate Change; Development of Environmental Monitoring Techniques of Antarctic Specially Protected Area (ASPA) - Korea Polar Research Institute</t>
  </si>
  <si>
    <t>We thank C. Choi, H. Kim, H. Kang, M. Kim, S. Choi and J. Kim for sharing fieldwork. This research was supported by Basic Science Research Program through the National Research Foundation of Korea (NRF) funded by the Ministry of Education, Science and Technology (NRF-2014 R1A6A3A01008495), the Long-Term Ecological Researches on King George Island to Predict Ecosystem Responses to Climate Change (PE14020), and Development of Environmental Monitoring Techniques of Antarctic Specially Protected Area (ASPA No. 171) (PE13360) funded by Korea Polar Research Institute.</t>
  </si>
  <si>
    <t>1976-8354</t>
  </si>
  <si>
    <t>2151-2485</t>
  </si>
  <si>
    <t>ANIM CELLS SYST</t>
  </si>
  <si>
    <t>Anim. Cells Syst.</t>
  </si>
  <si>
    <t>MAR 4</t>
  </si>
  <si>
    <t>10.1080/19768354.2014.1003600</t>
  </si>
  <si>
    <t>Cell Biology; Zoology</t>
  </si>
  <si>
    <t>CG6JO</t>
  </si>
  <si>
    <t>WOS:000353406800010</t>
  </si>
  <si>
    <t>Kim, M; Im, J; Han, H; Kim, J; Lee, S; Shin, M; Kim, HC</t>
  </si>
  <si>
    <t>Kim, Miae; Im, Jungho; Han, Hyangsun; Kim, Jinwoo; Lee, Sanggyun; Shin, Minso; Kim, Hyun-Cheol</t>
  </si>
  <si>
    <t>Landfast sea ice monitoring using multisensor fusion in the Antarctic</t>
  </si>
  <si>
    <t>GISCIENCE &amp; REMOTE SENSING</t>
  </si>
  <si>
    <t>decision trees; landfast sea ice; Antarctic; random forest</t>
  </si>
  <si>
    <t>SURFACE-TEMPERATURE; EAST ANTARCTICA; CLASSIFICATION; VARIABILITY; COVER; IMAGERY</t>
  </si>
  <si>
    <t>Landfast sea ice (fast ice) means sea ice that is attached to the shoreline with little or no motion in contrast to pack ice which drifts on the sea. As fast ice plays an important role in the environmental and biological systems of the Antarctic, it is crucial to accurately monitor the spatiotemporal distribution of fast ice. Previous studies on fast ice using satellite remote sensing were mostly focused on the Arctic and near-Arctic areas, whereas few studies were conducted over the Antarctic, especially the West Antarctic region. This research mapped fast ice using multisensor data from 2003 to 2008 based on machine learning approaches - decision trees (DTs) and random forest (RF). A total of seven satellite-derived products, including Advanced Microwave Scanning Radiometer for the Earth observing system brightness temperatures and sea ice concentration, Moderate Resolution Imaging Spectroradiometer (MODIS) ice surface temperature (IST) and Special Sensor Microwave/Imager ice velocity, were used as input variables for identifying fast ice. RF resulted in better performance than that of DT for fast ice classification. Visual comparison of the fast ice classification results with 250-m MODIS images for selected areas also revealed that RF outperformed DT. Ice velocity and IST were identified as the most contributing variables to classify fast ice. Spatiotemporal variations of fast ice in the East and West Antarctic were also examined using the time series of the fast ice maps produced by RF. The residence time of fast ice was much shorter in the West Antarctic than in the East.</t>
  </si>
  <si>
    <t>[Kim, Miae; Im, Jungho; Han, Hyangsun; Kim, Jinwoo; Lee, Sanggyun; Shin, Minso] Ulsan Natl Inst Sci &amp; Technol, Sch Urban &amp; Environm Engn, Ulsan, South Korea; [Kim, Jinwoo] LIG Nex1 Co Ltd, Space Imaging R&amp;D Lab, Yongin, South Korea; [Kim, Hyun-Cheol] Korea Polar Res Inst, Div Polar Ocean Environm, Inchon, South Korea</t>
  </si>
  <si>
    <t>Ulsan National Institute of Science &amp; Technology (UNIST); LIG Nex1 Co., Ltd.; Korea Institute of Ocean Science &amp; Technology (KIOST); Korea Polar Research Institute (KOPRI)</t>
  </si>
  <si>
    <t>Im, J (corresponding author), Ulsan Natl Inst Sci &amp; Technol, Sch Urban &amp; Environm Engn, Ulsan, South Korea.</t>
  </si>
  <si>
    <t>ersgis@unist.ac.kr</t>
  </si>
  <si>
    <t>Han, Hyangsun/AAE-7670-2022; Kim, Hyun-Cheol/AAP-1250-2020; Im, Jungho/K-6257-2017</t>
  </si>
  <si>
    <t>Han, Hyangsun/0000-0002-0414-519X; Kim, Hyun-Cheol/0000-0002-6831-9291; Im, Jungho/0000-0002-4506-6877; Kim, Miae/0000-0002-9805-7261</t>
  </si>
  <si>
    <t>project titled SaTellite remote sensing on set Antarctic ocean Research (STAR) [KOPRI] - Korea Polar Research Institute, South Korea [PE15040]; Space Core Technology Development program through National Research Foundation of Korea - Ministry of Science, ICT and Future Planning [2014M1A3A3A03034799]</t>
  </si>
  <si>
    <t>project titled SaTellite remote sensing on set Antarctic ocean Research (STAR) [KOPRI] - Korea Polar Research Institute, South Korea(Korea Polar Research Institute of Marine Research Placement (KOPRI)); Space Core Technology Development program through National Research Foundation of Korea - Ministry of Science, ICT and Future Planning(National Research Foundation of Korea)</t>
  </si>
  <si>
    <t>This research was supported by the project titled SaTellite remote sensing on set Antarctic ocean Research (STAR) [KOPRI, PE15040], funded by the Korea Polar Research Institute, South Korea, and was partially supported by the Space Core Technology Development program through the National Research Foundation of Korea funded by the Ministry of Science, ICT and Future Planning (2014M1A3A3A03034799).</t>
  </si>
  <si>
    <t>1548-1603</t>
  </si>
  <si>
    <t>1943-7226</t>
  </si>
  <si>
    <t>GISCI REMOTE SENS</t>
  </si>
  <si>
    <t>GISci. Remote Sens.</t>
  </si>
  <si>
    <t>10.1080/15481603.2015.1026050</t>
  </si>
  <si>
    <t>Geography, Physical; Remote Sensing</t>
  </si>
  <si>
    <t>Physical Geography; Remote Sensing</t>
  </si>
  <si>
    <t>CF1FH</t>
  </si>
  <si>
    <t>WOS:000352288700007</t>
  </si>
  <si>
    <t>Söffker, M; Trathan, P; Clark, J; Collins, MA; Belchier, M; Scott, R</t>
  </si>
  <si>
    <t>Soeffker, Marta; Trathan, Phil; Clark, James; Collins, Martin A.; Belchier, Mark; Scott, Robert</t>
  </si>
  <si>
    <t>The Impact of Predation by Marine Mammals on Patagonian Toothfish Longline Fisheries</t>
  </si>
  <si>
    <t>WHALE ORCINUS-ORCA; KILLER WHALES; SPERM-WHALES; SOUTH-GEORGIA; TWEEDIE DISTRIBUTION; DEPREDATION; CATCH; MOVEMENTS; PATTERNS; BYCATCH</t>
  </si>
  <si>
    <t>Predatory interaction of marine mammals with longline fisheries is observed globally, leading to partial or complete loss of the catch and in some parts of the world to considerable financial loss. Depredation can also create additional unrecorded fishing mortality of a stock and has the potential to introduce bias to stock assessments. Here we aim to characterise depredation in the Patagonian toothfish (Dissostichus eleginoides) fishery around South Georgia focusing on the spatio-temporal component of these interactions. Antarctic fur seals (Arctocephalus gazella), sperm whales (Physeter macrocephalus), and orcas (Orcinus orca) frequently feed on fish hooked on longlines around South Georgia. A third of longlines encounter sperm whales, but loss of catch due to sperm whales is insignificant when compared to that due to orcas, which interact with only 5% of longlines but can take more than half of the catch in some cases. Orca depredation around South Georgia is spatially limited and focused in areas of putative migration routes, and the impact is compounded as a result of the fishery also concentrating in those areas at those times. Understanding the seasonal behaviour of orcas and the spatial and temporal distribution of depredation hot spots can reduce marine mammal interactions, will improve assessment and management of the stock and contribute to increased operational efficiency of the fishery. Such information is valuable in the effort to resolve the human-mammal conflict for resources.</t>
  </si>
  <si>
    <t>[Soeffker, Marta; Scott, Robert] Ctr Environm Fisheries &amp; Aquaculture Sci, Lowestoft, Suffolk, England; [Trathan, Phil; Belchier, Mark] British Antarctic Survey, Cambridge CB3 0ET, England; [Clark, James] Marine Resources Assessment Grp, London, England; [Belchier, Mark] Govt South Georgia &amp; South Sandwich Isl, Stanley, Hong Kong, Peoples R China</t>
  </si>
  <si>
    <t>Centre for Environment Fisheries &amp; Aquaculture Science; UK Research &amp; Innovation (UKRI); Natural Environment Research Council (NERC); NERC British Antarctic Survey</t>
  </si>
  <si>
    <t>Söffker, M (corresponding author), Ctr Environm Fisheries &amp; Aquaculture Sci, Pakefield Rd, Lowestoft, Suffolk, England.</t>
  </si>
  <si>
    <t>marta.soffker@cefas.co.uk</t>
  </si>
  <si>
    <t>Soeffker, M/KBC-2650-2024; Collins, Martin A/J-8560-2017; Clark, James/JPK-8317-2023; , Martin/ABE-6728-2020; Soeffker, M/D-3258-2009</t>
  </si>
  <si>
    <t>, Martin/0000-0001-7132-8650; Soeffker, M/0000-0002-7131-5486</t>
  </si>
  <si>
    <t>Government of South Georgia and the South Sandwich Islands; Cefas Seedcorn funds; NERC [bas0100025] Funding Source: UKRI; Natural Environment Research Council [bas0100025] Funding Source: researchfish</t>
  </si>
  <si>
    <t>Government of South Georgia and the South Sandwich Islands; Cefas Seedcorn funds; NERC(UK Research &amp; Innovation (UKRI)Natural Environment Research Council (NERC)); Natural Environment Research Council(UK Research &amp; Innovation (UKRI)Natural Environment Research Council (NERC))</t>
  </si>
  <si>
    <t>The project was funded by the Government of South Georgia and the South Sandwich Islands (MS, MAC, RS) with additional support from Cefas Seedcorn funds (MS). The funding bodies had no role in the study design, data analysis or decision to publish, but contributed to the preparation of the final manuscript.</t>
  </si>
  <si>
    <t>e0118113</t>
  </si>
  <si>
    <t>10.1371/journal.pone.0118113</t>
  </si>
  <si>
    <t>CC9JM</t>
  </si>
  <si>
    <t>Green Accepted, Green Submitted, Green Published, gold</t>
  </si>
  <si>
    <t>WOS:000350685900022</t>
  </si>
  <si>
    <t>Maas, R; Grew, ES; Carson, CJ</t>
  </si>
  <si>
    <t>Maas, Roland; Grew, Edward S.; Carson, Christopher J.</t>
  </si>
  <si>
    <t>ISOTOPIC CONSTRAINTS (Pb, Rb-Sr, Sm-Nd) ON THE SOURCES OF EARLY CAMBRIAN PEGMATITES WITH BORON AND BERYLLIUM MINERALS IN THE LARSEMANN HILLS, PRYDZ BAY, ANTARCTICA</t>
  </si>
  <si>
    <t>CANADIAN MINERALOGIST</t>
  </si>
  <si>
    <t>pegmatites; granulite facies; multiple sources; radiogenic isotopes; boron minerals; beryl; Larsemann Hills; Antarctica</t>
  </si>
  <si>
    <t>GRANITIC PEGMATITES; EAST ANTARCTICA; LEAD-ISOTOPE; BRATTSTRAND BLUFFS; CRUSTAL ANATEXIS; LU-HF; U-PB; SYSTEMATICS; GEOCHEMISTRY; METAMORPHISM</t>
  </si>
  <si>
    <t>The Brattstrand Paragneiss, a highly deformed Neoproterozoic granulite-facies metasedimentary sequence, is cut by three generations of similar to 500 Ma pegmatite. The earliest recognizable pegmatite generation, synchronous with D2-3, forms irregular pods and veins up to a meter thick, which are either roughly concordant or crosscut S-2 and S-3 fabrics and are locally folded. Pegmatites of the second generation, D-4, form planar, discordant veins up to 20-30 cm thick, whereas the youngest generation, post-D-4, forms discordant veins and pods. Clear associations of pegmatites with broadly coeval granites are lacking. The D2-3 and D-4 pegmatites are abyssal class (boron-beryllium subclass) characterized by graphic tourmaline + quartz intergrowths and boralsilite (Al16B6Si2O37); the borosilicates prismatine, grandidierite, werdingite, and dumortierite are locally present. In contrast, post-D-4 pegmatites host tourmaline (but not in graphic intergrowths with quartz), beryl, and primary muscovite and are assigned to the muscovite-rare-element class. Spatial correlations between B-bearing pegmatites and B-rich units in the host Brattstrand Paragneiss are strongest for the D2-3 pegmatites and weakest for the post-D-4 pegmatites, suggesting that the D2-3 pegmatites may be closer to their source. Strontium-Nd-Pb isotope results for feldspars from nine pegmatites (three from each generation) indicate high and variable initial Sr-87/Sr-86 (0.7334-0.7870) and low (epsilon Nd) (-8.1 to -13.9). epsilon(Nd) tends to be highest in D2-3 and lowest in post-D-4 pegmatites while Sr-87/Sr-86 shows similar ranges for all three generations. Initial Pb-206/Pb-204, Pb-207/Pb-204, and Pb-208/Pb-204 ratios vary considerably (17.71-19.97, 15.67-15.91, 38.63-42.84), forming broadly linear arrays well above global Pb growth curves. The D2-3 pegmatites contain the most radiogenic Pb, while the post-D4 pegmatites have the least radiogenic Pb; data for D-4 pegmatites overlap with both groups. Broad positive correlations for Pb and Nd isotopic ratios could reflect source rock compositions controlled by two components. Component 1 (Pb-206/Pb-204 &gt;= 20, Pb-208/Pb-204 &gt;= 43, epsilon(Nd &gt;=) -8) most likely represents old upper crust with high U/Pb and very high Th/Pb. Component 2 (Pb-206/Pb-204 &lt;= 18, Pb-208/Pb-204 similar to 38.5, epsilon(Nd500) -14 to -12) has a distinctive high-Pb-207/Pb-206 signature which evolved through dramatic lowering of U/Pb in crustal protoliths during a Neoproterozoic granulite-facies metamorphism. Component 1, represented in the locally derived D2-3 pegmatites, probably reflects melt sources in biotite and borosilicate gneisses within the Brattstrand Paragneiss, which has a wide range of U/Pb and Th/Pb ratios and an inferred early Proterozoic crustal residence age. The Pb isotope signature of component 2, represented in the far-from-source post-D4 pegmatites, resembles feldspar Pb isotope ratios in Cambrian granites intrusive into the Brattstrand Paragneiss. However, Sr-87/Sr-86 ratios in the pegmatites are much higher than in the granites, implying that the pegmatite melts are unlikely to be direct magmatic differentiates of the granites, although they may have broadly similar crustal sources. Temporal shifts in pegmatite source signatures, with a general sense of deeper crustal sources in the younger pegmatite generations, may reflect cooling of the crust after Cambrian metamorphism.</t>
  </si>
  <si>
    <t>[Maas, Roland] Univ Melbourne, Sch Earth Sci, Parkville, Vic 3010, Australia; [Grew, Edward S.] Univ Maine, Sch Earth &amp; Climate Sci, Bryand Global Sci Ctr 5790, Orono, ME 04469 USA; [Carson, Christopher J.] Geosci Australia, Canberra, ACT 2601, Australia</t>
  </si>
  <si>
    <t>University of Melbourne; University of Maine System; University of Maine Orono; Geoscience Australia</t>
  </si>
  <si>
    <t>Grew, ES (corresponding author), Univ Maine, Sch Earth &amp; Climate Sci, Bryand Global Sci Ctr 5790, Orono, ME 04469 USA.</t>
  </si>
  <si>
    <t>esgrew@maine.edu</t>
  </si>
  <si>
    <t>Carson, Christopher J. J/M-8795-2014</t>
  </si>
  <si>
    <t>NSF [OPP-0228842, EAR-0837980, ASAC 2350]</t>
  </si>
  <si>
    <t>Fieldwork during the 2003/2004 field season and laboratory expenses were supported by NSF grants OPP-0228842 and EAR-0837980 to the University of Maine and ASAC 2350 to CJC and ESG. CJC publishes with permission of the CEO, Geoscience Australia, Geocat 82308. We thank Davis Station leader Bob Jones and members of the 2003-2004 Australian National Antarctic Research Expedition for logistic support. We thank Steve Boger for his comments on the geologic aspects and journal reviewers Peter Nabelek and Paul Tomascak for their detailed and thoughtful reviews of the manuscript.</t>
  </si>
  <si>
    <t>MINERALOGICAL ASSOC CANADA</t>
  </si>
  <si>
    <t>QUEBEC</t>
  </si>
  <si>
    <t>490, RUE DE LA COURONNE, QUEBEC, QC G1K 9A9, CANADA</t>
  </si>
  <si>
    <t>0008-4476</t>
  </si>
  <si>
    <t>1499-1276</t>
  </si>
  <si>
    <t>CAN MINERAL</t>
  </si>
  <si>
    <t>Can. Mineral.</t>
  </si>
  <si>
    <t>MAR</t>
  </si>
  <si>
    <t>10.3749/canmin.1400081</t>
  </si>
  <si>
    <t>Mineralogy</t>
  </si>
  <si>
    <t>CT5WD</t>
  </si>
  <si>
    <t>WOS:000362880900007</t>
  </si>
  <si>
    <t>Bharti, PK; Niyogi, UK</t>
  </si>
  <si>
    <t>Bharti, Pawan K.; Niyogi, U. K.</t>
  </si>
  <si>
    <t>Plankton diversity and aquatic ecology of a freshwater lake (L3) at Bharti Island, Larsemann Hills, east Antarctica</t>
  </si>
  <si>
    <t>GLOBAL JOURNAL OF ENVIRONMENTAL SCIENCE AND MANAGEMENT-GJESM</t>
  </si>
  <si>
    <t>Antarctic lake; Aquatic ecology; Bharti Island; Water pollution; Water quality monitoring</t>
  </si>
  <si>
    <t>ATMOSPHERIC DEPOSITION; ORGANOCHLORINE</t>
  </si>
  <si>
    <t>The Larsemann Hills range is an ice-free oasis on the Ingrid Christensen Coast of Princess Elizabeth Land, East Antarctica, which includes Bharti Island, Fisher Island, McLeod Island, Broknes Peninsula, Stornes Peninsula, and several other islands, promontories, and nunataks. The Larsemann Hills is an ice-free area of approximately 50 km(2), located halfway between the Vestfold Hills and the Amery Ice Shelf on the south-eastern coast of Prydz Bay, Princess Elizabeth Land, East Antarctica. The ice-free area consists of two major peninsulas (Stornes and Broknes), four minor peninsulas, and approximately 130 near shore islands. The Larsemann Hills area contains more than 150 lakes at different Islands and peninsulas. Bharti Island of Larsemann Hills in east Antarctica was selected as a sampling site for the present study. Water sample was collected from a freshwater lake during XXXth Indian Scientific Expedition to Antarctica (ISEA) and analyzed for the physico-chemical parameters, major elements, trace metals and major plankton diversity in surface lake water by following standard methodology. The concentrations of metals Cu, Pb, Cd, Zn and Cr were measured using Inductively Coupled Plasma Optical Emission Spectroscopy (ICP-OES). Phytoplankton and zooplankton were also assessed in the aquatic ecosystem of Lake L3 at Bharti Island, Larsemann Hills over east Antarctica. Psychrophillic bacteria were found 71 cfu in lake water, while total bacterial count was found to be 5.4 x 10(2)cfu.</t>
  </si>
  <si>
    <t>[Bharti, Pawan K.; Niyogi, U. K.] Shriram Inst Ind Res, Antarct Lab, R&amp;D Div, Delhi 110007, India</t>
  </si>
  <si>
    <t>Bharti, PK (corresponding author), Shriram Inst Ind Res, Antarct Lab, R&amp;D Div, 19 Univ Rd, Delhi 110007, India.</t>
  </si>
  <si>
    <t>gurupawanbharti@rediffmail.com; ukniyogi@shriraminstitute.org</t>
  </si>
  <si>
    <t>Bharti, Pawan/F-5661-2011</t>
  </si>
  <si>
    <t>Bharti, Pawan/0000-0003-2456-8322</t>
  </si>
  <si>
    <t>IRAN SOLID WASTE ASSOC</t>
  </si>
  <si>
    <t>TEHRAN</t>
  </si>
  <si>
    <t>UNIV TEHRAN, PO BOX 1417853111, TEHRAN, 19166, IRAN</t>
  </si>
  <si>
    <t>2383-3572</t>
  </si>
  <si>
    <t>GLOB J ENVIRON SCI M</t>
  </si>
  <si>
    <t>Glob. J. Environ. Sci. Manag.</t>
  </si>
  <si>
    <t>SPR</t>
  </si>
  <si>
    <t>10.7508/gjesm.2015.02.005</t>
  </si>
  <si>
    <t>CP6JE</t>
  </si>
  <si>
    <t>WOS:000359991900005</t>
  </si>
  <si>
    <t>Pon, JPS; Stein, W</t>
  </si>
  <si>
    <t>Seco Pon, Juan Pablo; Stein, William, III</t>
  </si>
  <si>
    <t>A second documented record of Spectacled Petrel Procellaria conspicillata in Argentine waters</t>
  </si>
  <si>
    <t>REVISTA BRASILEIRA DE ORNITOLOGIA</t>
  </si>
  <si>
    <t>Occurrence; Argentina; Buenos Aires Province; Continental shelf; Spectacled Petrel</t>
  </si>
  <si>
    <t>The Spectacled Petrel Procellaria conspicillata is endemic to Inaccessible Island, in the Tristan da Cunha group (central South Atlantic). The species is considered an occasional visitor to Argentina and there are few records of the species in national waters. On 13 February 2014, two birds were observed (and photographed) 89 nautical miles southeast off Buenos Aires Province at 38 degrees 55'S, 56 degrees 00'W. This record represents the second documented record of Spectacled Petrel for Argentina.</t>
  </si>
  <si>
    <t>[Seco Pon, Juan Pablo] Univ Nacl Mar del Plata UNMdP, Consejo Nacl Invest Cient Tecn CONICET, Grp Vertebrados, Inst Invest Marinas &amp; Costeras IIMyC, Mar Del Plata, Buenos Aires, Argentina; [Stein, William, III] Univ New Orleans, Pontchartrain Inst Environm Sci, New Orleans, LA 70148 USA</t>
  </si>
  <si>
    <t>National University of Mar del Plata; Consejo Nacional de Investigaciones Cientificas y Tecnicas (CONICET); University of Louisiana System; University of New Orleans</t>
  </si>
  <si>
    <t>Pon, JPS (corresponding author), Univ Nacl Mar del Plata UNMdP, Consejo Nacl Invest Cient Tecn CONICET, Grp Vertebrados, Inst Invest Marinas &amp; Costeras IIMyC, Funes 3250 B7602AYJ, Mar Del Plata, Buenos Aires, Argentina.</t>
  </si>
  <si>
    <t>secopon@mdp.edu.ar</t>
  </si>
  <si>
    <t>Universidad Nacional de Mar del Plata; CONICET (Argentina)</t>
  </si>
  <si>
    <t>Universidad Nacional de Mar del Plata(National University of La Plata); CONICET (Argentina)(Consejo Nacional de Investigaciones Cientificas y Tecnicas (CONICET))</t>
  </si>
  <si>
    <t>We thank the crew and staff of the MV Seabourn Quest during its first Antarctic season, and Lic. Leandro Tamini (Argentina) for assisting with some references. Two anonymous reviewers and an associated editor greatly improved a version of the manuscript with their suggestions and recommendations. This work was supported by the Universidad Nacional de Mar del Plata and from a post-doctoral grant to JPSP by CONICET (Argentina).</t>
  </si>
  <si>
    <t>SOC BRASILEIRA ORNITOLOGIA</t>
  </si>
  <si>
    <t>VICOSA</t>
  </si>
  <si>
    <t>C/O ROMULO RIBON, MUSEU ZOOLOGIA JOAO MOOJEN, LADEIRA DOS OPERARIOS 54-204, VICOSA, MG 36570-000, BRAZIL</t>
  </si>
  <si>
    <t>0103-5657</t>
  </si>
  <si>
    <t>REV BRAS ORNITOL</t>
  </si>
  <si>
    <t>Rev. Bras. Ornitol.</t>
  </si>
  <si>
    <t>CN4FH</t>
  </si>
  <si>
    <t>WOS:000358385300008</t>
  </si>
  <si>
    <t>Várai, A; Homonnai, V; Jánosi, IM; Müller, R</t>
  </si>
  <si>
    <t>Varai, Anita; Homonnai, Viktoria; Janosi, Imre M.; Mueller, Rolf</t>
  </si>
  <si>
    <t>Early signatures of ozone trend reversal over the Antarctic</t>
  </si>
  <si>
    <t>Ozone hole; Ozone recovery; Antarctic ozone; Ozone trend reversal</t>
  </si>
  <si>
    <t>MEAD SIMPLEX-METHOD; STRATOSPHERIC OZONE; HOLE; CONVERGENCE; REGRESSION; TRANSPORT; CHEMISTRY; RECOVERY; WINTER</t>
  </si>
  <si>
    <t>We report on a detailed time series analysis of long total column ozone (TO) records based on multi-satellite observations of daily resolution. We concentrate on three geographic latitudes over and around the Antarctic area, specifically on three circles at 58.5 degrees S, 59.5 degrees S, and 79.5 degrees S. Almost continuous observations are available at the two former latitudes; however, data are lacking during the polar winter periods at 79.5 degrees S, because the measurement technique requires sunlight. The methodology is motivated by level-crossing statistics, where subsets of the records above or below particular threshold levels are evaluated. Long-term trend reversal at around the turn of the century is already detectable for low TO levels in the raw time series in the ozone-hole region (79.5 degrees S). In order to overcome the apparent non-stationarities of the time series, we determined daily TO differences (Delta TO) belonging to the same geographic longitudes between the different latitudinal circles. The result is a stable, stationary behavior for small (absolute) Delta TO values in the period January-February-March without any significant detectable trends. The high absolute value Delta TO subsets (September-October-November) indicate a robust trend reversal in the middle of the 1990s. The observed trend reversal in the total column ozone time series is consistent with the temporal development of the stratospheric halogen loading. However, a close correspondence of ozone and halogen turnaround years is not expected because of the statistical uncertainties in the determination of the ozone turnaround, and the many factors contributing to ozone depletion processes.</t>
  </si>
  <si>
    <t>[Varai, Anita; Homonnai, Viktoria; Janosi, Imre M.] Eotvos Lorand Univ, Dept Phys Complex Syst, Budapest, Hungary; [Mueller, Rolf] Forschungszentrum Julich, Inst Energy &amp; Climate Res IEK 7, D-52425 Julich, Germany</t>
  </si>
  <si>
    <t>Eotvos Lorand University; Helmholtz Association; Research Center Julich</t>
  </si>
  <si>
    <t>Müller, R (corresponding author), Forschungszentrum Julich, Inst Energy &amp; Climate Res IEK 7, D-52425 Julich, Germany.</t>
  </si>
  <si>
    <t>ro.mueller@fz-juelich.de</t>
  </si>
  <si>
    <t>Müller, Rolf/A-6669-2013; Müller, Rolf/ABA-8213-2021; Janosi, Imre M./H-4096-2017</t>
  </si>
  <si>
    <t>Müller, Rolf/0000-0002-5024-9977; Homonnai, Viktoria/0000-0002-2400-5207; Janosi, Imre M./0000-0002-3705-5748</t>
  </si>
  <si>
    <t>Hungarian Science Foundation [OTKA NK100296]; European Commission [StratoClim-603557-FP7-ENV.2013.6.1-2, TAMOP-4.2.2.C-11/1/KONV-2012-0013]</t>
  </si>
  <si>
    <t>Hungarian Science Foundation(Orszagos Tudomanyos Kutatasi Alapprogramok (OTKA)); European Commission(European Union (EU)European Commission Joint Research Centre)</t>
  </si>
  <si>
    <t>We thank Bodeker Scientific for providing the total column ozone database (http://www.bodekerscientific.com/data) and Paul Newman for providing the EESC data (http://acd-ext.gsfc.nasa.gov/). We also thank J. Carter-Sigglow for a grammatical and stylistic revision of the manuscript. This work is supported by the Hungarian Science Foundation under grant number OTKA NK100296, and by the European Commission under grant numbers StratoClim-603557-FP7-ENV.2013.6.1-2 and TAMOP-4.2.2.C-11/1/KONV-2012-0013.</t>
  </si>
  <si>
    <t>10.1002/2014EF000270</t>
  </si>
  <si>
    <t>CN0XZ</t>
  </si>
  <si>
    <t>WOS:000358139800001</t>
  </si>
  <si>
    <t>Demer, DA; Cutter, GR; Stierhoff, KL; Renfree, JS</t>
  </si>
  <si>
    <t>Demer, David A.; Cutter, George Randall, Jr.; Stierhoff, Kevin L.; Renfree, Josiah S.</t>
  </si>
  <si>
    <t>Two-Million-Liter Tank Expands the Boundaries of Marine Technology Innovation: National Resource Available for Advancing Marine Science</t>
  </si>
  <si>
    <t>MARINE TECHNOLOGY SOCIETY JOURNAL</t>
  </si>
  <si>
    <t>marine; research; development; acoustic; optical</t>
  </si>
  <si>
    <t>SARDINE SARDINOPS-SAGAX; ANTARCTIC KRILL; FISHERIES ACOUSTICS; ABUNDANCE; FISH; PACIFIC; ECOSYSTEM; BACKSCATTERING; DISTRIBUTIONS; ZOOPLANKTON</t>
  </si>
  <si>
    <t>With one small move across a street, NOAA Fisheries, our nation's steward of marine ecosystems, made a giant leap into the future of ocean science and technology development. The new Southwest Fisheries Science Center facility in La Jolla, California, houses dozens of interdisciplinary research and engineering groups and features a world-class Ocean Technology Development Tank that expands the possibilities for advancing marine industry and science. This 20 x 10 x 10-meter, two-million-liter, freshwater or seawater Tech Tank is clear, quiet, and large enough to calibrate and test a wide variety of sensitive instruments with minimal boundary effects. The tank's temperature, salinity, and circulation can be made to mimic the broad range of water conditions encountered in the field, its water conditioning system greatly mitigates microbubbles and turbidity, and it can accommodate live marine animals. This unique combination of features opens doors to efficient engineering and scientific experimentation. The Tech Tank, supported by scientists and engineers and co-located with other state-of-the-art laboratory facilities, is a unique national resource for marine research and development and a catalyst for government, academic, and industry partnerships. The broad range of new possibilities is exemplified by multiple recent collaborative developments of acoustic and optical sensors and sensor platforms that effectively expand the boundaries of oceanic sampling, particularly near the sea surface, seabed, and seashore, to more efficiently and accurately monitor large marine ecosystems.</t>
  </si>
  <si>
    <t>[Demer, David A.; Cutter, George Randall, Jr.; Stierhoff, Kevin L.] Adv Survey Technol Grp, SW Fisheries Sci Ctr, La Jolla, CA 92037 USA</t>
  </si>
  <si>
    <t>National Oceanic Atmospheric Admin (NOAA) - USA</t>
  </si>
  <si>
    <t>Demer, DA (corresponding author), Adv Survey Technol Grp, SW Fisheries Sci Ctr, 8901 La Jolla Shores Dr, La Jolla, CA 92037 USA.</t>
  </si>
  <si>
    <t>david.demer@noaa.gov</t>
  </si>
  <si>
    <t>, David/ABC-8990-2022; Stierhoff, Kevin L/A-7624-2013</t>
  </si>
  <si>
    <t>, David/0000-0001-5083-8854;</t>
  </si>
  <si>
    <t>MARINE TECHNOLOGY SOC INC</t>
  </si>
  <si>
    <t>COLUMBIA</t>
  </si>
  <si>
    <t>5565 STERRETT PLACE, STE 108, COLUMBIA, MD 21044 USA</t>
  </si>
  <si>
    <t>0025-3324</t>
  </si>
  <si>
    <t>1948-1209</t>
  </si>
  <si>
    <t>MAR TECHNOL SOC J</t>
  </si>
  <si>
    <t>Mar. Technol. Soc. J.</t>
  </si>
  <si>
    <t>MAR-APR</t>
  </si>
  <si>
    <t>10.4031/MTSJ.49.2.9</t>
  </si>
  <si>
    <t>Engineering, Ocean; Oceanography</t>
  </si>
  <si>
    <t>Engineering; Oceanography</t>
  </si>
  <si>
    <t>CI9BD</t>
  </si>
  <si>
    <t>WOS:000355064500010</t>
  </si>
  <si>
    <t>Ozheredova, IP; Parnikoza, IY; Poronnik, OO; Kozeretska, IA; Demidov, SV; Kunakh, VA</t>
  </si>
  <si>
    <t>Ozheredova, I. P.; Parnikoza, I. Yu; Poronnik, O. O.; Kozeretska, I. A.; Demidov, S. V.; Kunakh, V. A.</t>
  </si>
  <si>
    <t>Mechanisms of Antarctic Vascular Plant Adaptation to Abiotic Environmental Factors</t>
  </si>
  <si>
    <t>CYTOLOGY AND GENETICS</t>
  </si>
  <si>
    <t>Deschampsia antarctica; Colobanthus quitensis; Antarctic; mechanisms of adaptation; stress protein; genome plasticity</t>
  </si>
  <si>
    <t>COLD-ACCLIMATION; DESCHAMPSIA-ANTARCTICA; POPULATIONS; FEATURES</t>
  </si>
  <si>
    <t>Native species of the Antarctic Deschampsia antarctica and Colobanthus quitensis exist at the limits of survival of vascular plants. Fundamental adaptations to abiotic environmental factors that qualitatively distinguish them from the other vascular plants of extreme regions, namely temperature, ultraviolet radiation hardiness, and their genetic plasticity in the changeable environment are discussed.</t>
  </si>
  <si>
    <t>[Ozheredova, I. P.; Kozeretska, I. A.; Demidov, S. V.] Taras Shevchenko Natl Univ, UA-01033 Kiev, Ukraine; [Parnikoza, I. Yu; Poronnik, O. O.; Kunakh, V. A.] Natl Acad Sci Ukraine, Inst Mol Biol &amp; Genet, UA-03680 Kiev, Ukraine</t>
  </si>
  <si>
    <t>Ministry of Education &amp; Science of Ukraine; Taras Shevchenko National University of Kyiv; National Academy of Sciences Ukraine; Institute of Molecular Biology &amp; Genetics of NASU</t>
  </si>
  <si>
    <t>Ozheredova, IP (corresponding author), Taras Shevchenko Natl Univ, Ul Volodymyrska 64, UA-01033 Kiev, Ukraine.</t>
  </si>
  <si>
    <t>ozheredova@gmail.com</t>
  </si>
  <si>
    <t>Kunakh, Viktor A./HKV-4993-2023; Parnikoza, Ivan/I-2398-2016; Poronnik, Oksana/HJI-1907-2023; Kozeretska, Iryna/F-1383-2010</t>
  </si>
  <si>
    <t>Kunakh, Viktor/0000-0002-9418-3172; Kozeretska, Iryna/0000-0002-6485-1408</t>
  </si>
  <si>
    <t>ALLERTON PRESS INC</t>
  </si>
  <si>
    <t>18 WEST 27TH ST, NEW YORK, NY 10001 USA</t>
  </si>
  <si>
    <t>0095-4527</t>
  </si>
  <si>
    <t>1934-9440</t>
  </si>
  <si>
    <t>CYTOL GENET+</t>
  </si>
  <si>
    <t>Cytol. Genet.</t>
  </si>
  <si>
    <t>10.3103/S0095452715020085</t>
  </si>
  <si>
    <t>Genetics &amp; Heredity</t>
  </si>
  <si>
    <t>CI2XU</t>
  </si>
  <si>
    <t>WOS:000354612300011</t>
  </si>
  <si>
    <t>Grand, MM; Measures, CI; Hatta, M; Hiscock, WT; Buck, CS; Landing, WM</t>
  </si>
  <si>
    <t>Grand, Maxime M.; Measures, Christopher I.; Hatta, Mariko; Hiscock, William T.; Buck, Clifton S.; Landing, William M.</t>
  </si>
  <si>
    <t>Dust deposition in the eastern Indian Ocean: The ocean perspective from Antarctica to the Bay of Bengal</t>
  </si>
  <si>
    <t>TRACE-METAL CONCENTRATIONS; SOUTHERN-OCEAN; DISSOLVED IRON; KERGUELEN-ISLANDS; ATLANTIC-OCEAN; ARABIAN SEA; BIOLOGICAL PRODUCTIVITY; BIOGEOCHEMICAL CONTROLS; SUMMER MONSOON; SURFACE WATERS</t>
  </si>
  <si>
    <t>Atmospheric deposition is an important but still poorly constrained source of trace micronutrients to the open ocean because of the dearth of in situ measurements of total deposition (i.e., wet + dry deposition) in remote regions. In this work, we discuss the upper ocean distribution of dissolved Fe and Al in the eastern Indian Ocean along a 95 degrees E meridional transect spanning the Antarctic margin to the Bay of Bengal. We use the mixed layer concentration of dissolved Al in conjunction with empirical data in a simple steady state model to produce 75 estimates of total dust deposition that we compare with historical observations and atmospheric model estimates. Except in the northern Bay of Bengal where the Ganges-Brahmaputra river plume contributes to the inventory of dissolved Al, the surface distribution of dissolved Al along 95 degrees E is remarkably consistent with the large-scale gradients in mineral dust deposition and multiple-source regions impacting the eastern Indian Ocean. The lowest total dust deposition fluxes are calculated for the Southern Ocean (66 +/- 60 mg m(-2) yr(-1)) and the highest for the northern end of the south Indian subtropical gyre (up to 940 mg m(-2) yr(-1) at 18 degrees S) and in the southern Bay of Bengal (2500 +/- 570 mg m(-2) yr(-1)). Our total deposition fluxes, which have an uncertainty on the order of a factor of 3.5, are comparable with the composite atmospheric model data of Mahowald et al. (2005), except in the south Indian subtropical gyre where models may underestimate total deposition. Using available measurements of the solubility of Fe in aerosols, we confirm that dust deposition is a minor source of dissolved Fe to the Southern Ocean and show that aeolian deposition of dissolved Fe in the southern Bay of Bengal may be comparable to that observed underneath the Saharan dust plume in the Atlantic Ocean.</t>
  </si>
  <si>
    <t>[Grand, Maxime M.; Measures, Christopher I.; Hatta, Mariko] Univ Hawaii, Dept Oceanog, Honolulu, HI 96822 USA; [Hiscock, William T.] Thermo Fisher Sci, N Ryde, NSW, Australia; [Buck, Clifton S.] Univ Georgia, Skidaway Inst Oceanog, Savannah, GA USA; [Landing, William M.] Florida State Univ, Dept Earth Ocean &amp; Atmospher Sci, Tallahassee, FL 32306 USA</t>
  </si>
  <si>
    <t>University of Hawaii System; Thermo Fisher Scientific; University System of Georgia; University of Georgia; Skidaway Institute of Oceanography; State University System of Florida; Florida State University</t>
  </si>
  <si>
    <t>Grand, MM (corresponding author), Univ Hawaii, Dept Oceanog, Honolulu, HI 96822 USA.</t>
  </si>
  <si>
    <t>maxime@hawaii.edu</t>
  </si>
  <si>
    <t>Buck, Clifton/F-5820-2010; Grand, Maxime/S-1898-2019; Landing, William/KBA-8522-2024</t>
  </si>
  <si>
    <t>Buck, Clifton/0000-0002-5691-9636; Grand, Maxime/0000-0001-9338-694X; Landing, William/0000-0002-7514-3247; Hatta, Mariko/0000-0002-4892-7708</t>
  </si>
  <si>
    <t>NSF [OCE-0649584, OCE-0649639]; Directorate For Geosciences [0962393] Funding Source: National Science Foundation; Division Of Ocean Sciences [0962393] Funding Source: National Science Foundation</t>
  </si>
  <si>
    <t>NSF(National Science Foundation (NSF)); Directorate For Geosciences(National Science Foundation (NSF)NSF - Directorate for Geosciences (GEO)); Division Of Ocean Sciences(National Science Foundation (NSF)NSF - Directorate for Geosciences (GEO))</t>
  </si>
  <si>
    <t>The data used to produce this paper have been submitted to the CLIVAR and Carbon Hydrographic Data Office (CCHDO) website (http://cchdo.ucsd.edu) under ExpoCodes 33RR20070204 and 33RR20070322 for I08S and I09N stations, respectively. We thank Natalie Mahowald for providing the composite aerosol model data and Yoshiki Sohrin for sharing the trace metal data set from the GEOTRACES-JAPAN expedition. We are indebted to Kati Gosnell for her tremendous, enthusiastic help with the TM-rosette deployments and subsampling. Thanks are due to Captain Dave Murline, the crew of the R/V Revelle, and to chief scientists Jim Swift (I08S) and Janet Sprintall (I09N) for their continuous support of the trace metal component of CLIVAR. This work was funded by NSF OCE-0649584 to C.I.M and OCE-0649639 to W.M.L. We thank A. Tagliabue and an anonymous reviewer for their constructive comments on an earlier version of this manuscript. This is the SOEST contribution number 9279.</t>
  </si>
  <si>
    <t>10.1002/2014GB004898</t>
  </si>
  <si>
    <t>CH9UT</t>
  </si>
  <si>
    <t>WOS:000354382600006</t>
  </si>
  <si>
    <t>Mahaney, WC</t>
  </si>
  <si>
    <t>Mahaney, William C.</t>
  </si>
  <si>
    <t>Pedological Iron/Al Extracts, Clast Analysis, and Coleoptera from Antarctic Paleosol 831: Evidence of a Middle Miocene or Earlier Climatic Optimum</t>
  </si>
  <si>
    <t>LATE PLEISTOCENE; QUARTZ GRAINS; DRY VALLEYS; SOILS; FE; AL; MARS; AGE; GEOCHEMISTRY; BIODIVERSITY</t>
  </si>
  <si>
    <t>An unusual and remarkable find of fossilized Coleoptera exoskeletons, soil organics/plant roots, and microbes-recovered from an alpine-age paleosol in moraine at New Mountain near the Taylor Glacier in the Antarctic Dry Valleys-provides evidence for an ameliorative Early to middle Miocene Climatic Optimum (MMCO). Compared with the microbial analysis of other nearby and somewhat younger paleosols (sites 827-829) in nearby moraine deposits at both New Mountain and Aztec Mountain (sites that are known to contain bacteria and fungi), paleosol horizons at the alpine-age site (831) contain prolific fossil evidence of either an expanded MMCO or an earlier Early Miocene/Oligocene age. Together with fossil filamentous forms of either algae or fungi and bacteria, these Coleoptera exoskeletons make up part of a higher-altitude tundra ecosystem distantly related to a many-fold increase in terrestrial pollen and woody plants that inhabited the Dry Valley Coast similar to 15 Ma or earlier. While the age of the 831 paleosol as discussed elsewhere is impossible to assess with precision, the presence of a mix of subround/subangular sands-a high percentage carrying V-shaped percussion cracks-signals significant aqueous transport, with the sediment believed to have been deposited before the transition from warm/wet to cold/dry ice. In addition, fossilized organics including salt-encrusted earth, roots, and clay/mineral coatings on both sands and biogenic specimens-suggest at least an early cold/semihumid environment conducive to weathering, probably mediated by microbe activity. Other chemical indices reported previously are here analyzed with extractable Fe/Al, which suggests greater antiquity, possibly Early Miocene or Oligocene.</t>
  </si>
  <si>
    <t>[Mahaney, William C.] Quaternary Surveys, Thornhill, ON L4J 1J4, Canada; [Mahaney, William C.] York Univ, Dept Geog, N York, ON M3J 1P3, Canada</t>
  </si>
  <si>
    <t>York University - Canada</t>
  </si>
  <si>
    <t>Mahaney, WC (corresponding author), Quaternary Surveys, 26 Thornhill Ave, Thornhill, ON L4J 1J4, Canada.</t>
  </si>
  <si>
    <t>arkose41@gmail.com</t>
  </si>
  <si>
    <t>Quaternary Surveys, Toronto</t>
  </si>
  <si>
    <t>This research was funded by Quaternary Surveys, Toronto. I thank New Zealand Antarctic Programme, Event K-105, for logistical support and M. Hempel (York University) for laboratory assistance. I am indebted to P. Skelley, Florida State Collection of Arthropods (Gainesville, FL), for helpful analysis of some of the specimen imagery in the article. S. Passchier (Montclair State University) reviewed an early draft of this article and provided many helpful suggestions.</t>
  </si>
  <si>
    <t>10.1086/680339</t>
  </si>
  <si>
    <t>CH6HW</t>
  </si>
  <si>
    <t>WOS:000354138300002</t>
  </si>
  <si>
    <t>Jochumsen, K; Köllner, M; Quadfasel, D; Dye, S; Rudels, B; Valdimarsson, H</t>
  </si>
  <si>
    <t>Jochumsen, Kerstin; Koellner, Manuela; Quadfasel, Detlef; Dye, Stephen; Rudels, Bert; Valdimarsson, Hedinn</t>
  </si>
  <si>
    <t>On the origin and propagation of Denmark Strait overflow water anomalies in the Irminger Basin</t>
  </si>
  <si>
    <t>Denmark Strait overflow; entrainment; Irminger Sea; Denmark Strait; Angmagssalik; overflows</t>
  </si>
  <si>
    <t>NORTH-ATLANTIC; VARIABILITY; ENTRAINMENT; SALINITY; OCEAN; PLUME; JET</t>
  </si>
  <si>
    <t>Denmark Strait Overflow Water (DSOW) supplies the densest contribution to North Atlantic Deep Water and is monitored at several locations in the subpolar North Atlantic. Hydrographic (temperature and salinity) and velocity time series from three multiple-mooring arrays at the Denmark Strait sill, at 180 km downstream (south of Dohrn Bank) and at a further 320 km downstream on the east Greenland continental slope near Tasiilaq (formerly Angmagssalik), were analyzed to quantify the variability and track anomalies in DSOW in the period 2007-2012. No long-term trends were detected in the time series, while variability on time scales from interannual to weekly was present at all moorings. The hydrographic time series from different moorings within each mooring array showed coherent signals, while the velocity fluctuations were only weakly correlated. Lagged correlations of anomalies between the arrays revealed a propagation from the sill of Denmark Strait to the Angmagssalik array in potential temperature with an average propagation time of 13 days, while the correlations in salinity were low. Entrainment of warm and saline Atlantic Water and fresher water from the East Greenland Current (via the East Greenland Spill Jet) can explain the whole range of hydrographic changes in the DSOW measured downstream of the sill. Changes in the entrained water masses and in the mixing ratio can thus strongly influence the salinity variability of DSOW. Fresh anomalies found in downstream measurements of DSOW within the Deep Western Boundary Current can therefore not be attributed to Arctic climate variability in a straightforward way.</t>
  </si>
  <si>
    <t>[Jochumsen, Kerstin; Koellner, Manuela; Quadfasel, Detlef] Univ Hamburg, Inst Meereskunde CEN, Hamburg, Germany; [Dye, Stephen] Ctr Environm Fisheries &amp; Aquaculture Sci, Lowestoft, Suffolk, England; [Dye, Stephen] Univ E Anglia, Sch Environm Sci, Ctr Ocean &amp; Atmospher Sci, Norwich NR4 7TJ, Norfolk, England; [Rudels, Bert] Finnish Meteorol Inst, FIN-00101 Helsinki, Finland; [Valdimarsson, Hedinn] Marine Res Inst, IS-121 Reykjavik, Iceland</t>
  </si>
  <si>
    <t>University of Hamburg; Centre for Environment Fisheries &amp; Aquaculture Science; University of East Anglia; Finnish Meteorological Institute; Marine &amp; Freshwater Research Institute (MFRI)</t>
  </si>
  <si>
    <t>Jochumsen, K (corresponding author), Univ Hamburg, Inst Meereskunde CEN, Hamburg, Germany.</t>
  </si>
  <si>
    <t>kerstin.jochumsen@uni-hamburg.de</t>
  </si>
  <si>
    <t>Dye, Stephen/C-9456-2011</t>
  </si>
  <si>
    <t>Dye, Stephen/0000-0002-4182-8475</t>
  </si>
  <si>
    <t>European Union [308299, GA212643]; Cooperative project RACE-Regional Atlantic Circulation and Global Change - German Federal Ministry for Education and Research (BMBF) [03f0651a]; UK Department for Environment, Food and Rural Affairs (DEFRA) [SD0440, ACME-ME5102, ForeDec ME5317]</t>
  </si>
  <si>
    <t>European Union(European Union (EU)); Cooperative project RACE-Regional Atlantic Circulation and Global Change - German Federal Ministry for Education and Research (BMBF)(Federal Ministry of Education &amp; Research (BMBF)); UK Department for Environment, Food and Rural Affairs (DEFRA)(Department for Environment, Food &amp; Rural Affairs (DEFRA))</t>
  </si>
  <si>
    <t>We thank the many ship crews, chief scientists, and mooring technicians without whom the data would not have been collected. Shipboard and mooring data are available upon request from the authors or via the NACLIM project website (http://naclim.zmaw.de/). Rolf H. Kase and Hendrik van Aken are acknowledged for helpful discussions. The research leading to these results has received funding from the European Union 7th Framework Program (FP7 2007-2013) under grant agreement 308299 (NACLIM project) and grant GA212643 (THOR project). Additional support was given by the Cooperative project RACE-Regional Atlantic Circulation and Global Change funded by the German Federal Ministry for Education and Research (BMBF), 03f0651a. Cefas moorings were designed and deployed by John Read and Neil Needham; the work was also funded by the UK Department for Environment, Food and Rural Affairs (DEFRA) projects, SD0440, ACME-ME5102, and ForeDec ME5317. Hydrographic data of the Atlantic water layer in the northern Irminger Basin were provided by: Marine Research Institute, Iceland; Institute of Marine Research, Norway; Faroese Fisheries Laboratory; Arctic and Antarctic Research Institute, Russia, and Geophysical Institute, University of Bergen, Norway, through the NISE project. Finally we acknowledge two anonymous reviewers for their help in improving the manuscript.</t>
  </si>
  <si>
    <t>10.1002/2014JC010397</t>
  </si>
  <si>
    <t>CH3BG</t>
  </si>
  <si>
    <t>Green Accepted, Green Published, Bronze</t>
  </si>
  <si>
    <t>WOS:000353900000021</t>
  </si>
  <si>
    <t>Helly, JJ; Vernet, M; Murray, AE; Stephenson, GR</t>
  </si>
  <si>
    <t>Helly, John J.; Vernet, Maria; Murray, Alison E.; Stephenson, Gordon R., Jr.</t>
  </si>
  <si>
    <t>Characteristics of the meltwater field from a large Antarctic iceberg using δ18O</t>
  </si>
  <si>
    <t>iceberg; meteoric water; melting; model</t>
  </si>
  <si>
    <t>OXYGEN-ISOTOPE; ICE; PENINSULA; HYDROGEN; WATER</t>
  </si>
  <si>
    <t>Large tabular icebergs represent a disruptive influence on a stable water column when drifting in the open ocean. This is a study of one iceberg, C18A, encountered in the Powell Basin in the Weddell Sea in March 2009, formed from iceberg C18 ( 76x7km) originating from the Ross Ice Shelf in May 2002. C18A was lunate in shape with longest dimensions of 31kmx7kmx184m. The meltwater field from C18A was characterized using 18O from water samples collected near C18A (Near-field, 0.4-2 km) and contrasted with a Far-field comprised of samples from an Away site (19 km from C18A), a Control site (70 km away), and a region populated with small icebergs (Iceberg Alley, 175 km away). The in-sample fractions of meteoric water were calculated relative 18O in iceberg ice and Weddell Deep Water and converted to meteoric water height (m) and a percentage within 100 m depth bins. The Near-field and Far-field difference from surface to 200 m was 0.510.28%. The concentration of meteoric water dropped to approximately half that value below 200 m, approximate keel depth of the iceberg, although detectable to 600 m. From surface to 600 m, the overall difference was statistically significant ( P&lt;0.0001). From this, we estimate the Near-field volume astern of the iceberg ( 0.16km3d-1) as a continuous source of meteoric water.</t>
  </si>
  <si>
    <t>[Helly, John J.] Univ Calif San Diego, San Diego Supercomp Ctr, La Jolla, CA 92093 USA; [Helly, John J.; Vernet, Maria] Univ Calif San Diego, Scripps Inst Oceanog, La Jolla, CA 92093 USA; [Murray, Alison E.] Univ Nevada, Desert Res Inst, Reno, NV 89506 USA; [Stephenson, Gordon R., Jr.] Bangor Univ, Sch Ocean Sci, Anglesey, Wales</t>
  </si>
  <si>
    <t>University of California System; University of California San Diego; University of California System; University of California San Diego; Scripps Institution of Oceanography; Nevada System of Higher Education (NSHE); Desert Research Institute NSHE; University of Nevada Reno; Bangor University</t>
  </si>
  <si>
    <t>Helly, JJ (corresponding author), Univ Calif San Diego, San Diego Supercomp Ctr, La Jolla, CA 92093 USA.</t>
  </si>
  <si>
    <t>hellyj@ucsd.edu</t>
  </si>
  <si>
    <t>NSF [ANT-0636723, ANT-0636730, ANT-0636543]</t>
  </si>
  <si>
    <t>We thank the Captain and crew, the Raytheon logistics, and technical support team on the RVIB Nathaniel B. Palmer (NBP0902) for excellent precruise and field support and our colleagues in the science party for their interdisciplinary collaboration. We also thank the Editor and three anonymous peer-reviewers whose critical and constructive comments resulted in substantial improvements to the manuscript. This research was supported by NSF grants ANT-0636723, ANT-0636730, and ANT-0636543. Data may be obtained by corresponding with J. Helly.</t>
  </si>
  <si>
    <t>10.1002/2015JC010772</t>
  </si>
  <si>
    <t>WOS:000353900000043</t>
  </si>
  <si>
    <t>Zhan, LY; Chen, LQ; Zhang, JX; Li, YH</t>
  </si>
  <si>
    <t>Zhan, Liyang; Chen, Liqi; Zhang, Jiexia; Li, Yuhong</t>
  </si>
  <si>
    <t>A vertical gradient of nitrous oxide below the subsurface of the Canada Basin and its formation mechanisms</t>
  </si>
  <si>
    <t>nitrous oxide; Canada Basin; Greenland Sea</t>
  </si>
  <si>
    <t>NORTH PACIFIC; DISSOLVED N2O; GREENLAND SEA; DEEP-WATER; DENITRIFICATION; ICE; ISOTOPE; OCEAN; NITRIFICATION; CONSTRAINTS</t>
  </si>
  <si>
    <t>The ocean is regarded as a significant source of N2O, which is an ozone-depleting greenhouse gas. However, the contribution of the Arctic Ocean to the global N2O budget is not yet known. Herein, the first observations of N2O concentrations in the Canada Basin (CB) and Greenland Sea Basin (GSB) are presented. A correlation between the historic atmospheric N2O record and N2O concentrations at the corresponding depth in the GSB suggests that the N2O distribution pattern is dominated by air-sea exchanges and hydrographic processes in this region. The consistency between the observed N2O concentrations in the CB and calculated results based on the above correlation suggest that the N2O concentrations in the CB are most likely dominated by N2O dynamics and subsequent hydrographic processes in the sea adjacent to the GSB. The N2O concentration in the Canada Basin Intermediate Water (CBIW) reflects anthropogenic influences, whereas the N2O concentration in the Canada Basin Deep Water (CBDW) suggests that the CBDW may be a preindustrial relict.</t>
  </si>
  <si>
    <t>[Zhan, Liyang; Chen, Liqi; Zhang, Jiexia; Li, Yuhong] State Ocean Adm, Inst Oceanog 3, Key Lab Global Change &amp; Marine Atmospher Chem, Xiamen, Peoples R China</t>
  </si>
  <si>
    <t>Zhan, LY (corresponding author), State Ocean Adm, Inst Oceanog 3, Key Lab Global Change &amp; Marine Atmospher Chem, Xiamen, Peoples R China.</t>
  </si>
  <si>
    <t>zhanliyang@tio.org.cn</t>
  </si>
  <si>
    <t>National Natural Science Foundation of China [41230529, 40906102]; Chinese Projects for Investigations and Assessments of the Arctic and Antarctic; Chinese International Cooperation Projects [IC201114, IC201201, IC201308]</t>
  </si>
  <si>
    <t>National Natural Science Foundation of China(National Natural Science Foundation of China (NSFC)); Chinese Projects for Investigations and Assessments of the Arctic and Antarctic; Chinese International Cooperation Projects</t>
  </si>
  <si>
    <t>Data for this study were obtained from Shi [2013], Zhan [2013a, 2013b], Holland et al. [2005], and Elkins et al. [2012]. This work was supported by the National Natural Science Foundation of China (41230529 and 40906102), Chinese Projects for Investigations and Assessments of the Arctic and Antarctic (CHINARE2012, 2013, 2014 for 01-04-02, 02-01, and 03-04-02), and Chinese International Cooperation Projects (IC201114, IC201201, and IC201308).</t>
  </si>
  <si>
    <t>10.1002/2014JC010337</t>
  </si>
  <si>
    <t>WOS:000353900000051</t>
  </si>
  <si>
    <t>Massom, RA; Giles, AB; Warner, RC; Fricker, HA; Legrésy, B; Hyland, G; Lescarmontier, L; Young, N</t>
  </si>
  <si>
    <t>Massom, Robert A.; Giles, A. Barry; Warner, Roland C.; Fricker, Helen A.; Legresy, Benoit; Hyland, Glenn; Lescarmontier, Lydie; Young, Neal</t>
  </si>
  <si>
    <t>External influences on the Mertz Glacier Tongue (East Antarctica) in the decade leading up to its calving in 2010</t>
  </si>
  <si>
    <t>glacier tongue; dynamics; icebergs; grounding</t>
  </si>
  <si>
    <t>AMERY ICE SHELF; RIFT PROPAGATION; SHEET; SENSITIVITY; BATHYMETRY; STABILITY; BEHAVIOR; CLIMATE; FRONT</t>
  </si>
  <si>
    <t>The Mertz Glacier Tongue (MGT) in East Antarctica lost similar to 55% of its floating length in February 2010, when it calved large tabular iceberg C28 (78x35km). We analyze the behavior of the MGT over the preceding 12years using a variety of satellite data (synthetic aperture radar and Landsat imagery and Ice, Cloud, and land Elevation Satellite laser altimetry). Contact of its northwestern tip with the eastern flank of shoals from 2002/2003 caused eastward deflection of the ice flow by up to similar to 47 degrees. This change contributed to opening of a major rift system similar to 80km to the south, along which iceberg C28 eventually calved. Paradoxically, the seabed contact may have also held the glacier tongue in place to delay calving by similar to 8years. Our study also reveals the effects of other, more localized external influences on the MGT prior to calving. These include an abrupt sideways displacement of the glacier tongue front by at least similar to 145m following an apparent collision with iceberg C08 in early 2002 and calving of numerous small icebergs from the advancing northwestern front due to the chiseling action of small grounded icebergs and seabed contact, resulting in the loss of similar to 36km(2) of ice from 2001 to 2006. The example of the MGT confirms the need for accurate bathymetry in the vicinity of ice shelves and glacier tongues and suggests that the cumulative effect of external factors might be critical to understanding and modeling calving events and ice shelf stability, necessarily on a case-specific basis.</t>
  </si>
  <si>
    <t>[Massom, Robert A.; Warner, Roland C.; Hyland, Glenn] Australian Antarctic Div, Kingston, Tas, Australia; [Massom, Robert A.; Giles, A. Barry; Warner, Roland C.; Legresy, Benoit; Hyland, Glenn; Young, Neal] Univ Tasmania, Antarctic Climate &amp; Ecosyst Cooperat Res Ctr, Hobart, Tas, Australia; [Fricker, Helen A.] Univ Calif San Diego, Scripps Inst Oceanog, Inst Geophys &amp; Planetary Phys, La Jolla, CA 92093 USA; [Legresy, Benoit] CSIRO Marine &amp; Atmospher Res, Hobart, Tas, Australia; [Legresy, Benoit; Lescarmontier, Lydie] CNRS CNES UPS IRD, LEGOS, Toulouse, France; [Lescarmontier, Lydie] Australian Natl Univ, RSES, Canberra, ACT, Australia</t>
  </si>
  <si>
    <t>Australian Antarctic Division; University of Tasmania; Antarctic Climate &amp; Ecosystems Cooperative Research Centre (ACE CRC); University of California System; University of California San Diego; Scripps Institution of Oceanography; Commonwealth Scientific &amp; Industrial Research Organisation (CSIRO); Universite de Toulouse; Universite Toulouse III - Paul Sabatier; Centre National de la Recherche Scientifique (CNRS); Institut de Recherche pour le Developpement (IRD); Laboratoire d'Etudes en Geophysique et oceanographie spatiales; Australian National University</t>
  </si>
  <si>
    <t>Massom, RA (corresponding author), Australian Antarctic Div, Channel Highway, Kingston, Tas, Australia.</t>
  </si>
  <si>
    <t>rob.massom@aad.gov.au</t>
  </si>
  <si>
    <t>Warner, Roland Charles/ISS-2485-2023; Warner, Robert R./M-5342-2013; legresy, benoit/K-6673-2018</t>
  </si>
  <si>
    <t>Warner, Roland Charles/0000-0002-9778-3544; Massom, Robert/0000-0003-1533-5084; Young, Neal/0000-0001-9729-3273; legresy, benoit/0000-0002-1909-1630</t>
  </si>
  <si>
    <t>Australian Government's Cooperative Research Centre (CRC) program through the Antarctic Climate Ecosystems CRC; Australian Antarctic Science Projects [3024, 4116]; CNES; ANR; IPEV; CNRS/INSU; ARC; University of Tasmania; International Space Science Institute (Bern, Switzerland) [137, 169]; ESA Project [4123]; NASA [NNX10AG19G]; NASA [NNX10AG19G, 134135] Funding Source: Federal RePORTER</t>
  </si>
  <si>
    <t>Australian Government's Cooperative Research Centre (CRC) program through the Antarctic Climate Ecosystems CRC(Australian GovernmentDepartment of Industry, Innovation and ScienceCooperative Research Centres (CRC) Programme); Australian Antarctic Science Projects; CNES(Centre National D'etudes Spatiales); ANR(Agence Nationale de la Recherche (ANR)); IPEV; CNRS/INSU(Centre National de la Recherche Scientifique (CNRS)); ARC(Australian Research Council); University of Tasmania; International Space Science Institute (Bern, Switzerland); ESA Project; NASA(National Aeronautics &amp; Space Administration (NASA)); NASA(National Aeronautics &amp; Space Administration (NASA))</t>
  </si>
  <si>
    <t>This work was supported by the Australian Government's Cooperative Research Centre (CRC) program through the Antarctic Climate &amp; Ecosystems CRC, and Australian Antarctic Science Projects 3024 and 4116 and contributes to WCRP Climate and Cryosphere (CliC) project Targeted Activity Interactions Between Cryosphere Elements. We thank Associate Editor Poul Christoffersen, Ala Khazendar, and two anonymous reviewers for their excellent suggestions, which greatly improved the manuscript. Part of this work was done within the CRACICE project, supported by CNES, ANR, IPEV, CNRS/INSU, ARC, and the University of Tasmania. The International Space Science Institute (Bern, Switzerland) is gratefully acknowledged for supporting this study via Projects 137 and 169. Radarsat data were obtained from the NASA Alaska Satellite Facility (toward the project Study of the Mertz Glacier Tongue, East Antarctica) and Envisat data from the European Space Agency (as a contribution to ESA Project 4123). Bathymetric data were obtained courtesy of Lamont-Doherty Earth Observatory and the U.S. National Science Foundation. Landsat imagery was obtained from the Landsat Image Mosaic of Antarctica (LIMA) project (http://lima.usgs.gov) and USGS EarthExplorer (http://earthexplorer.usgs.gov/). We also thank NASA's ICESat Science Project and the NSIDC for distribution of the ICESat data (see http://icesat.gsfc.nasa.gov and http://nsidc.org/data/icesat) and NSIDC for MOA. H.A.F. was supported under NASA award NNX10AG19G.</t>
  </si>
  <si>
    <t>10.1002/2014JF003223</t>
  </si>
  <si>
    <t>CH0FG</t>
  </si>
  <si>
    <t>WOS:000353694200007</t>
  </si>
  <si>
    <t>Chen, QJ; Shen, YZ; Zhang, XF; Hsu, HZ; Chen, W; Ju, XL; Lou, LZ</t>
  </si>
  <si>
    <t>Chen, Qiujie; Shen, Yunzhong; Zhang, Xingfu; Hsu, Houze; Chen, Wu; Ju, Xiaolei; Lou, Lizhi</t>
  </si>
  <si>
    <t>Monthly gravity field models derived from GRACE Level 1B data using a modified short-arc approach</t>
  </si>
  <si>
    <t>satellite gravimetry; monthly gravity field model; GRACE; short-arc approach</t>
  </si>
  <si>
    <t>MASS-BALANCE; VARIABILITY; RECOVERY</t>
  </si>
  <si>
    <t>In this study, a new time series of Gravity Recovery and Climate Experiment (GRACE) monthly solutions, complete to degree and order 60 spanning from January 2003 to August 2011, has been derived based on a modified short-arc approach. Our models entitled Tongji-GRACE01 are available on the website of International Centre for Global Earth Models (http://icgem.gfz-potsdam.de/ICGEM/). The traditional short-arc approach, with no more than 1h arcs, requires the gradient corrections of satellite orbits in order to reduce the impact of orbit errors on the final solution. Here the modified short-arc approach has been proposed, which has three major differences compared to the traditional one: (1) All the corrections of orbits and range rate measurements are solved together with the geopotential coefficients and the accelerometer biases using a weighted least squares adjustment; (2) the boundary position parameters are not required; and (3) the arc length can be extended to 2h. The comparisons of geoid degree powers and the mass change signals in the Amazon basin, the Antarctic, and Antarctic Peninsula demonstrate that our model is comparable with the other existing models, i.e., the Centre for Space Research RL05, Jet Propulsion Laboratory RL05, and GeoForschungsZentrum RL05a models. The correlation coefficients of the mass change time series between our model and the other models are better than 0.9 in the Antarctic and Antarctic Peninsula. The mass change rates in the Antarctic and Antarctic Peninsula derived from our model are -92.738.0Gt/yr and -23.912.4Gt/yr, respectively, which are very close to those from other three models and with similar spatial patterns of signals.</t>
  </si>
  <si>
    <t>[Chen, Qiujie; Shen, Yunzhong; Ju, Xiaolei; Lou, Lizhi] Tongji Univ, Coll Surveying &amp; Geoinformat, Shanghai 200092, Peoples R China; [Chen, Qiujie; Shen, Yunzhong] Ctr Spatial Informat Sci &amp; Sustainable Dev, Shanghai, Peoples R China; [Chen, Qiujie; Chen, Wu] Hong Kong Polytech Univ, Dept Land Surveying &amp; Geoinformat, Hong Kong, Hong Kong, Peoples R China; [Zhang, Xingfu] Guangdong Univ Technol, Dept Surveying &amp; Mapping, Guangzhou, Guangdong, Peoples R China; [Hsu, Houze] Chinese Acad Sci, Inst Geodesy &amp; Geophys, State Key Lab Geodesy &amp; Earths Dynam, Wuhan, Peoples R China</t>
  </si>
  <si>
    <t>Tongji University; Hong Kong Polytechnic University; Guangdong University of Technology; Chinese Academy of Sciences; Innovation Academy for Precision Measurement Science &amp; Technology, CAS</t>
  </si>
  <si>
    <t>Shen, YZ (corresponding author), Tongji Univ, Coll Surveying &amp; Geoinformat, Shanghai 200092, Peoples R China.</t>
  </si>
  <si>
    <t>yzshen@tongji.edu.cn</t>
  </si>
  <si>
    <t>; Chen, Wu/B-5326-2011</t>
  </si>
  <si>
    <t>Chen, Qiujie/0000-0002-3736-4049; Chen, Wu/0000-0002-1787-5191</t>
  </si>
  <si>
    <t>National key Basic Research Program of China (973 Program) [2012CB957703]; National Natural Science Foundation of China [41474017, 41104002, 41274035]; State Key Laboratory of Geodesy and Earth's Dynamics [SKLGED2013-3-2-Z, SKLGED2014-1-3-E]; State Key Laboratory of Geo-information Engineering [SKLGIE2014-M-1-2]</t>
  </si>
  <si>
    <t>National key Basic Research Program of China (973 Program)(National Basic Research Program of China); National Natural Science Foundation of China(National Natural Science Foundation of China (NSFC)); State Key Laboratory of Geodesy and Earth's Dynamics; State Key Laboratory of Geo-information Engineering</t>
  </si>
  <si>
    <t>The GRACE Level 1B data in this paper are provided by JPL, which can be accessed from their ftp website (podaac.jpl.nasa.gov) through the internet of the first author's university, the Hong Kong Polytechnic University. And the GRACE monthly models are available at the ICGEM (http://icgem.gfz-potsdam.de/ICGEM/). This work is mainly sponsored by National key Basic Research Program of China (973 Program; 2012CB957703) and National Natural Science Foundation of China (41474017, 41104002, and 41274035). It is also sponsored by State Key Laboratory of Geodesy and Earth's Dynamics (SKLGED2013-3-2-Z and SKLGED2014-1-3-E) and State Key Laboratory of Geo-information Engineering (SKLGIE2014-M-1-2). We also would like to thank John Ries and Jianli Chen from the Center for Space Research for their help. We also are grateful to the Editors' and two anonymous reviewers' comments for improvement of our original manuscript. Walid Darwisl from Hong Kong Polytechnic University also should be acknowledged for checking and correcting the English grammar in this paper.</t>
  </si>
  <si>
    <t>10.1002/2014JB011470</t>
  </si>
  <si>
    <t>CG3EF</t>
  </si>
  <si>
    <t>WOS:000353160200025</t>
  </si>
  <si>
    <t>Kim, H; Clauer, CR; Engebretson, MJ; Matzka, J; Sibeck, DG; Singer, HJ; Stolle, C; Weimer, DR; Xu, Z</t>
  </si>
  <si>
    <t>Kim, H.; Clauer, C. R.; Engebretson, M. J.; Matzka, J.; Sibeck, D. G.; Singer, H. J.; Stolle, C.; Weimer, D. R.; Xu, Z.</t>
  </si>
  <si>
    <t>Conjugate observations of traveling convection vortices associated with transient events at the magnetopause</t>
  </si>
  <si>
    <t>transient event; TCV; conjugacy; magnetopause</t>
  </si>
  <si>
    <t>WIND DYNAMIC PRESSURE; GROUND MAGNETIC SIGNATURES; GEOMAGNETIC SUDDEN COMMENCEMENTS; LATITUDE BOUNDARY-LAYER; FIELD-ALIGNED CURRENTS; FLUX-TRANSFER EVENTS; DAWN-DUSK ASYMMETRY; SOLAR-WIND; IMPULSE EVENTS; TWIN-VORTICES</t>
  </si>
  <si>
    <t>Traveling convection vortices (TCVs) are generally produced by field-aligned currents (FACs) at high latitudes associated with transient changes of the magnetopause. This paper presents multipoint conjugate observations of transient events at the magnetopause measured in space and on the ground. The transient events showing radial fluctuation of the magnetopause in association with sudden increases in solar wind dynamic pressure were detected by both the Time History of Events and Macroscale Interactions during Substorms and the Geostationary Operational Environmental Satellite spacecraft. Geomagnetic signatures seen as TCVs in response to the transient events were observed by the ground magnetometer array in Greenland and Canada and their conjugate locations in Antarctica including recently developed Antarctic magnetometers, mostly located along the 40 degrees magnetic meridian. This new conjugate network provides a unique opportunity to observe geomagnetic field signatures over a relatively large region in both hemispheres. This study focuses mainly on the spatial and temporal features of the TCVs in the conjugate hemispheres in relation to the transient events at the magnetopause. The TCV events are characterized by their single or twin vortex, of which the centers are located approximately at 72 degrees-76 degrees magnetic latitude, propagating either dawnward or duskward away from local noon. While interhemispheric conjugacy is expected with an assumption that TCV signatures are created by FACs directed in both hemispheres, our observations suggest that there might be more complex mechanisms contributing the asymmetrical features, perhaps due to field line mapping and/or conductivity differences.</t>
  </si>
  <si>
    <t>[Kim, H.; Clauer, C. R.; Weimer, D. R.; Xu, Z.] Virginia Polytech Inst &amp; State Univ, Ctr Space Sci &amp; Engn Res, Blacksburg, VA 24061 USA; [Kim, H.; Clauer, C. R.; Weimer, D. R.; Xu, Z.] Virginia Polytech Inst &amp; State Univ, Dept Elect &amp; Comp Engn, Blacksburg, VA 24061 USA; [Engebretson, M. J.] Augsburg Coll, Dept Phys, Minneapolis, MN USA; [Matzka, J.; Stolle, C.] German Res Ctr Geosci, Helmholtz Ctr Potsdam, GFZ, Potsdam, Germany; [Sibeck, D. G.] NASA, Goddard Space Flight Ctr, Greenbelt, MD 20771 USA; [Singer, H. J.] NOAA, Space Weather Predict Ctr, Boulder, CO USA</t>
  </si>
  <si>
    <t>Virginia Polytechnic Institute &amp; State University; Virginia Polytechnic Institute &amp; State University; Augsburg University; Helmholtz Association; Helmholtz-Center Potsdam GFZ German Research Center for Geosciences; National Aeronautics &amp; Space Administration (NASA); NASA Goddard Space Flight Center; National Oceanic Atmospheric Admin (NOAA) - USA</t>
  </si>
  <si>
    <t>Kim, H (corresponding author), Virginia Polytech Inst &amp; State Univ, Ctr Space Sci &amp; Engn Res, Blacksburg, VA 24061 USA.</t>
  </si>
  <si>
    <t>hmkim@vt.edu</t>
  </si>
  <si>
    <t>Weimer, Daniel/AAI-7577-2020; Sibeck, David G/D-4424-2012; Matzka, Jurgen/J-9420-2014</t>
  </si>
  <si>
    <t>Weimer, Daniel/0000-0003-1264-3612; Matzka, Jurgen/0000-0001-9926-2796; Xu, Zhonghua/0000-0002-3800-2162; Stolle, Claudia/0000-0002-5717-1623</t>
  </si>
  <si>
    <t>National Science Foundation [ATM-0922979]; NSF [ANT-0839588, PLR-1243398, PLR-1341493]; NASA [NAS5-02099]; German Ministry for Economy and Technology; German Center for Aviation and Space (DLR) [50 OC 0302]; Directorate For Geosciences; Office of Polar Programs (OPP) [1243398] Funding Source: National Science Foundation; Directorate For Geosciences; Office of Polar Programs (OPP) [1341493] Funding Source: National Science Foundation</t>
  </si>
  <si>
    <t>National Science Foundation(National Science Foundation (NSF)); NSF(National Science Foundation (NSF)); NASA(National Aeronautics &amp; Space Administration (NASA)); German Ministry for Economy and Technology; German Center for Aviation and Space (DLR)(Helmholtz AssociationGerman Aerospace Centre (DLR)); Directorate For Geosciences; Office of Polar Programs (OPP)(National Science Foundation (NSF)NSF - Directorate for Geosciences (GEO)); Directorate For Geosciences; Office of Polar Programs (OPP)(National Science Foundation (NSF)NSF - Directorate for Geosciences (GEO))</t>
  </si>
  <si>
    <t>Support for this research has been provided by the National Science Foundation through grants to Virginia Tech: ATM-0922979 for the development of the Antarctic measurement systems that provided the data and NSF grants ANT-0839588 and PLR-1243398 that have supported the continuing operation of the measurement program, acquisition and processing of the data, and scientific analysis of the data. The work of M. J. Engebretson was supported by NSF grant, PLR-1341493 to Augsburg College. The OMNI and THEMIS data were obtained and processed using THEMIS Data Analysis Software (TDAS). We acknowledge NASA contract NAS5-02099 and V. Angelopoulos for use of data from the THEMIS Mission. Specifically, we thank K. H. Glassmeier, U. Auster, and W. Baumjohann for the use of FGM data provided under the lead of the Technical University of Braunschweig and with financial support through the German Ministry for Economy and Technology and the German Center for Aviation and Space (DLR) under contract 50 OC 0302. The ACE and Cluster data were provided from Coordinated Data Analysis Web (CDAWeb) at http://cdaweb.gsfc.nasa.gov. The GOES data were accessed using the data archive at NOAA Space Weather Prediction Center (http://www.swpc.noaa.gov). The magnetic field tracing tool (IDL GEOPACK DLM) is provided by Haje Korth at Applied Physics Laboratory, Johns Hopkins University. We would like to thank the following persons/institutes for providing ground magnetometer data: Jeff Love at USGS Geomagnetism Program and Lorne McKee at Natural Resources Canada for the INTERMAGNET data (IQA), DTU Space for the Greenland magnetometer data, GFZ Potsdam and Observatory Niemegk for the Kp index, and Polar Experiment Network for Geospace Upper-atmosphere Investigations (PENGUIn) team for the AGO and South Pole data.</t>
  </si>
  <si>
    <t>10.1002/2014JA020743</t>
  </si>
  <si>
    <t>CG4EY</t>
  </si>
  <si>
    <t>WOS:000353237600036</t>
  </si>
  <si>
    <t>LaBelle, J; Yan, X; Broughton, M; Pasternak, S; Dombrowski, M; Anderson, RR; Frey, HU; Weatherwax, AT; Ebihara, Y</t>
  </si>
  <si>
    <t>LaBelle, J.; Yan, X.; Broughton, M.; Pasternak, S.; Dombrowski, M.; Anderson, R. R.; Frey, H. U.; Weatherwax, A. T.; Ebihara, Y.</t>
  </si>
  <si>
    <t>Further evidence for a connection between auroral kilometric radiation and ground-level signals measured in Antarctica</t>
  </si>
  <si>
    <t>AKR</t>
  </si>
  <si>
    <t>AKR EMISSION CONE; HIGH-FREQUENCY; SATELLITE; POLAR; HISS</t>
  </si>
  <si>
    <t>Inspired by recent observations of three cases of coincident ground-level auroral kilometric radiation (AKR)-like signals and outgoing AKR measured with the Geotail satellite, investigation of 2008 data from four Antarctic observatories yields &gt;30 additional examples. The occurrence rate peaks near 22 MLT similar to that of AKR. Polarization measurements of one event show it to be right-hand polarized. Correlation analysis of ground-level and satellite data suggests an imperfect correlation with 2-3 sigma significance, although occasionally much better. (Perfect correlation is not expected, for at least two reasons: distant satellites detect AKR from many sources over a significant part of the oval, and many effects can hinder transmission of AKR from those sources to either distant satellites or ground stations.) Statistical analysis of the existing quantity of data is therefore suggestive but does not prove a connection between the ground-level AKR-like signals and outgoing AKR. However, two other methods provide evidence favoring such a connection. The first full-resolution measurements of ground-level AKR-like signals show that their fine structure strongly resembles that of AKR as known from high-resolution spacecraft receivers. Two case studies show that the location of active aurora, presumed connected with the AKR sources, controls whether or not the ground station detects the AKR, or which of several ground stations detects it most strongly. These investigations strengthen the hypothesis that through some mechanism, sources of outgoing AKR detected by distant satellites occasionally generate signals detectable as whistler mode waves at low altitude or right-hand polarized signals at ground level.</t>
  </si>
  <si>
    <t>[LaBelle, J.; Yan, X.; Broughton, M.; Pasternak, S.; Dombrowski, M.] Dartmouth Coll, Dept Phys &amp; Astron, Hanover, NH 03755 USA; [Anderson, R. R.] Univ Iowa, Dept Phys &amp; Astron, Iowa City, IA 52242 USA; [Frey, H. U.] Univ Calif Berkeley, Space Sci Lab, Berkeley, CA 94720 USA; [Weatherwax, A. T.] Siena Coll, Dept Phys &amp; Astron, Loudonville, NY USA; [Ebihara, Y.] Kyoto Univ, Res Inst Sustainable Humanosphere, Uji, Kyoto, Japan</t>
  </si>
  <si>
    <t>Dartmouth College; University of Iowa; University of California System; University of California Berkeley; Kyoto University</t>
  </si>
  <si>
    <t>LaBelle, J (corresponding author), Dartmouth Coll, Dept Phys &amp; Astron, Hanover, NH 03755 USA.</t>
  </si>
  <si>
    <t>james.labelle@dartmouth.edu</t>
  </si>
  <si>
    <t>Ebihara, Yusuke/ABD-4430-2021; Ebihara, Yusuke/D-1638-2013</t>
  </si>
  <si>
    <t>Ebihara, Yusuke/0000-0002-2293-1557; Ebihara, Yusuke/0000-0002-2293-1557; Frey, Harald/0000-0001-8955-3282; Dombrowski, Micah/0000-0002-5686-4794; Weatherwax, Allan/0000-0003-4732-358X; LaBelle, James/0000-0002-0772-8825</t>
  </si>
  <si>
    <t>NSF Office of Polar Programs [ANT-1043230, ANT-1141817, ANT-0638587, ANT-0840158]; National Institute of Polar Research, Japan; NSF [ANT-0638587]; [ANT-1142161]; Directorate For Geosciences; Office of Polar Programs (OPP) [1043230] Funding Source: National Science Foundation; Office of Polar Programs (OPP); Directorate For Geosciences [1248062] Funding Source: National Science Foundation</t>
  </si>
  <si>
    <t>NSF Office of Polar Programs(National Science Foundation (NSF)); National Institute of Polar Research, Japan; NSF(National Science Foundation (NSF)); ; Directorate For Geosciences; Office of Polar Programs (OPP)(National Science Foundation (NSF)NSF - Directorate for Geosciences (GEO)); Office of Polar Programs (OPP); Directorate For Geosciences(National Science Foundation (NSF)NSF - Directorate for Geosciences (GEO))</t>
  </si>
  <si>
    <t>The authors thank the Geotail plasma wave instrument team, especially Hirotsugu Kojima, for providing Geotail data. D. Menietti and J. Pickett provided helpful advice about Cluster data and Figures 4a and 4b. Engineers David McGaw and Mike Trimpi made significant contributions to the ground-based instruments used in this study. Work at Dartmouth College was supported by NSF Office of Polar Programs awards ANT-1043230 and ANT-1141817. Work at University of California was supported by ANT-1142161. Work at Siena College was supported by NSF Office of Polar Programs awards ANT-0638587 and ANT-0840158. Work at Kyoto University was supported by National Institute of Polar Research, Japan, with deployment and logistical support at South Pole provided by NSF under award ANT-0638587. The ground-based data used in this study are available at http://www.dartmouth.edu/similar to spacephy/labelle_group, or by emailing james.labelle@dartmouth.edu. The satellite data used in this study are available at http://www.rish.kyoto-u.ac.jp/space/gtlpwi, or by emailing kojima.hirotsugu.6m@kyoto-u.ac.jp.</t>
  </si>
  <si>
    <t>10.1002/2014JA020977</t>
  </si>
  <si>
    <t>WOS:000353237600039</t>
  </si>
  <si>
    <t>Makarevich, RA; Forsythe, VV; Kellerman, AC</t>
  </si>
  <si>
    <t>Makarevich, Roman A.; Forsythe, V. V.; Kellerman, A. C.</t>
  </si>
  <si>
    <t>Electric field control of E region coherent echoes: Evidence from radar observations at the South Pole</t>
  </si>
  <si>
    <t>E region irregularities; coherent echoes; plasma instability; plasma convection</t>
  </si>
  <si>
    <t>FARLEY-BUNEMAN TURBULENCE; HF RADAR; SPECTRAL WIDTH; MODEL; BACKSCATTER; SUPERDARN; AURORA; VHF; IRREGULARITIES; SIMULATIONS</t>
  </si>
  <si>
    <t>Characteristics and formation mechanisms of E region plasma irregularities at high latitudes are investigated using observations with the newly deployed Super Dual Auroral Radar Network (SuperDARN) radar at the South Pole Antarctic station (SPS) near a magnetic latitude (MLAT) of 75 degrees S. It is shown that E region echo occurrence at SPS exhibits a diurnal variation that is significantly different from those at auroral and polar cap latitudes. Moreover, analysis of major spectral populations also showed a distinct and previously unreported diurnal pattern. The plasma drift velocity estimates are derived at E region ranges of SPS, leveraging the SPS radar's position well within the MLAT region where SuperDARN convection estimates are well constrained by the data. It is shown that E region irregularity occurrence increases when the convection direction is within the SPS field of view and/or when the plasma drift component is comparable with the nominal ion-acoustic speed C-s of 350 m/s. This is the expected behavior for irregularities generated directly by the modified two-stream plasma instability (MTSI). On the other hand, irregularity velocity dependence on convection velocity showed an unexpected saturation at velocity values smaller than nominal C-s. It is demonstrated that the convection velocity at which irregularity velocity starts to differ from the convection component and to approach a maximum value is dependent on the magnetic aspect angle. Moreover, the maximum velocity value itself also depends on the aspect angle. The observed behavior is discussed in context of recent models that involve evolving aspect angles as a key characteristic of MTSI saturation.</t>
  </si>
  <si>
    <t>[Makarevich, Roman A.; Forsythe, V. V.] Univ Alaska Fairbanks, Inst Geophys, Fairbanks, AK 99775 USA; [Makarevich, Roman A.; Forsythe, V. V.] Univ Alaska Fairbanks, Dept Phys, Fairbanks, AK USA; [Kellerman, A. C.] Univ Calif Los Angeles, Dept Earth Planetary &amp; Space Sci, Los Angeles, CA USA</t>
  </si>
  <si>
    <t>University of Alaska System; University of Alaska Fairbanks; University of Alaska System; University of Alaska Fairbanks; University of California System; University of California Los Angeles</t>
  </si>
  <si>
    <t>Makarevich, RA (corresponding author), Univ Alaska Fairbanks, Inst Geophys, Fairbanks, AK 99775 USA.</t>
  </si>
  <si>
    <t>rmakarevich@alaska.edu</t>
  </si>
  <si>
    <t>Kellerman, Adam/AEX-6248-2022</t>
  </si>
  <si>
    <t>Kellerman, Adam/0000-0002-2315-936X; Forsythe, Victoriya/0000-0003-0894-2951</t>
  </si>
  <si>
    <t>NSF [ANT-1139806]; Directorate For Geosciences; Office of Polar Programs (OPP) [0944270, 1139806] Funding Source: National Science Foundation</t>
  </si>
  <si>
    <t>NSF(National Science Foundation (NSF)); Directorate For Geosciences; Office of Polar Programs (OPP)(National Science Foundation (NSF)NSF - Directorate for Geosciences (GEO))</t>
  </si>
  <si>
    <t>SuperDARN data are freely available through the SuperDARN website at Virginia Polytechnic Institute and State University (http://vt.superdarn.org/). This work was supported by NSF grant ANT-1139806.</t>
  </si>
  <si>
    <t>10.1002/2014JA020844</t>
  </si>
  <si>
    <t>WOS:000353237600046</t>
  </si>
  <si>
    <t>Tarakanov, RY; Morozov, EG</t>
  </si>
  <si>
    <t>Tarakanov, R. Yu.; Morozov, E. G.</t>
  </si>
  <si>
    <t>Flow of Antarctic Bottom Water at the output of the Vema Channel</t>
  </si>
  <si>
    <t>OCEANOLOGY</t>
  </si>
  <si>
    <t>BRAZIL BASIN</t>
  </si>
  <si>
    <t>The pathways of the coldest part of the Antarctic Bottom Water (AABW) with potential temperature theta &lt; 0.0A degrees C in the Vema Channel and the pathways of this water flowing out of the channel to the Brazil Basin are studied on the basis of the data collected during the Russian expeditions in 2003, 2009-2012, and historical CTD data. It is shown that the AABW flows to the north in the Vema Channel as two streams, one of which is located in the deep channel and the other approximately 300 m higher over the western slope of the channel. It was found that the northern end of the deep channel is not located near 26A degrees 40' S, 34A degrees 00' W as a widening in the northern direction to the Brazil Basin as follows from the dataset of digital topography (Smith and Sandwell, 1997) but continues in the eastern direction. A weaker northerly flow of the cold AABW was also found from the results of the measurements in 2012, which is confined to a branch of the Vema Channel continuation.</t>
  </si>
  <si>
    <t>[Tarakanov, R. Yu.; Morozov, E. G.] Russian Acad Sci, Shirshov Inst Oceanol, Moscow, Russia</t>
  </si>
  <si>
    <t>Tarakanov, RY (corresponding author), Russian Acad Sci, Shirshov Inst Oceanol, Moscow, Russia.</t>
  </si>
  <si>
    <t>rtarakanov@gmail.com</t>
  </si>
  <si>
    <t>Tarakanov, Roman/R-3325-2016; Morozov, Eugene G/L-3023-2018</t>
  </si>
  <si>
    <t>Tarakanov, Roman/0000-0002-8711-1859; Morozov, Eugene/0000-0002-0251-3454</t>
  </si>
  <si>
    <t>Russian Foundation for Basic Research [11-08-10001-k, 12-08-10001-k, 12-05-00277-a]</t>
  </si>
  <si>
    <t>The authors thank D.G. Borisov for fruitful consulting. This study was supported by the Russian Foundation for Basic Research (project nos. 11-08-10001-k, 12-08-10001-k, and 12-05-00277-a).</t>
  </si>
  <si>
    <t>0001-4370</t>
  </si>
  <si>
    <t>1531-8508</t>
  </si>
  <si>
    <t>OCEANOLOGY+</t>
  </si>
  <si>
    <t>Oceanology</t>
  </si>
  <si>
    <t>10.1134/S0001437015010166</t>
  </si>
  <si>
    <t>CG5MN</t>
  </si>
  <si>
    <t>WOS:000353336100001</t>
  </si>
  <si>
    <t>Chavtur, VG; Mazdygan, ER</t>
  </si>
  <si>
    <t>Chavtur, V. G.; Mazdygan, E. R.</t>
  </si>
  <si>
    <t>Vertical distribution of pelagic ostracods (Myodocopa) in the Subantarctic and Antarctic zones of the Australian-New Zealand sector in the Southern Ocean</t>
  </si>
  <si>
    <t>ADJACENT; WATERS; SEA</t>
  </si>
  <si>
    <t>Materials from the Russian expeditions in the Australia-New Zealand sector of the Southern Ocean during the period from 1956 until 1983 have been studied. In the Subantarctic zone, the fauna of pelagic ostracods is formed mainly by the allochthonic complex tropical-subtropical and antarctic species. The number of ostracod species, as well as their density and biomass, increase with depth, reaching a maximum at the 400-500-m layer and decreasing closer to the bottom. The vertical distribution of pelagic ostracods is similar in the Antarctic and Subantarctic zones. Nevertheless, the maximum number of species here is determined mainly by the aboriginal complex of widespread and cold-water ostracods, which moves deeper when moving to higher latitudes. There are regular changes in the vertical distribution of dominant species with latitude. They are determined by the specific structure and dynamics of water masses in separate subzones of the study region.</t>
  </si>
  <si>
    <t>[Chavtur, V. G.; Mazdygan, E. R.] Russian Acad Sci, Zhirmunsky Inst Marine Biol, Far Eastern Branch, Vladivostok 690041, Russia; [Chavtur, V. G.] Far Eastern Fed Univ, Vladivostok 690001, Russia</t>
  </si>
  <si>
    <t>Russian Academy of Sciences; National Scientific Center of Marine Biology, Far East Branch of the Russian Academy of Sciences; Far Eastern Federal University</t>
  </si>
  <si>
    <t>Chavtur, VG (corresponding author), Russian Acad Sci, Zhirmunsky Inst Marine Biol, Far Eastern Branch, Vladivostok 690041, Russia.</t>
  </si>
  <si>
    <t>vchavtur@gmail.com</t>
  </si>
  <si>
    <t>Chavtur, Vladimir Grigoryevich/AAG-2457-2019</t>
  </si>
  <si>
    <t>10.1134/S0001437015020034</t>
  </si>
  <si>
    <t>WOS:000353336100007</t>
  </si>
  <si>
    <t>Lewis, G; May, K</t>
  </si>
  <si>
    <t>Lewis, George; May, Karen</t>
  </si>
  <si>
    <t>'Will make a good Admiral': a reassessment of Captain Scott's naval career</t>
  </si>
  <si>
    <t>POLAR RECORD</t>
  </si>
  <si>
    <t>In his book Scott and Amundsen (1979) Roland Huntford described Captain Robert Falcon Scott R.N. as 'not well thought of in the Service' and 'an obscure, rather dull torpedo lieutenant with mediocre prospects'. A myth has subsequently arisen that Scott was forced into Antarctic exploration as his only route to naval promotion. In reality, Scott was an extremely able officer held in high regard by his naval contemporaries; he was on course for promotion to flag rank (rear-admiral and above) had he not taken up polar exploration; and his primary motivation for polar work was financial support for his family. In addition to a chronological account of Scott's career, this article will present his Admirals' reports in full.</t>
  </si>
  <si>
    <t>Lewis, G (corresponding author), 27 Old Gloucester St, London WC1N 3AX, England.</t>
  </si>
  <si>
    <t>georgelewis233@gmail.com</t>
  </si>
  <si>
    <t>0032-2474</t>
  </si>
  <si>
    <t>1475-3057</t>
  </si>
  <si>
    <t>POLAR REC</t>
  </si>
  <si>
    <t>POLAR REC.</t>
  </si>
  <si>
    <t>10.1017/S0032247413000697</t>
  </si>
  <si>
    <t>Ecology; Environmental Sciences</t>
  </si>
  <si>
    <t>CG1HH</t>
  </si>
  <si>
    <t>WOS:000353023200003</t>
  </si>
  <si>
    <t>Camenzuli, D; Fryirs, KA; Gore, DB; Freidman, BL</t>
  </si>
  <si>
    <t>Camenzuli, Danielle; Fryirs, Kirstie A.; Gore, Damian B.; Freidman, Benjamin L.</t>
  </si>
  <si>
    <t>Managing legacy waste in the presence of cultural heritage at Wilkes Station, East Antarctica</t>
  </si>
  <si>
    <t>PERMEABLE REACTIVE BARRIERS; PETROLEUM-HYDROCARBON; MARINE-SEDIMENTS; CONTAMINATION; REMEDIATION; LAND; PB</t>
  </si>
  <si>
    <t>The Antarctic Treaty has been the principal governing force in Antarctica since 1961. The Protocol on Environmental Protection to the Antarctic Treaty (Madrid Protocol) requires that all past and present work and waste-disposal sites are cleaned up unless doing so would cause greater environmental damage or the site is considered to be a monument of significant historical importance. Despite this requirement, legacy waste issues remain unresolved in parts of Antarctica. Clean-up operations in Antarctica are complicated by a combination of restricted access, extreme weather, financial limitations and logistical constraints. Further complications arise at sites such as Wilkes Station, where the requirement for clean-up coexists with the desire to preserve potentially valuable heritage items. Several buildings and artefacts with potential heritage value remain at Wilkes Station. However, Wilkes Station is not officially designated as a historic site or monument under the Antarctic Treaty, nor is it a national or world heritage place under Australian domestic legislation. Consequently the buildings and relics at Wilkes Station are afforded little protection under the existing relevant domestic and international legislative frameworks. This paper uses Wilkes Station as a case study of the complexities associated with conducting clean-up operations at contaminated sites with informal heritage value in Antarctica. The legislative and environmental considerations surrounding clean-up operations at Wilkes Station are also investigated. Furthermore, we argue the importance of a multi-disciplinary approach to operations which facilitate the clean-up of legacy waste and preservation of the potential heritage values at Wilkes. Finally, we recognise that the complexities discussed in this paper have wider applicability and we investigate the relevance of these issues to other Antarctic contaminated sites with formal or informal heritage value.</t>
  </si>
  <si>
    <t>[Camenzuli, Danielle; Fryirs, Kirstie A.; Gore, Damian B.] Macquarie Univ, Dept Geog &amp; Environm, Sydney, NSW 2109, Australia; [Freidman, Benjamin L.] Univ Melbourne, Sch Engn, Dept Chem &amp; Biomol Engn, Parkville, Vic 3010, Australia</t>
  </si>
  <si>
    <t>Macquarie University; University of Melbourne</t>
  </si>
  <si>
    <t>Camenzuli, D (corresponding author), Macquarie Univ, Dept Geog &amp; Environm, Sydney, NSW 2109, Australia.</t>
  </si>
  <si>
    <t>danielle.camenzuli@mq.edu.au</t>
  </si>
  <si>
    <t>Fryirs, Kirstie/0000-0003-0541-3384; Gore, Damian/0000-0002-0377-8518; Toase, Danielle/0000-0003-2259-7883</t>
  </si>
  <si>
    <t>Australian Antarctic Science [4029]</t>
  </si>
  <si>
    <t>We thank Eric Portenga and the anonymous reviewer for their helpful feedback on the original manuscript. This work was supported by Australian Antarctic Science (grant number 4029).</t>
  </si>
  <si>
    <t>10.1017/S0032247413000740</t>
  </si>
  <si>
    <t>WOS:000353023200006</t>
  </si>
  <si>
    <t>Davis, MP</t>
  </si>
  <si>
    <t>Davis, Matthew P.</t>
  </si>
  <si>
    <t>Evolutionary Relationships of the Deep-Sea Pearleyes (Aulopiformes: Scopelarchidae) and a New Genus of Pearleye from Antarctic Waters</t>
  </si>
  <si>
    <t>COPEIA</t>
  </si>
  <si>
    <t>FISH; PHYLOGENY; BIOLUMINESCENCE</t>
  </si>
  <si>
    <t>This study investigates the evolutionary relationships among species in the family Scopelarchidae with molecular (eight genes) and morphological data. A new genus of pearleye is diagnosed, Lagiacrusichthys, new genus, from a previously described species (Benthalbella macropinna) distributed in Antarctic waters. The diagnosis of Lagiacrusichthys is based on molecular and anatomical information, including a highly reduced dorsal fin (5-6 rays) and a long anal fin (35-39 rays). The results represent the most taxonomically comprehensive molecular and total evidence hypotheses of the evolutionary relationships of the pearleyes to date (13 of 18 species), and these frameworks are used to comment on the historical biogeography of this widespread group. It is inferred that the pearleyes likely first evolved in central-tropical waters, with two independent invasions into Antarctic waters.</t>
  </si>
  <si>
    <t>St Cloud State Univ, Dept Biol Sci, St Cloud, MN 56301 USA</t>
  </si>
  <si>
    <t>Minnesota State Colleges &amp; Universities; Saint Cloud State University</t>
  </si>
  <si>
    <t>Davis, MP (corresponding author), St Cloud State Univ, Dept Biol Sci, 720 Fourth Ave South, St Cloud, MN 56301 USA.</t>
  </si>
  <si>
    <t>mpdavis@stcloudstate.edu</t>
  </si>
  <si>
    <t>National Science Foundation [DEB 1060869, DEB 1258141]; American Museum of Natural History Lerner-Grey Marine Research Grant; Division Of Environmental Biology; Direct For Biological Sciences [1543654] Funding Source: National Science Foundation</t>
  </si>
  <si>
    <t>National Science Foundation(National Science Foundation (NSF)); American Museum of Natural History Lerner-Grey Marine Research Grant; Division Of Environmental Biology; Direct For Biological Sciences(National Science Foundation (NSF)NSF - Directorate for Biological Sciences (BIO))</t>
  </si>
  <si>
    <t>I thank the following people and institutions for providing specimens and tissue loans used in this study: A. Bentley (University of Kansas Biodiversity Institute, Lawrence, Kansas), HJ. Walker (Scripps Institution of Oceanography, San Diego, California), K. Hartel and A. Williston (Museum of Comparative Zoology, Cambridge, Massachusetts), K. Swagel and S. Mochel (The Field Museum, Chicago, Illinois), M. Miya (Natural History Museum and Institute, Chiba, Japan), and A. Graham (Commonwealth Scientific and Industrial Research Organization, Hobart, Australia). Funding for this work was provided by the National Science Foundation (DEB 1060869, DEB 1258141) and the American Museum of Natural History Lerner-Grey Marine Research Grant. Photographs of specimens from the Museum of Comparative Zoology are President and Fellows of Harvard University.</t>
  </si>
  <si>
    <t>AMER SOC ICHTHYOLOGISTS &amp; HERPETOLOGISTS</t>
  </si>
  <si>
    <t>MIAMI</t>
  </si>
  <si>
    <t>MAUREEN DONNELLY, SECRETARY FLORIDA INT UNIV BIOLOGICAL SCIENCES, 11200 SW 8TH STREET, MIAMI, FL 33199 USA</t>
  </si>
  <si>
    <t>0045-8511</t>
  </si>
  <si>
    <t>1938-5110</t>
  </si>
  <si>
    <t>Copeia</t>
  </si>
  <si>
    <t>10.1643/CI-14-139</t>
  </si>
  <si>
    <t>CF3RD</t>
  </si>
  <si>
    <t>WOS:000352465300008</t>
  </si>
  <si>
    <t>Leis, JM; Meyer, O; Hay, AC; Gaither, MR</t>
  </si>
  <si>
    <t>Leis, Jeffrey M.; Meyer, Olivia; Hay, Amanda C.; Gaither, Michelle R.</t>
  </si>
  <si>
    <t>A Coral-reef Fish with Large, Fast, Conspicuous Larvae and Small, Cryptic Adults (Teleostei: Apogonidae)</t>
  </si>
  <si>
    <t>SUSTAINED SWIMMING ABILITIES; GREAT-BARRIER-REEF; ONTOGENY; DISPERSAL; BEHAVIOR; LAGOON; PISCES; CONNECTIVITY; AUSTRALIA; DURATION</t>
  </si>
  <si>
    <t>Settlement-stage larvae of the widespread apogonid Gymnapogon urospilotus are described and illustrated from specimens captured with crest nets at Moorea, Society Islands. Identification was confirmed by COI mitochondria! DNA analysis. Otoliths of the larvae had no settlement mark, indicating they had not previously settled, and 33-40 presumed daily rings. The larvae are transparent with large orange/red blotches on the tail, and limited melanophores on head and pelvic fins. The larvae have very long pelvic-fin rays (40-50% standard length [SL]) with black tips and contrasting white bands, and limited inter-ray membranes. They are apparently unique among teleost fishes in having a strongly serrate urohyal. These serrations disappear after settlement. Critical speed of the larvae was measured in a swimming chamber. Larvae of G. urospilotus are the largest (19-24 mm SL), oldest (33-40 days), and fastest (&gt;36 cm s(-1)) known apogonids at settlement. Photos of larvae of G. urospitotus from Guam, Ryukyu Islands, and Indonesia reveal they swim 2-3 m above coral reefs at night with the pelvic rays spread wide, presumably looking for settlement habitat. They are very conspicuous and may be mimicking small lionfish. In contrast, adults have never been seen alive on the reef. The largest reported adult G. urospitotus is 37 mm SL, which implies that this species undergoes a major portion of its growth as a pelagic larva, a life history pattern that also occurs in some reef gobiids.</t>
  </si>
  <si>
    <t>[Leis, Jeffrey M.; Hay, Amanda C.] Australian Museum Res Inst, Ichthyol, Sydney, NSW 2010, Australia; [Leis, Jeffrey M.] Univ Perpignan, CNRS EPHE, USR 3278, CRIOBE, F-66860 Perpignan, France; [Leis, Jeffrey M.] Univ Perpignan, CBETM, F-66860 Perpignan, France; [Leis, Jeffrey M.] Univ Tasmania, Inst Marine &amp; Antarctic Studies, Hobart, Tas 7000, Australia; [Meyer, Olivia] Univ Sydney, Dept Biol Sci, Sydney, NSW 2006, Australia; [Gaither, Michelle R.] Hawaii Inst Marine Biol, Kaneohe, HI 96744 USA</t>
  </si>
  <si>
    <t>Australian Museum; Universite PSL; Ecole Pratique des Hautes Etudes (EPHE); Centre National de la Recherche Scientifique (CNRS); CNRS - Institute of Ecology &amp; Environment (INEE); Universite Perpignan Via Domitia; Universite Perpignan Via Domitia; University of Tasmania; University of Sydney</t>
  </si>
  <si>
    <t>Leis, JM (corresponding author), Australian Museum Res Inst, Ichthyol, 6 Coll St, Sydney, NSW 2010, Australia.</t>
  </si>
  <si>
    <t>jeff.leis@austmus.gov.au; liv.meyer@live.com; amanda.hay@austmus.gov.au; michellergaither@gmail.com</t>
  </si>
  <si>
    <t>Leis, Jeffrey M/E-7502-2012; Leis, Jeffrey M/JCE-0397-2023; Gaither, Michelle/J-3137-2015</t>
  </si>
  <si>
    <t>Leis, Jeffrey M/0000-0003-0603-3447; Leis, Jeffrey M/0000-0003-0603-3447; Hay, Amanda/0000-0002-1335-2342; Gaither, Michelle/0000-0002-0371-5621</t>
  </si>
  <si>
    <t>Australian Academy of Science [USR 3278 CNRS-EPHE]; University of Hawaii Sea Grant [NA05OAR4171048]</t>
  </si>
  <si>
    <t>Australian Academy of Science; University of Hawaii Sea Grant</t>
  </si>
  <si>
    <t>The portions of the study in Moorea were undertaken while JML was Visiting Professor at Laboratoire Ecosystemes Aquatiques Tropicaux et Mediterraneens, USR 3278 CNRS-EPHE, Universite de Perpignan, and was supported by a grant from the Australian Academy of Science. The research was done under permits issued by le Delegue Regional a la recherche et a la technologie de la Polynesie francaise. MRG was supported by University of Hawaii Sea Grant under grant No. NA05OAR4171048. Thanks to: R. Galzin at EPHE for making it all happen in Moorea, Y. Chancerelle and the CRIOBE staff for assistance, D. Lecchini for the loan of his crest net, A. Hicks for field and lab assistance, S. Bullock for field, lab, and editorial assistance, and for inking Figure 2, T. Fraser for advice on apogonid systematics and information on types, K. Luckenbill for information on and photo of the ANSP holotype of Acanthapogon vanderbilti, A. Fowler for helping OM with otolith reading at W. Figueria's University of Sydney laboratory, A. King (Australian Museum) for DNA extraction and sequencing of the Lizard Island Gymnapogon, A. Nonaka for translating Japanese text, K. Tachihara for information on larvae from Okinawa, E. Holm and R. Winterbottom for information on and photo of ROM specimens, R. Meyers, H. Senou, and K. Matsuura for help in obtaining in situ images of larvae and permission to use them, D. Johnson for comments on the manuscript, and F. Baensch and H. Kobayashi for providing in situ color images.</t>
  </si>
  <si>
    <t>10.1643/CG-14-119</t>
  </si>
  <si>
    <t>WOS:000352465300010</t>
  </si>
  <si>
    <t>Namsaraev, ZB</t>
  </si>
  <si>
    <t>Namsaraev, Z. B.</t>
  </si>
  <si>
    <t>Ecological niches of Antarctic phototrophic communities during global glaciation</t>
  </si>
  <si>
    <t>MICROBIOLOGY</t>
  </si>
  <si>
    <t>Antarctica; phototrophic microorganisms; ecological niche; glaciations</t>
  </si>
  <si>
    <t>NEOPROTEROZOIC SNOWBALL EARTH; DON-JUAN POND; DIVERSITY; ALGAE; ENVIRONMENT; MOUNTAINS; IMPACT; LIFE; LAKE; ICE</t>
  </si>
  <si>
    <t>According to paleontological data, large-scale, global glaciations occurred repeatedly over the history of Earth. Such glaciations unavoidably resulted in a sharp decrease in the number of habitats suitable for development of phototrophic microorganisms, which mostly require sunlight. Molecular data indicate that some groups of Antarctic phototrophic microorganisms emerged before formation of the Antarctic ice sheet (30-45 Ma) and probably survived the subsequent glaciation maxima. Analysis of the data on the present-day occurrence of phototrophs in Antarctica revealed the presence of liquid water in a habitat to be the key factor for survival of phototrophic communities. At negative air temperatures, this requirement may be met either in warmer microniches (0 to 30A degrees C and higher) or in brines with freezing temperatures below zero (to -52A degrees C). Development of phototrophic communities in such habitats may indicate the theoretical possibility of existence of the niches favoring growth of phototrophic microorganisms during Precambrian global glaciations. This possibility should be considered in paleontological reconstructions of development of life on Earth.</t>
  </si>
  <si>
    <t>[Namsaraev, Z. B.] NRC Kurchatov Inst, Moscow 123182, Russia; [Namsaraev, Z. B.] Russian Acad Sci, Winogradsky Inst Microbiol, Moscow 117312, Russia</t>
  </si>
  <si>
    <t>National Research Centre - Kurchatov Institute; Russian Academy of Sciences; Research Center of Biotechnology RAS</t>
  </si>
  <si>
    <t>Namsaraev, ZB (corresponding author), NRC Kurchatov Inst, Pl Akad Kurchatova 1, Moscow 123182, Russia.</t>
  </si>
  <si>
    <t>zorigto@gmail.com</t>
  </si>
  <si>
    <t>Namsaraev, Zorigto/A-3696-2014</t>
  </si>
  <si>
    <t>Namsaraev, Zorigto/0000-0002-9701-5721</t>
  </si>
  <si>
    <t>0026-2617</t>
  </si>
  <si>
    <t>1608-3237</t>
  </si>
  <si>
    <t>MICROBIOLOGY+</t>
  </si>
  <si>
    <t>10.1134/S0026261715020083</t>
  </si>
  <si>
    <t>CF3XL</t>
  </si>
  <si>
    <t>WOS:000352482300003</t>
  </si>
  <si>
    <t>Gao, CC; Lu, Y; Zhang, ZZ; Shi, HL; Zhu, CD</t>
  </si>
  <si>
    <t>Gao Chun-Chun; Lu Yang; Zhang Zi-Zhan; Shi Hong-Ling; Zhu Chuan-Dong</t>
  </si>
  <si>
    <t>Ice sheet mass balance in Antarctica measured by GRACE and its uncertainty</t>
  </si>
  <si>
    <t>Antarctic Ice Sheet; Mass balance; GRACE; Uncertainty; Post-processing method</t>
  </si>
  <si>
    <t>GLACIAL ISOSTATIC-ADJUSTMENT; GRAVITY-FIELD; SNOW ACCUMULATION; ELEVATION CHANGES; VARIABILITY; GRAVIMETRY; ERRORS; MODEL; EARTH</t>
  </si>
  <si>
    <t>As a critical component of the cryosphere, the Antarctic Ice Sheet (AIS) has strong connection with the sea level change and global climate change. Accurate quantification of the current spatial and temporal mass changes of AIS is very important to improve our understanding and prediction of its response and contribution to global change. The Gravity Recovery and Climate Experiment (GRACE) mission has provided new and useful observations to detect AIS mass balance since its launch in March 2002. There are significant differences among the GRACE estimates of the total mass change. The big difference is due in part to considerable uncertainty in the accuracy of glacial isostatic adjustment (GIA) signals, and also due to use of different time spans, different versions of GRACE products and different GRACE post-processing methods. Using 124 monthly GRACE gravity field solutions of Release 5 (RL05) produced at the Center for Space Research (CSR) of the University of Texas, Austin, spanning the interval from January of 2003 through December of 2013, the mass balance of AIS is estimated by two post-processing ways: the optimizing averaging kernel method ( also named VW) and the combined filter method (the first step is called P5M11 decorrelation filter to remove correlated noise by fitting and subtracting a fifth-order polynomial to even and odd coefficient pairs at spherical harmonic orders eleven and above, the second involves smoothing with a 250 km Gaussian filter). A detailed error analysis is provided including consideration of leakage-in, leakage-out, and errors in modeling mass variations of the atmosphere, ocean and GIA. In addition, a statistical model selection criterion is employed in computation of trends from mass variation time series, and the impact of K1 tidal alias is analyzed. The results reveal that during 2003-2013, the total mass of the ice sheet decreased significantly at change rates of -163 +/- 150, -129 +/- 41 and -81 +/- 27 Gt/a for three GIA models: GW13, IJ05, W12a. There was a distinct region with mass loss in the Amundsen Sea Embayment of West Antarctic ice sheet and the Northern Antarctic Peninsula, while an increasing mass gain was concentrated in the Dronning Maud Land and the Enderby Land of East Antarctic ice sheet. Furthermore, we use hypotheses testing and information criteria evaluation to select the best trend model fitting together with sinusoidal functions of annual (365. 0-d) and semi-annual (181. 0-d) signals and the S2 (161. 0-d), K1 (2725.4-d) and K2 (1362.7-d) tidal aliases. We found that K1 tidal alias has a potential to falsify the acceleration estimates. Although it is not good enough to confirm the K1 tidal alias based on an eleven-year time-series, the impact of K1 tidal alias deserves further notice. By comparing the quantities of total mass balance computed by the two different processing methods and three different GIA models in the Antarctica, we find that the differences are less than 15 Gt/a between two processing methods, but the largest difference is about 80 Gt/a between different GIA models. The analysis of the uncertainty of GRACE's estimation of AIS mass balance indicates that the largest source of error is the GIA correction. Our results indicate that during January 2003 to December 2013 the contribution of AIS to sea level rise was about +0.34 +/- 0.11 mm/a. Significant mass loss increases were limited to the basin that contains Pine Island Glacier along the Amundsen Sea coast of West Antarctica. During the analyzed time period, the total mass acceleration was -8 +/- 10 Gt/a(2), equivalent to +0.02 +/- 0.03 mm/a(2) sea level rise. Results of analysis point to the conclusion that when using a given GRACE data set with same error correction, the differences of total mass changes are not highly dependent on which post-processing strategies to be used but on the different GIA models. Therefore, a more accurate GIA model is the key for determining Antarctic ice mass change from GRACE in the present and future.</t>
  </si>
  <si>
    <t>[Gao Chun-Chun; Lu Yang; Zhang Zi-Zhan; Shi Hong-Ling; Zhu Chuan-Dong] Chinese Acad Sci, Inst Geodesy &amp; Geophys, State Key Lab Geodesy &amp; Earths Dynam, Wuhan 430077, Peoples R China; [Gao Chun-Chun; Zhu Chuan-Dong] Univ Chinese Acad Sci, Beijing 100049, Peoples R China; [Zhang Zi-Zhan] Univ Texas Austin, Ctr Space Res, Austin, TX 78759 USA; [Shi Hong-Ling] State Bur Surveying &amp; Mapping, Key Lab Polar Surveying &amp; Mapping Sci, Wuhan 430079, Peoples R China; [Shi Hong-Ling] Key Lab Geoinformat Natl Adm Surveying Mapping &amp;, Beijing 100830, Peoples R China</t>
  </si>
  <si>
    <t>Chinese Academy of Sciences; Innovation Academy for Precision Measurement Science &amp; Technology, CAS; Chinese Academy of Sciences; University of Chinese Academy of Sciences, CAS; University of Texas System; University of Texas Austin</t>
  </si>
  <si>
    <t>Lu, Y (corresponding author), Chinese Acad Sci, Inst Geodesy &amp; Geophys, State Key Lab Geodesy &amp; Earths Dynam, Wuhan 430077, Peoples R China.</t>
  </si>
  <si>
    <t>gaocc@asch.whigg.ac.cn; luyang@whigg.ac.cn</t>
  </si>
  <si>
    <t>zhu, chuandong/JSK-3835-2023; Gao, Chunchun/AAD-9621-2019; Zhang, Zizhan/F-5705-2016</t>
  </si>
  <si>
    <t>10.6038/cjg20150308</t>
  </si>
  <si>
    <t>CE9TG</t>
  </si>
  <si>
    <t>WOS:000352185700008</t>
  </si>
  <si>
    <t>Martins, SS; Travassos, JM</t>
  </si>
  <si>
    <t>Martins, Saulo S.; Travassos, Jandyr M.</t>
  </si>
  <si>
    <t>Interpolating wide-aperture ground-penetrating radar beyond aliasing</t>
  </si>
  <si>
    <t>GEOPHYSICS</t>
  </si>
  <si>
    <t>SEISMIC-TRACE INTERPOLATION; IMAGE-WAVE REMIGRATION; VELOCITY ANALYSIS; WATER-CONTENT; RADON-TRANSFORM; GPR DATA; MIGRATION; GLACIER; ICE; RECONSTRUCTION</t>
  </si>
  <si>
    <t>Most of the data acquisition in ground-penetrating radar is done along fixed-offset profiles, in which velocity is known only at isolated points in the survey area, at the locations of variable offset gathers such as a common midpoint. We have constructed sparse, heavily aliased, variable offset gathers from several fixed-offset, collinear, profiles. We interpolated those gathers to produce properly sampled counterparts, thus pushing data beyond aliasing. The interpolation methodology estimated nonstationary, adaptive, filter coefficients at all trace locations, including at the missing traces' corresponding positions, filled with zeroed traces. This is followed by an inversion problem that uses the previously estimated filter coefficients to insert the new, interpolated, traces between the original ones. We extended this two-step strategy to data interpolation by employing a device in which we used filter coefficients from a denser variable offset gather to interpolate themissing traces on a few independently constructed gathers. We applied the methodology on synthetic and real data sets, the latter acquired in the interior of the Antarctic continent. The variable-offset interpolated data opened the door to prestack processing, making feasible the production of a prestack time migrated section and a 2D velocity model for the entire profile. Notwithstanding, we have used a data set obtained in Antarctica; there is no reason the same methodology could not be used somewhere else.</t>
  </si>
  <si>
    <t>[Martins, Saulo S.] Natl Observ, Dept Geophys, Rio De Janeiro, Brazil; [Travassos, Jandyr M.] Univ Fed Rio de Janeiro, COPPE, Rio de Janeiro, Brazil</t>
  </si>
  <si>
    <t>Universidade Federal do Rio de Janeiro</t>
  </si>
  <si>
    <t>Martins, SS (corresponding author), Univ Alberta, Dept Phys, Edmonton, AB, Canada.</t>
  </si>
  <si>
    <t>ssmsaulo@gmail.com; wavefrontgeo@gmail.com</t>
  </si>
  <si>
    <t>CNPq; FAPERJ; Brazilian Antarctic Program (PROANTAR); CNPq, the Brazilian Research Funding Agency</t>
  </si>
  <si>
    <t>CNPq(Conselho Nacional de Desenvolvimento Cientifico e Tecnologico (CNPQ)); FAPERJ(Fundacao Carlos Chagas Filho de Amparo a Pesquisa do Estado do Rio De Janeiro (FAPERJ)); Brazilian Antarctic Program (PROANTAR); CNPq, the Brazilian Research Funding Agency</t>
  </si>
  <si>
    <t>We thank S. Fomel and Y. Liu for their most appreciated help on using their RNA methodology. We fully and warmly acknowledge the decisive help of four reviewers and two associate editors of GEOPHYSICS in improving the readability of the paper and drawing our attention to parts of the text that were not so clear or even unintentionally inaccurate, allowing us to improve the final result a great deal. S. S. Martins is a recipient of a CNPq scholarship, and J. M. Travassos currently holds a CNPq research grant and a FAPERJ visiting scholar grant. The fieldwork was fully supported by the Brazilian Antarctic Program (PROANTAR) and the CNPq, the Brazilian Research Funding Agency.</t>
  </si>
  <si>
    <t>SOC EXPLORATION GEOPHYSICISTS</t>
  </si>
  <si>
    <t>TULSA</t>
  </si>
  <si>
    <t>8801 S YALE ST, TULSA, OK 74137 USA</t>
  </si>
  <si>
    <t>0016-8033</t>
  </si>
  <si>
    <t>1942-2156</t>
  </si>
  <si>
    <t>Geophysics</t>
  </si>
  <si>
    <t>H13</t>
  </si>
  <si>
    <t>H22</t>
  </si>
  <si>
    <t>10.1190/GEO2014-0117.1</t>
  </si>
  <si>
    <t>CF0FO</t>
  </si>
  <si>
    <t>WOS:000352218700034</t>
  </si>
  <si>
    <t>Santos, AF; Pires, F; Jesus, HE; Santos, ALS; Peixoto, R; Rosado, AS; D'Avila-Levy, CM; Branquinha, MH</t>
  </si>
  <si>
    <t>Santos, Anderson F.; Pires, Fabiano; Jesus, Hugo E.; Santos, Andre L. S.; Peixoto, Raquel; Rosado, Alexandre S.; D'Avila-Levy, Claudia M.; Branquinha, Marta H.</t>
  </si>
  <si>
    <t>Detection of proteases from Sporosarcina aquimarina and Algoriphagus antarcticus isolated from Antarctic soil</t>
  </si>
  <si>
    <t>ANAIS DA ACADEMIA BRASILEIRA DE CIENCIAS</t>
  </si>
  <si>
    <t>Algoriphagus antarcticus; Antarctica; Sporosarcina aquimarina; Protease</t>
  </si>
  <si>
    <t>EXTRACELLULAR PROTEASES; PSYCHROPHILIC ENZYMES; MICROBIAL DIVERSITY; TEMPERATURE; BACTERIA; EXTREMOPHILES; NOV.</t>
  </si>
  <si>
    <t>Two psychrophilic bacterial samples were isolated from King George Island soil, in Antarctica. The phylogenetic analysis based on the 16S rRNA (rrs) gene led to the correlation with the closest related isolates as Sporosarcina aquimarina (99%) and Algoriphagus antarcticus (99%), with query coverage of 99% and 98%, respectively. The spent culture media from both isolates displayed proteolytic activities detected by sodium dodecyl sulfate polyacrylamide gel electrophoresis containing gelatin as protein substrate. Under the employed conditions, Sporosarcina aquimarina showed a 55 kDa protease with the best activity detected at pH 7.0 and at 27 degrees C. Algoriphagus antarcticus also showed a single extracellular protease, however its molecular mass was around 90kDa and its best activity was detected at pH 9.0 and at 37 degrees C. The proteases from both isolates were inhibited by 1,10-phenanthroline and EDTA, two metalloprotease inhibitors. This is the first record of protease detection in both species, and our results may contribute to broaden the basic knowledge of proteases from the Antarctica environment and may help prospecting future biotechnological applications of these enzymes.</t>
  </si>
  <si>
    <t>[Santos, Anderson F.; Pires, Fabiano; Jesus, Hugo E.; Santos, Andre L. S.; Peixoto, Raquel; Rosado, Alexandre S.; Branquinha, Marta H.] Univ Fed Rio de Janeiro, Dept Microbiol Geral, Inst Microbiol Paulo Goes, BR-21941902 Rio De Janeiro, RJ, Brazil; [Santos, Anderson F.; Santos, Andre L. S.] Univ Fed Rio de Janeiro, Inst Quim, Programa Posgrad Bioquim, BR-21941909 Rio De Janeiro, RJ, Brazil; [D'Avila-Levy, Claudia M.] Fundacao Oswaldo Cruz, Inst Oswaldo Cruz, Lab Biol Mol &amp; Doencas Endem, BR-21040360 Rio De Janeiro, RJ, Brazil</t>
  </si>
  <si>
    <t>Universidade Federal do Rio de Janeiro; Universidade Federal do Rio de Janeiro; Fundacao Oswaldo Cruz</t>
  </si>
  <si>
    <t>Branquinha, MH (corresponding author), Univ Fed Rio de Janeiro, Dept Microbiol Geral, Inst Microbiol Paulo Goes, Av Carlos Chagas Filho 373, BR-21941902 Rio De Janeiro, RJ, Brazil.</t>
  </si>
  <si>
    <t>mbranquinha@micro.ufrj.br</t>
  </si>
  <si>
    <t>Branquinha, Marta/AAA-3084-2019; Rosado, Alexandre Soares/G-1955-2012; Peixoto, Raquel/V-2554-2019; Santos, André/Z-5853-2019; d'Avila-Levy, Claudia M/O-7192-2014</t>
  </si>
  <si>
    <t>Rosado, Alexandre Soares/0000-0001-5135-1394; Santos, André/0000-0003-0821-8592; Peixoto, Raquel/0000-0002-9536-3132; d'Avila-Levy, Claudia M/0000-0001-8042-4695</t>
  </si>
  <si>
    <t>Programa Antartico Brasileiro (PROANTAR), IPY Activity MIDIAPI Microbial Diversity of Terrestrial and Maritime ecosystems in Antarctic Peninsula [403, 520194/2006-3]; Coordenacao de Aperfeicoamento de Pessoal de Nivel Superior (CAPES); Fundacao Carlos Chagas Filho de Amparo a Pesquisa do Estado do Rio de Janeiro (FAPERJ); Conselho Nacional de Desenvolvimento Cientifico e Tecnologico (CNPq)</t>
  </si>
  <si>
    <t>Programa Antartico Brasileiro (PROANTAR), IPY Activity MIDIAPI Microbial Diversity of Terrestrial and Maritime ecosystems in Antarctic Peninsula; Coordenacao de Aperfeicoamento de Pessoal de Nivel Superior (CAPES)(Coordenacao de Aperfeicoamento de Pessoal de Nivel Superior (CAPES)); Fundacao Carlos Chagas Filho de Amparo a Pesquisa do Estado do Rio de Janeiro (FAPERJ)(Fundacao Carlos Chagas Filho de Amparo a Pesquisa do Estado do Rio De Janeiro (FAPERJ)); Conselho Nacional de Desenvolvimento Cientifico e Tecnologico (CNPq)(Conselho Nacional de Desenvolvimento Cientifico e Tecnologico (CNPQ))</t>
  </si>
  <si>
    <t>This study received financial and logistic support from the Programa Antartico Brasileiro (PROANTAR) as part of the IPY Activity # 403 MIDIAPI Microbial Diversity of Terrestrial and Maritime ecosystems in Antarctic Peninsula (520194/2006-3) and financial support from Coordenacao de Aperfeicoamento de Pessoal de Nivel Superior (CAPES), Fundacao Carlos Chagas Filho de Amparo a Pesquisa do Estado do Rio de Janeiro (FAPERJ) and Conselho Nacional de Desenvolvimento Cientifico e Tecnologico (CNPq).</t>
  </si>
  <si>
    <t>ACAD BRASILEIRA DE CIENCIAS</t>
  </si>
  <si>
    <t>RIO JANEIRO</t>
  </si>
  <si>
    <t>RUA ANFILOFIO DE CARVALHO, 29, 3 ANDAR, 20030-060 RIO JANEIRO, BRAZIL</t>
  </si>
  <si>
    <t>0001-3765</t>
  </si>
  <si>
    <t>1678-2690</t>
  </si>
  <si>
    <t>AN ACAD BRAS CIENC</t>
  </si>
  <si>
    <t>An. Acad. Bras. Cienc.</t>
  </si>
  <si>
    <t>10.1590/0001-3765201520130519</t>
  </si>
  <si>
    <t>CE1GR</t>
  </si>
  <si>
    <t>Green Submitted, gold, Green Published</t>
  </si>
  <si>
    <t>WOS:000351560600011</t>
  </si>
  <si>
    <t>Woods, DR; Delves, SK; Britland, SE; Shaw, A; Brown, PE; Bentley, C; Hornby, S; Burnett, A; Lanham-New, SA; Fallowfield, JL</t>
  </si>
  <si>
    <t>Woods, David R.; Delves, Simon K.; Britland, Sophie E.; Shaw, Anneliese; Brown, Piete E.; Bentley, Conor; Hornby, Simon; Burnett, Anne; Lanham-New, Sue A.; Fallowfield, Joanne L.</t>
  </si>
  <si>
    <t>Nutritional status and the gonadotrophic response to a polar expedition</t>
  </si>
  <si>
    <t>APPLIED PHYSIOLOGY NUTRITION AND METABOLISM</t>
  </si>
  <si>
    <t>gonadotrophic and thyroid hormones; nutrition; energy balance; Antarctica; cold; BMI</t>
  </si>
  <si>
    <t>TESTOSTERONE LEVELS; IGF-I; SERUM; MEN; PROLACTIN; PERFORMANCE; EXERCISE; HORMONES; PROTEIN; HUMANS</t>
  </si>
  <si>
    <t>Polar expeditions have been associated with changes in the hypothalamic-pituitary-testicular axis consistent with central hypogonadism (i. e., decreased testosterone, luteinising hormone (LH), and follicle stimulating hormone (FSH)). These changes are typically associated with body mass loss. Our aim was to evaluate whether maintenance of body mass during a polar expedition could mitigate against the development of central hypogonadism. Male participants (n = 22) from a 42-day expedition (British Services Antarctic Expedition 2012) volunteered to take part in the study. Body mass, body composition, and strength data were recorded pre-and postexpedition in addition to assessment of serum testosterone, LH, FSH, thyroid hormones, insulin-like growth factor 1 (IGF-1), and trace elements. Energy provision and energy expenditure were assessed at mid-and end-expedition. Daily energy provision was 6335 +/- 149 kcal.day(-1). Estimated energy expenditure midexpedition was 5783 +/- 1690 kcal.day(-1). Body mass and percentage body fat did not change between pre-and postexpedition. Total testosterone (nmol.L-1) (14.0 +/- 4.9 vs. 17.3 +/- 4.0, p = 0.006), calculated free testosterone (pmol.L-1) (288 +/- 82 vs. 350 hypothalamic- 70, p = 0.003), and sex hormone binding globulin (nmol.L-1) (33 +/- 12 vs. 36 +/- 11, p = 0.023) concentrations increased. LH and FSH remained unchanged. Thyroid stimulating hormone (TSH; IU.L-1) (2.1 +/- 0.8 vs. 4.1 +/- 2.1, p &lt; 0.001) and free triiodothyronine (FT3; IU.L-1) (5.4 +/- 0.4 vs. 6.1 +/- 0.8, p &lt; 0.001) increased while free thyroxine, IGF-1, and trace elements remained unchanged. Hand-grip strength was reduced postexpedition but static lift strength was maintained. Maintenance of body mass and nutritional status appeared to negate the central hypogonadism previously reported from polar expeditions. The elevated TSH and free FT3 were consistent with a previously reported polar T3 syndrome.</t>
  </si>
  <si>
    <t>[Woods, David R.] Royal Victoria Infirm, Newcastle Upon Tyne NE1 4LP, Tyne &amp; Wear, England; [Woods, David R.] Newcastle Univ, Newcastle Upon Tyne NE1 4LP, Tyne &amp; Wear, England; [Woods, David R.] Leeds Metropolitan Univ, Leeds LS6 3QS, W Yorkshire, England; [Delves, Simon K.; Britland, Sophie E.; Shaw, Anneliese; Brown, Piete E.; Fallowfield, Joanne L.] Inst Naval Med, Gosport PO12 2DL, Hants, England; [Bentley, Conor] Queen Elizabeth Hosp, Univ Hosp Birmingham NHS Fdn Trust, Queen Elizabeth Hosp Res &amp; Dev, NIHR SRMRC,Trauma Res,Queen Elizabeth Med Ctr, Birmingham B15 2TH, W Midlands, England; [Hornby, Simon] Air Command, High Wycombe HP14 4UE, Bucks, England; [Burnett, Anne] Royal Victoria Infirm, Dept Clin Biochem, Newcastle Upon Tyne NE1 4LP, Tyne &amp; Wear, England; [Lanham-New, Sue A.] Univ Surrey, Fac Hlth &amp; Med Sci, Nutrit Sci Dept, Guildford GU2 7XH, Surrey, England</t>
  </si>
  <si>
    <t>Newcastle University - UK; Newcastle University - UK; Leeds Beckett University; University of Birmingham; Birmingham City University; Newcastle University - UK; University of Surrey</t>
  </si>
  <si>
    <t>Woods, DR (corresponding author), Royal Victoria Infirm, Queen Victoria Rd, Newcastle Upon Tyne NE1 4LP, Tyne &amp; Wear, England.</t>
  </si>
  <si>
    <t>DoctorDRWoods@aol.com</t>
  </si>
  <si>
    <t>Lanham-New, Susan/0000-0003-3153-6345; Bentley, Conor/0000-0003-3021-4838</t>
  </si>
  <si>
    <t>1715-5312</t>
  </si>
  <si>
    <t>1715-5320</t>
  </si>
  <si>
    <t>APPL PHYSIOL NUTR ME</t>
  </si>
  <si>
    <t>Appl. Physiol. Nutr. Metab.</t>
  </si>
  <si>
    <t>10.1139/apnm-2014-0418</t>
  </si>
  <si>
    <t>Nutrition &amp; Dietetics; Physiology; Sport Sciences</t>
  </si>
  <si>
    <t>CE6LX</t>
  </si>
  <si>
    <t>WOS:000351949000012</t>
  </si>
  <si>
    <t>Robinson, LM; Hobday, AJ; Possingham, HP; Richardson, AJ</t>
  </si>
  <si>
    <t>Robinson, L. M.; Hobday, A. J.; Possingham, H. P.; Richardson, A. J.</t>
  </si>
  <si>
    <t>Trailing edges projected to move faster than leading edges for large pelagic fish habitats under climate change</t>
  </si>
  <si>
    <t>Trailing edge; Leading edge; Range shifts; Climate change; Latitudinal temperature gradient; Spatial temperature gradient; Large pelagic fish</t>
  </si>
  <si>
    <t>KATSUWONUS-PELAMIS; VERTICAL MOVEMENTS; POLEWARD SHIFTS; THUNNUS-OBESUS; RANGE; MARINE; TUNA; DISTRIBUTIONS; ECOLOGY; IMPACTS</t>
  </si>
  <si>
    <t>There is mounting evidence to suggest that many species are shifting their ranges in concordance with the climate velocity of their preferred environmental conditions/habitat While accelerated rates in species' range shifts have been noted in areas of intense warming, due to climate change, few studies have considered the influence that both spatial temperature gradients and rates of warming (i.e., the two components of climate velocity) could have on rates of movement in species habitats. We compared projected shifts in the core habitat of nine large pelagic fish species (five tuna, two billfish and two shark species) off the east coast of Australia at different spatial points (centre, leading and trailing edges of the core habitat), during different seasons (summer and winter), in the near-(2030) and long-term (2070), using independent species distribution models and habitat suitability models. Model projections incorporated depth integrated temperature data from 11 climate models with a focus on the IPCC SRES A2 general emission scenario. Projections showed a number of consistent patterns: southern (poleward) shifts in all species' core habitats; trailing edges shifted faster than leading edges; shifts were faster by 2070 than 2030; and there was little difference in shifts among species and between seasons. Averaging across all species and climate models, rates of habitat shifts for 2030 were 45-60 km decade(-1) at the trailing edge, 40-45 km decade(-1) at the centre, and 20-30 km decade(-1) at the leading edge. Habitat shifts for 2070 were 60-70 km decade(-1) at the trailing edge, 50-55 km decade(-1) at the centre, and 30-40 km decade(-1) at the leading edge. It is often assumed that the leading edge of a species range will shift faster than the trailing edge, but there are few projections or observations in large pelagic fish to validate this assumption. We found that projected shifts at the trailing edge were greater than at the centre and leading of core habitats in all large pelagic fish included in our study. Faster shifts at species trailing edges were due to weaker spatial gradients in temperature in the north than in the south of the study region, in conjunction with relatively constant rates of warming across latitudes. Rather than assuming that leading edges will always move faster, this study suggests that spatial gradients of temperature could be important in determining differences in shifts at different points in species core habitats. (C) 2014 Elsevier Ltd. All rights reserved.</t>
  </si>
  <si>
    <t>[Robinson, L. M.; Richardson, A. J.] CSIRO Marine &amp; Atmospher Res, Climate Adaptat Flagship, Ecosci Precinct, Brisbane, Qld 4001, Australia; [Robinson, L. M.; Possingham, H. P.; Richardson, A. J.] Univ Queensland, Sch Biol Sci, ARC Ctr Excellence Environm Decis, Brisbane, Qld 4072, Australia; [Hobday, A. J.] CSIRO Marine &amp; Atmospher Res, Climate Adaptat Flagship, Hobart, Tas 7000, Australia; [Richardson, A. J.] Univ Queensland, Sch Math &amp; Phys, Ctr Applicat Nat Resource Math CARM, St Lucia, Qld 4072, Australia; [Possingham, H. P.] Univ London Imperial Coll Sci Technol &amp; Med, Dept Life Sci, Ascot SL5 7PY, Berks, England</t>
  </si>
  <si>
    <t>Commonwealth Scientific &amp; Industrial Research Organisation (CSIRO); University of Queensland; ARC Centre of Excellence for Environmental Decisions; Commonwealth Scientific &amp; Industrial Research Organisation (CSIRO); University of Queensland; Imperial College London</t>
  </si>
  <si>
    <t>Robinson, LM (corresponding author), Univ Tasmania, Inst Marine &amp; Antarctic Studies, Private Bag 49, Hobart, Tas 7001, Australia.</t>
  </si>
  <si>
    <t>lucy.m.e.robinson@gmail.com</t>
  </si>
  <si>
    <t>Possingham, Hugh/B-1337-2008; Richardson, Anthony J/B-3649-2010; Hobday, Alistair/A-1460-2012; POSSINGHAM, HUGH/R-8310-2019</t>
  </si>
  <si>
    <t>Possingham, Hugh/0000-0001-7755-996X; Richardson, Anthony J/0000-0002-9289-7366; POSSINGHAM, HUGH/0000-0001-7755-996X; Robinson, Lucy/0000-0001-9324-401X</t>
  </si>
  <si>
    <t>CSIRO Climate Adaptation Flagship scholarship; Australian Research Grants [DP0879365, FT099164]; Australian Research Council [DP0879365] Funding Source: Australian Research Council</t>
  </si>
  <si>
    <t>CSIRO Climate Adaptation Flagship scholarship; Australian Research Grants; Australian Research Council(Australian Research Council)</t>
  </si>
  <si>
    <t>Catch data from the ETBF was supplied by AFMA and extraction of this data was assisted by Scott Cooper. David Griffith supplied the SynTS data and helpful advice was received from Paul Durack and Les Muir regarding GCM data. Discussions with Scott Foster on methods and comments on draft manuscripts from Chris Brown improved the quality of this work. This research is supported in part by a CSIRO Climate Adaptation Flagship scholarship and by the Australian Research Grants DP0879365 and FT099164. We appreciate the comments of two anonymous reviewers that improved the clarity of this contribution.</t>
  </si>
  <si>
    <t>10.1016/j.dsr2.2014.04.007</t>
  </si>
  <si>
    <t>CE6WK</t>
  </si>
  <si>
    <t>WOS:000351978700018</t>
  </si>
  <si>
    <t>Dell, JT; Wilcox, C; Matear, RJ; Chamberlain, MA; Hobday, AJ</t>
  </si>
  <si>
    <t>Dell, James T.; Wilcox, Chris; Matear, Richard J.; Chamberlain, Matthew A.; Hobday, Alistair J.</t>
  </si>
  <si>
    <t>Potential impacts of climate change on the distribution of longline catches of yellowfin tuna (Thunnus albacares) in the Tasman sea</t>
  </si>
  <si>
    <t>Sustainability science; Catch distribution model; Living marine resources; Prediction; Downscaled ocean model</t>
  </si>
  <si>
    <t>PACIFIC-OCEAN; EAST-COAST; MARINE; FISH; FISHERIES; HABITAT; SCALE; PROJECTIONS; ADAPTATION; MOVEMENTS</t>
  </si>
  <si>
    <t>The spatial distribution of living marine resources in the Tasman Sea is expected to shift due to the impacts of global climate change. Understanding the most likely future locations of valuable pelagic species will inform the sustainable harvest and management of species such as yellowfin tuna (YFT; Thunnus albacares). We estimate future upper ocean structure in the Tasman Sea, using both historical data and dynamically downscaled ocean projections for the 2060s, and apply a catch distribution model to estimate possible changes to the YFT catch in the eastern Australia domestic longline fishery. Both approaches project that locations with concentrated YFT catch in the Tasman Sea will shift poleward in response to likely climate change. By the 2060s, the core fishing areas are projected to have shifted both poleward and offshore of existing high catch areas. Shifts in the distribution and hence availability of this species may require future domestic fishing vessels to modify their fishing behaviors, which in turn may require social and economic adjustments. Crown Copyright (C) 2014 Published by Elsevier Ltd. All rights reserved.</t>
  </si>
  <si>
    <t>[Dell, James T.] Univ Tasmania, CSIRO, Inst Marine &amp; Antarctic Studies, Quantitat Marine Sci Program, Hobart, Tas 7005, Australia; [Dell, James T.; Wilcox, Chris; Matear, Richard J.; Chamberlain, Matthew A.; Hobday, Alistair J.] CSIRO Marine &amp; Atmospher Res, Hobart, Tas 7001, Australia</t>
  </si>
  <si>
    <t>Commonwealth Scientific &amp; Industrial Research Organisation (CSIRO); University of Tasmania; Commonwealth Scientific &amp; Industrial Research Organisation (CSIRO)</t>
  </si>
  <si>
    <t>Dell, JT (corresponding author), Univ Tasmania, CSIRO, Inst Marine &amp; Antarctic Studies, Quantitat Marine Sci Program, Hobart, Tas 7005, Australia.</t>
  </si>
  <si>
    <t>james.t.dell@gmail.com</t>
  </si>
  <si>
    <t>Hobday, Alistair/A-1460-2012; Dell, James/HJY-3621-2023; Wilcox, Chris/A-3585-2010; Chamberlain, Matthew/D-4805-2012; matear, richard/C-5133-2011</t>
  </si>
  <si>
    <t>matear, richard/0000-0002-3225-0800; Chamberlain, Matthew/0000-0002-3287-3282</t>
  </si>
  <si>
    <t>CSIRO; University of Tasmania; CSIRO, Australia Wealth from Oceans flagship</t>
  </si>
  <si>
    <t>CSIRO(Commonwealth Scientific &amp; Industrial Research Organisation (CSIRO)); University of Tasmania; CSIRO, Australia Wealth from Oceans flagship</t>
  </si>
  <si>
    <t>We appreciate the support of Rob Campbell, Scott Cooper and Jason Hartog in extracting and processing catch data, and to the Australian Fisheries Management Authority for original access to these data. Review by two anonymous reviewers improved the clarity of the results presented here. The first author was supported by a postgraduate scholarship under a quantitative marine science program (QMS) co-funded by CSIRO and University of Tasmania and the CSIRO, Australia Wealth from Oceans flagship.</t>
  </si>
  <si>
    <t>10.1016/j.dsr2.2014.07.002</t>
  </si>
  <si>
    <t>WOS:000351978700019</t>
  </si>
  <si>
    <t>Li, CJ; Ma, L; Mou, SL; Wang, YB; Zheng, Z; Liu, FM; Qi, XQ; An, ML; Chen, H; Miao, JL</t>
  </si>
  <si>
    <t>Li, Chongjie; Ma, Li; Mou, Shanli; Wang, Yibin; Zheng, Zhou; Liu, Fangming; Qi, Xiaoqing; An, Meiling; Chen, Hao; Miao, Jinlai</t>
  </si>
  <si>
    <t>Cyclobutane pyrimidine dimers photolyase from extremophilic microalga: Remarkable UVB resistance and efficient DNA damage repair</t>
  </si>
  <si>
    <t>MUTATION RESEARCH-FUNDAMENTAL AND MOLECULAR MECHANISMS OF MUTAGENESIS</t>
  </si>
  <si>
    <t>Chlamydomonas sp ICE-L; UV; Photolyase; Photo-reactivation</t>
  </si>
  <si>
    <t>SP ICE-L; HUMAN SKIN; EXPRESSION; APOPTOSIS; STRESS; PHOTOPROTECTION; GENE</t>
  </si>
  <si>
    <t>Bacteria living in the Antarctic region have developed several adaptive features for growth and survival under extreme conditions. Chlamydomonas sp. ICE-Lis well adapted to high levels of solar UV radiation. A putative photolyase was identified in the Chlamydomonas sp. ICE-L transcriptome. The complete cDNA sequence was obtained by RACE-PCR. This PHR encoding includes a polypeptide of 579 amino acids with clear photolyase signatures belonging to class II CPD-photolyases, sharing a high degree of homology with Chlamydomonas reinhardtii (68%). Real-time PCR was performed to investigate the potential DNA damage and responses following UVB exposure. CPD photolyase mRNA expression level increased over 50-fold in response to UVB radiation for 6 h. Using photolyase complementation assay, we demonstrated that DNA photolyase increased photo-repair more than 116-fold in Escherichia coil strain SY2 under 100 mu w/cm(2) UVB radiation. To determine whether photolyase is active in vitro, CPD photolyase was over-expressed. It was shown that pyrimidine dimers were split by the action of PHR2. This study reports the unique structure and high activity of the enzyme. These findings are relevant for further understanding of molecular mechanisms of photo-reactivation, and will accelerate the utilization of photolyase in the medical field. (C) 2015 Elsevier B.V. All rights reserved.</t>
  </si>
  <si>
    <t>[Li, Chongjie; Wang, Yibin; Zheng, Zhou; Liu, Fangming; Qi, Xiaoqing; An, Meiling; Chen, Hao; Miao, Jinlai] State Ocean Adm, Key Lab Marine Bioact Subst, Inst Oceanog 1, Qingdao 266061, Peoples R China; [Ma, Li] Chinese Acad Sci, Key Lab Biofuels, Qingdao Inst Bioenergy &amp; Bioproc Technol, Qingdao 266101, Peoples R China; [Ma, Li] Chinese Acad Sci, Shandong Prov Key Lab Energy Genet, Qingdao Inst Bioenergy &amp; Bioproc Technol, Qingdao 266101, Peoples R China; [Mou, Shanli] Chinese Acad Fishery Sci, Yellow Sea Fisheries Res Inst, Qingdao, Peoples R China; [Miao, Jinlai] State Key Lab Biol Fermentat Engn Beer Preparat, Qingdao, Peoples R China</t>
  </si>
  <si>
    <t>First Institute of Oceanography, Ministry of Natural Resources; Chinese Academy of Sciences; Qingdao Institute of Bioenergy &amp; Bioprocess Technology, CAS; Chinese Academy of Sciences; Qingdao Institute of Bioenergy &amp; Bioprocess Technology, CAS; Chinese Academy of Fishery Sciences; Yellow Sea Fisheries Research Institute, CAFS</t>
  </si>
  <si>
    <t>Miao, JL (corresponding author), State Ocean Adm, Key Lab Marine Bioact Subst, Inst Oceanog 1, Qingdao 266061, Peoples R China.</t>
  </si>
  <si>
    <t>wangyibin@fio.org.cn; miaojinlai@163.com</t>
  </si>
  <si>
    <t>Zheng, Zhou/JJD-0602-2023; Wang, Yibin/J-6584-2017; Chen, Hao/AAU-5365-2020</t>
  </si>
  <si>
    <t>Wang, Yibin/0000-0001-5278-7245;</t>
  </si>
  <si>
    <t>18th China Antarctic Project; National Natural Science Foundation of China [31200097, U1406402, 31200272]; Young Marine Science Foundation, SOA [2013106]; Fundamental Research Funds of the First Institute of Oceanography, SOA [2013G32]; Open Research Fund of Key Lab of Marine Bioactive Substance and Modern Analytical Technique, SOA [MBSMAT-2012-08]; Foundation of the Key Laboratory for Ecological Environment in Coastal Areas of the State Oceanic Administration [201112]; Open Research Fund of State Key Laboratory of Biological Fermentation Engineering of Beer [K2012007, K2012003]</t>
  </si>
  <si>
    <t>18th China Antarctic Project; National Natural Science Foundation of China(National Natural Science Foundation of China (NSFC)); Young Marine Science Foundation, SOA; Fundamental Research Funds of the First Institute of Oceanography, SOA; Open Research Fund of Key Lab of Marine Bioactive Substance and Modern Analytical Technique, SOA; Foundation of the Key Laboratory for Ecological Environment in Coastal Areas of the State Oceanic Administration; Open Research Fund of State Key Laboratory of Biological Fermentation Engineering of Beer</t>
  </si>
  <si>
    <t>This study was supported by the 18th China Antarctic Project, the National Natural Science Foundation of China (No. 31200097, No. U1406402 and No. 31200272), the Young Marine Science Foundation, SOA (No. 2013106), the Fundamental Research Funds of the First Institute of Oceanography, SOA (No. 2013G32), the Open Research Fund of Key Lab of Marine Bioactive Substance and Modern Analytical Technique, SOA (No. MBSMAT-2012-08), the Foundation of the Key Laboratory for Ecological Environment in Coastal Areas of the State Oceanic Administration (No. 201112), and theOpen Research Fund of State Key Laboratory of Biological Fermentation Engineering of Beer (in preparation) under grant No. K2012007 and No. K2012003.</t>
  </si>
  <si>
    <t>0027-5107</t>
  </si>
  <si>
    <t>1873-135X</t>
  </si>
  <si>
    <t>MUTAT RES-FUND MOL M</t>
  </si>
  <si>
    <t>Mutat. Res.-Fundam. Mol. Mech. Mutagen.</t>
  </si>
  <si>
    <t>10.1016/j.mrfmmm.2014.07.010</t>
  </si>
  <si>
    <t>Biotechnology &amp; Applied Microbiology; Genetics &amp; Heredity; Toxicology</t>
  </si>
  <si>
    <t>CE6WP</t>
  </si>
  <si>
    <t>WOS:000351979200006</t>
  </si>
  <si>
    <t>Ronikier, A; Lado, C</t>
  </si>
  <si>
    <t>Ronikier, Anna; Lado, Carlos</t>
  </si>
  <si>
    <t>Nivicolous Stemonitales from the Austral Andes: analysis of morphological variability, distribution and phenology as a first step toward testing the large-scale coherence of species and biogeographical properties</t>
  </si>
  <si>
    <t>MYCOLOGIA</t>
  </si>
  <si>
    <t>Amoebozoa; Argentina; Chile; Eumycetozoa; Myxogastria; SEM; species distribution; taxonomy</t>
  </si>
  <si>
    <t>ANTARCTIC MACQUARIE-ISLAND; NEW-ZEALAND; PYRENEES NOTES; MYXOMYCETE; DIVERSITY; MICROHABITAT; LAMPRODERMA; MOUNTAINS; TAXONOMY; AMERICA</t>
  </si>
  <si>
    <t>Nivicolous myxomycetes occur at the edge of spring-melting snow in mountainous areas. They are mostly considered cosmopolitan species morphologically and ecologically uniform across their entire distribution ranges. Thus, long-distance dispersal has been suggested to be the main mechanism shaping their ranges and geographical variability patterns. To test this hypothesis we conducted the first detailed analysis of morphological variability, occurrence frequency and phenology of nivicolous myxomycetes collected in the hitherto unexplored Austral Andes of South America (southern hemisphere = SH) in the comparative context of data from the northern hemisphere (NH). We used Stemonitales, the most representative and numerous taxonomic order in nivicolous myxomycetes, as a model. A total of 131 South American collections represented 13 species or morphotypes. One of them, Lanzproderma andinum, is new to science and described here. Several others, L. aeneum, L. album, L. pulveratum, Meriderma aff. aggregatum ad. int., M. carestiae and M. spinulosporum ad. int., were previously unknown from the SH. Lamproderma ovoideum is reported for the first time from South America and Collaria nigricapillitia is new for Argentina. The fine-scale morphological analysis of all species from the study area and reference NH material demonstrated a high intraspecific variability in most of them. This suggests isolation and independent evolutionary processes among remote populations. On the other hand, the uniform morphology of a few species indicates that long-distance dispersal is also an effective mechanism, although not as universal as usually assumed, in some nivicolous myxomycetes. Analysis of nivicolous species assemblages also showed significant differences among major geographic regions in that the Stemonitales were significantly less common in the SH than in the NH. Furthermore, the occurrence of nivicolous species in summer and autumn, out of the typical phenological season, is recognized as a possible distinctive phenomenon for the SH populations.</t>
  </si>
  <si>
    <t>[Ronikier, Anna] Polish Acad Sci, Inst Bot, PL-31512 Krakow, Poland; [Lado, Carlos] CSIC, Real Jardin Botan, E-28014 Madrid, Spain</t>
  </si>
  <si>
    <t>Polish Academy of Sciences; Consejo Superior de Investigaciones Cientificas (CSIC); CSIC - Real Jardin Botanico de Madrid</t>
  </si>
  <si>
    <t>Ronikier, A (corresponding author), Polish Acad Sci, Inst Bot, Lubicz 46, PL-31512 Krakow, Poland.</t>
  </si>
  <si>
    <t>a.xonikier@botany.pl</t>
  </si>
  <si>
    <t>Lado, Carlos/L-5949-2014; Ronikier, Anna/T-9064-2018</t>
  </si>
  <si>
    <t>Lado, Carlos/0000-0002-6135-2873; Ronikier, Anna/0000-0003-0193-8685</t>
  </si>
  <si>
    <t>Spanish government [CGL2008-00720/BOS, CGL2011-22684]; Polish National Science Centre [N N303 799440]; statutory fund of the W. Szafer Institute of Botany of the Polish Academy of Sciences; SYNTHESYS Project - European Community Research Infrastructure Action under the FP7 Capacities Program at Real Jardin Botanic (CSIC)</t>
  </si>
  <si>
    <t>Spanish government(Spanish Government); Polish National Science Centre; statutory fund of the W. Szafer Institute of Botany of the Polish Academy of Sciences; SYNTHESYS Project - European Community Research Infrastructure Action under the FP7 Capacities Program at Real Jardin Botanic (CSIC)</t>
  </si>
  <si>
    <t>This research was supported by the Spanish government (grants CGL2008-00720/BOS and CGL2011-22684), by the Polish National Science Centre (project N N303 799440), by the statutory fund of the W. Szafer Institute of Botany of the Polish Academy of Sciences and by the SYNTHESYS Project financed by European Community Research Infrastructure Action under the FP7 Capacities Program at Real Jardin Botanic (CSIC). We thank Michal Ronikier for critical reading of the manuscript, Diana Wrigley de Basanta for linguistic revision of the text, the reviewers for comments,Yolanda Ruiz and Anna Latkiewicz for their technical assistance with SEM, Carlos de Mier for his help with the macrophotograph of the new species, Andreas Kuhnt and curators of the following herbaria: AR, H, KRA, UC for loan of the comparative material. We particularly thank Arturo Estrada, Diana Wrigley de Basanta and Eva Garcia their help in the field work.</t>
  </si>
  <si>
    <t>ALLEN PRESS INC</t>
  </si>
  <si>
    <t>LAWRENCE</t>
  </si>
  <si>
    <t>810 E 10TH ST, LAWRENCE, KS 66044 USA</t>
  </si>
  <si>
    <t>0027-5514</t>
  </si>
  <si>
    <t>1557-2536</t>
  </si>
  <si>
    <t>Mycologia</t>
  </si>
  <si>
    <t>10.3852/14-164</t>
  </si>
  <si>
    <t>Mycology</t>
  </si>
  <si>
    <t>CE5RF</t>
  </si>
  <si>
    <t>WOS:000351892600002</t>
  </si>
  <si>
    <t>Bujacz, A; Rutkiewicz-Krotewicz, M; Nowakowska-Sapota, K; Turkiewicz, M</t>
  </si>
  <si>
    <t>Bujacz, Anna; Rutkiewicz-Krotewicz, Maria; Nowakowska-Sapota, Karolina; Turkiewicz, Marianna</t>
  </si>
  <si>
    <t>Crystal structure and enzymatic properties of a broad substrate-specificity psychrophilic aminotransferase from the Antarctic soil bacterium Psychrobacter sp B6</t>
  </si>
  <si>
    <t>ACTA CRYSTALLOGRAPHICA SECTION D-STRUCTURAL BIOLOGY</t>
  </si>
  <si>
    <t>aminotransferase; transaminase; substrate specificity; internal and external aldimine; psychrophilic enzyme</t>
  </si>
  <si>
    <t>ASPARTATE-AMINOTRANSFERASE; ESCHERICHIA-COLI; MACROMOLECULAR CRYSTALLOGRAPHY; TYROSINE AMINOTRANSFERASE; SPATIAL STRUCTURE; PROTEIN; EXPRESSION; ENZYMES; CRYSTALLIZATION; REFINEMENT</t>
  </si>
  <si>
    <t>Aminotransferases (ATs) are enzymes that are commonly used in the chemical and pharmaceutical industries for the synthesis of natural and non-natural amino acids by transamination reactions. Currently, the easily accessible enzymes from mesophilic organisms are most commonly used; however, for economical and ecological reasons the utilization of aminotransferases from psychrophiles would be more advantageous, as their optimum reaction temperature is usually significantly lower than for the mesophilic ATs. Here, gene isolation, protein expression, purification, enzymatic properties and structural studies are reported for the cold-active aromatic amino-acid aminotransferase (PsyArAT) from Psychrobacter sp. B6, a psychrotrophic, Gram-negative strain from Antarctic soil. Preliminary computational analysis indicated dual functionality of the enzyme through the ability to utilize both aromatic amino acids and aspartate as substrates. This postulation was confirmed by enzymatic activity tests, which showed that it belonged to the class EC 2.6.1.57. The first crystal structures of a psychrophilic aromatic aminoacid aminotransferase have been determined at resolutions of 2.19 angstrom for the native enzyme (PsyArAT) and 2.76 angstrom for its complex with aspartic acid (PsyArAT/D). Both types of crystals grew in the monoclinic space group P2(1) under slightly different crystallization conditions. The PsyArAT crystals contained a dimer (90 kDa) in the asymmetric unit, which corresponds to the active form of this enzyme, whereas the crystals of the PsyArAT/D complex included four dimers showing different stages of the transamination reaction.</t>
  </si>
  <si>
    <t>[Bujacz, Anna; Rutkiewicz-Krotewicz, Maria; Nowakowska-Sapota, Karolina; Turkiewicz, Marianna] Lodz Univ Technol, Inst Tech Biochem, PL-90924 Lodz, Poland</t>
  </si>
  <si>
    <t>Lodz University of Technology</t>
  </si>
  <si>
    <t>Bujacz, A (corresponding author), Lodz Univ Technol, Inst Tech Biochem, Stefanowskiego 4-10, PL-90924 Lodz, Poland.</t>
  </si>
  <si>
    <t>anna.bujacz@p.lodz.pl</t>
  </si>
  <si>
    <t>Rutkiewicz, Maria/N-2630-2016; Bujacz, Anna/M-4464-2018</t>
  </si>
  <si>
    <t>Rutkiewicz, Maria/0000-0001-8339-3230; Bujacz, Anna/0000-0002-0808-1349</t>
  </si>
  <si>
    <t>Polish Ministry of Science and Higher Education National Science Centre (NCN) [N N302 248538]</t>
  </si>
  <si>
    <t>Polish Ministry of Science and Higher Education National Science Centre (NCN)</t>
  </si>
  <si>
    <t>We are grateful to A. Wlodawer at NCI for his help in editing the manuscript. This work was supported by grant No. N N302 248538 from the Polish Ministry of Science and Higher Education National Science Centre (NCN). The sequence of the psyarat gene was deposited in GenBank with accession code GQ253123.1 and the corresponding PsyArAT protein sequence was deposited in UniProt with accession code C7E5X4.</t>
  </si>
  <si>
    <t>INT UNION CRYSTALLOGRAPHY</t>
  </si>
  <si>
    <t>CHESTER</t>
  </si>
  <si>
    <t>2 ABBEY SQ, CHESTER, CH1 2HU, ENGLAND</t>
  </si>
  <si>
    <t>2059-7983</t>
  </si>
  <si>
    <t>ACTA CRYSTALLOGR D</t>
  </si>
  <si>
    <t>Acta Crystallogr. Sect. D-Struct. Biol.</t>
  </si>
  <si>
    <t>10.1107/S1399004714028016</t>
  </si>
  <si>
    <t>Biochemical Research Methods; Biochemistry &amp; Molecular Biology; Biophysics; Crystallography</t>
  </si>
  <si>
    <t>Biochemistry &amp; Molecular Biology; Biophysics; Crystallography</t>
  </si>
  <si>
    <t>CD5VD</t>
  </si>
  <si>
    <t>WOS:000351155400020</t>
  </si>
  <si>
    <t>Li, WW; Bhatia, V; Cao, K</t>
  </si>
  <si>
    <t>Li, Wenwen; Bhatia, Vidit; Cao, Kai</t>
  </si>
  <si>
    <t>Intelligent polar cyberinfrastructure: enabling semantic search in geospatial metadata catalogue to support polar data discovery</t>
  </si>
  <si>
    <t>EARTH SCIENCE INFORMATICS</t>
  </si>
  <si>
    <t>Polar; Arctic; Antarctic; Spatial data infrastructure; Metadata; Catalog; Discovery</t>
  </si>
  <si>
    <t>ONTOLOGIES; IMPACTS</t>
  </si>
  <si>
    <t>Polar regions have garnered substantial research attention in recent years because they are key drivers of the Earth's climate, a source of rich mineral resources, and the home of a variety of marine life. Nevertheless, global warming over the past century is pushing the polar systems towards a tipping point: the systems are at high-risk from melting snow and sea ice covers, permafrost thawing, and acidification of the Arctic oceans. To increase understanding of the polar environment, the National Science Foundation established a Polar Cyberinfrastructure (CI) program, aimed at utilizing advanced software architecture to support polar data analysis and decision-making. At the center of this Polar CI research are data resources and data discovery components that facilitate the search and retrieval of polar data. This paper reports our development of a semantic search tool that supports the intelligent discovery of polar datasets. This tool is built on latent semantic analysis techniques, which improves search performance by identifying hidden semantic associations between terminologies used in the various datasets' metadata. The software tool is implemented using an object-oriented design pattern and has been successfully integrated into a popular open source metadata catalog as a new semantic search support. A semantic matrix is maintained persistently within the catalogue to store the semantic associations. A dynamic update mechanism was also developed to allow automated update of semantics once more metadata are loaded into or removed from the catalog. We explored the effects of rank reduction to the effectiveness of this semantic search module and demonstrated its better performance than the traditional search techniques.</t>
  </si>
  <si>
    <t>[Li, Wenwen; Bhatia, Vidit] Arizona State Univ Tempe, Sch Geog Sci &amp; Urban Planning, GeoDa Ctr Geospatial Anal &amp; Computat, Phoenix, AZ 85004 USA; [Cao, Kai] Natl Univ Singapore, Dept Geog, Singapore 117570, Singapore</t>
  </si>
  <si>
    <t>Arizona State University; National University of Singapore</t>
  </si>
  <si>
    <t>Li, WW (corresponding author), Arizona State Univ Tempe, Sch Geog Sci &amp; Urban Planning, GeoDa Ctr Geospatial Anal &amp; Computat, Phoenix, AZ 85004 USA.</t>
  </si>
  <si>
    <t>wenwen@asu.edu</t>
  </si>
  <si>
    <t>Li, Wenwen/I-8671-2016; Cao, Kai/P-3238-2015; /AAL-3738-2021</t>
  </si>
  <si>
    <t>Cao, Kai/0000-0002-8043-1462;</t>
  </si>
  <si>
    <t>National Science Foundation [1349259]; Open Geospatial Consortium [027216]; Office of Polar Programs (OPP); Directorate For Geosciences [1349259] Funding Source: National Science Foundation</t>
  </si>
  <si>
    <t>National Science Foundation(National Science Foundation (NSF)); Open Geospatial Consortium; Office of Polar Programs (OPP); Directorate For Geosciences(National Science Foundation (NSF)NSF - Directorate for Geosciences (GEO))</t>
  </si>
  <si>
    <t>This paper is supported by National Science Foundation Award #1349259 and Open Geospatial Consortium Award #027216.</t>
  </si>
  <si>
    <t>1865-0473</t>
  </si>
  <si>
    <t>1865-0481</t>
  </si>
  <si>
    <t>EARTH SCI INFORM</t>
  </si>
  <si>
    <t>Earth Sci. Inform.</t>
  </si>
  <si>
    <t>10.1007/s12145-014-0185-z</t>
  </si>
  <si>
    <t>Computer Science, Interdisciplinary Applications; Geosciences, Multidisciplinary</t>
  </si>
  <si>
    <t>Computer Science; Geology</t>
  </si>
  <si>
    <t>CD9UN</t>
  </si>
  <si>
    <t>WOS:000351444100010</t>
  </si>
  <si>
    <t>Kudinova, AG; Lysak, LV; Soina, VS; Mergelov, NS; Dolgikh, AV; Shorkunov, IG</t>
  </si>
  <si>
    <t>Kudinova, A. G.; Lysak, L. V.; Soina, V. S.; Mergelov, N. S.; Dolgikh, A. V.; Shorkunov, I. G.</t>
  </si>
  <si>
    <t>Bacterial communities in the soils of cryptogamic barrens of East Antarctica (the Larsemann Hills and Thala Hills oases)</t>
  </si>
  <si>
    <t>EURASIAN SOIL SCIENCE</t>
  </si>
  <si>
    <t>extreme soils; polar regions; biofilms; viability of bacteria</t>
  </si>
  <si>
    <t>TAXONOMIC COMPOSITION; MICROORGANISMS; BIOMASS; POPULATION; NANOFORMS; ULTRAMICROBACTERIA; DIVERSITY; SEDIMENTS; VIABILITY; BIOFILMS</t>
  </si>
  <si>
    <t>Bacterial communities from the soils of cryptogamic barrens in the Thala Hills and Larsemann Hills oases of East Antarctica were examined. The total number of bacteria in the studied soils was no higher than 108 cells per gram of soil, which is an order of magnitude lower than the values typically found in the soils of temperate regions. The portion of viable cells reached 60% and more, which attests to the high tolerance of the bacteria to the impact of adverse environmental factors. The maximum values of the total number and viability of the bacteria were found in the fine earth material immediately under the stony pavement. For the first time, the high content of the filterable forms of bacteria (FFB) was found. In some of the samples, their portion reaches 70-80% of the total number of bacterial cells. Data on the high numbers and viability of the bacterial cells and on the phylogenetic and morphological diversity of FFB allow us to attribute the latter to the pool of bacterial cells ensuring their preservation under unfavorable environmental conditions. The concentrations and total pools of bacterial biomass in the studied soils are much lower than those in the zonal soils of temperate regions. Bacterial communities in the studied soils combine the high tolerance toward the adverse environmental factors (as seen from the high portion of viable cells, the formation of the nanoforms of bacteria, and the participation of bacteria in the subaerial biofilms) with the low total number and biomass of the bacterial cells.</t>
  </si>
  <si>
    <t>[Kudinova, A. G.; Lysak, L. V.; Soina, V. S.] Moscow MV Lomonosov State Univ, Fac Soil Sci, Moscow 119991, Russia; [Mergelov, N. S.; Dolgikh, A. V.; Shorkunov, I. G.] Russian Acad Sci, Inst Geog, Moscow 119017, Russia</t>
  </si>
  <si>
    <t>Lomonosov Moscow State University; Institute of Geography, Russian Academy of Sciences; Russian Academy of Sciences</t>
  </si>
  <si>
    <t>Kudinova, AG (corresponding author), Moscow MV Lomonosov State Univ, Fac Soil Sci, Moscow 119991, Russia.</t>
  </si>
  <si>
    <t>lvlysak@mail.ru</t>
  </si>
  <si>
    <t>Dolgikh, Andrey/D-2575-2015; Kudinova, Alina/ABC-7359-2021; Shorkunov, Ilia/A-4818-2014; Mergelov, Nikita S/D-2585-2015; Lysak, Liudmila/AAR-3033-2020</t>
  </si>
  <si>
    <t>Dolgikh, Andrey/0000-0002-9316-9440; Lysak, Liudmila/0000-0001-5348-8888; Shorkunov, Ilia/0000-0003-2465-3893</t>
  </si>
  <si>
    <t>Russian Foundation for Basic Research [12-04-01815]; Russian Science Foundation [14-27-00133]; Russian Science Foundation [14-27-00133] Funding Source: Russian Science Foundation</t>
  </si>
  <si>
    <t>Russian Foundation for Basic Research(Russian Foundation for Basic Research (RFBR)Spanish Government); Russian Science Foundation(Russian Science Foundation (RSF)); Russian Science Foundation(Russian Science Foundation (RSF))</t>
  </si>
  <si>
    <t>This study was partly supported by the Russian Foundation for Basic Research, project no. 12-04-01815 (collection of the samples and determination of their chemical properties) and by the Russian Science Foundation (project no. 14-27-00133). Field works were supported by the Russian Antarctic Expedition. The work on this project would have been impossible without the creative, organizational, and moral support of David Gilichinsky.</t>
  </si>
  <si>
    <t>PLEIADES HOUSE, 7 W 54 ST, NEW YORK, NY, UNITED STATES</t>
  </si>
  <si>
    <t>1064-2293</t>
  </si>
  <si>
    <t>1556-195X</t>
  </si>
  <si>
    <t>EURASIAN SOIL SCI+</t>
  </si>
  <si>
    <t>Eurasian Soil Sci.</t>
  </si>
  <si>
    <t>10.1134/S1064229315030072</t>
  </si>
  <si>
    <t>CD7RJ</t>
  </si>
  <si>
    <t>WOS:000351288500007</t>
  </si>
  <si>
    <t>Polyanskaya, LM; Pinchuk, IP; Zvyagintsev, DG</t>
  </si>
  <si>
    <t>Polyanskaya, L. M.; Pinchuk, I. P.; Zvyagintsev, D. G.</t>
  </si>
  <si>
    <t>Assessment of the number, biomass, and cell size of bacteria in different soils using the cascade filtration method</t>
  </si>
  <si>
    <t>bacterial cells; number; size; biomass; volume</t>
  </si>
  <si>
    <t>MICROBIAL BIOMASS; NANOBACTERIA; MICROSCOPY</t>
  </si>
  <si>
    <t>Soddy-podzolic, gray forest, brown forest, primitive Antarctic soils, typical chernozems, and solonchaks were studied. Many ultrafine bacterial cells, along with fine ones, were found in all the soils studied. The gray forest, brown forest, and primitive Antarctic soils were especially distinguished in this respect. Formerly, in the works on soil microbiology, the fact of the cell size reduction was insufficiently taken into account because of the absence of reliable methods. A decrease in the number and biomass of bacteria down the profile in all the soils, except for the solonchak, was shown. In the solonchak, the bacterial number and biomass increases with decreasing salinity of the soil horizons. The bacterial biomass mainly depends on the predominance of cells of definite sizes (0.38 and 0.23 mu m). In the B1fungi horizon of the primitive Antarctic soil, a considerable number of large (1.85 mu m) bacterial cells was recorded, and this resulted in the maximal microbial biomass in this horizon. The data on the average volume of a cell correlate with those on the number and biomass of bacteria. The largest diameters of cells were registered in the humus and B1fungi horizons of the primitive Antarctic soil.</t>
  </si>
  <si>
    <t>[Polyanskaya, L. M.; Pinchuk, I. P.; Zvyagintsev, D. G.] Moscow MV Lomonosov State Univ, Fac Soil Sci, Moscow 119991, Russia</t>
  </si>
  <si>
    <t>Lomonosov Moscow State University</t>
  </si>
  <si>
    <t>Polyanskaya, LM (corresponding author), Moscow MV Lomonosov State Univ, Fac Soil Sci, Moscow 119991, Russia.</t>
  </si>
  <si>
    <t>lpolyanskaya@mail.ru</t>
  </si>
  <si>
    <t>Pinchuk, Irina/V-6737-2018</t>
  </si>
  <si>
    <t>Pinchuk, Irina/0000-0002-4205-6083</t>
  </si>
  <si>
    <t>10.1134/S1064229315030096</t>
  </si>
  <si>
    <t>WOS:000351288500008</t>
  </si>
  <si>
    <t>Piecuch, CG; Fukumori, I; Ponte, RM; Wang, O</t>
  </si>
  <si>
    <t>Piecuch, Christopher G.; Fukumori, Ichiro; Ponte, Rui M.; Wang, Ou</t>
  </si>
  <si>
    <t>Vertical Structure of Ocean Pressure Variations with Application to Satellite-Gravimetric Observations</t>
  </si>
  <si>
    <t>JOURNAL OF ATMOSPHERIC AND OCEANIC TECHNOLOGY</t>
  </si>
  <si>
    <t>CURRENT TRANSPORT VARIABILITY; SEA-LEVEL VARIABILITY; BOTTOM PRESSURE; GENERAL-CIRCULATION; MODEL; ICE; GRAVITY; REPRESENTATION; FLUCTUATIONS; ALTIMETRY</t>
  </si>
  <si>
    <t>The nature of ocean bottom pressure (p(b)) variability is considered on large spatial scales and long temporal scales. Monthly gridded estimates from the Gravity Recovery and Climate Experiment (GRACE) Release-05 and the new version 4 bidecadal ocean state estimate of the Consortium for Estimating the Circulation and Climate of the Ocean (ECCO) are used. Estimates of p(b) from GRACE and ECCO are generally in good agreement, providing an independent measure of the quality of both products. Diagnostic fields from the state estimate are used to compute barotropic (depth independent) and baroclinic (depth dependent) p(b) components. The relative roles of baroclinic and barotropic processes are found to vary with latitude and time scale: variations in p(b) at higher latitudes and shorter periods are affected by barotropic processes, whereas p(b) fluctuations at lower latitudes and longer periods can be influenced by baroclinic effects, broadly consistent with theoretical scaling arguments. Wind-driven Rossby waves and coupling of baroclinic and barotropic modes due to flow-topography interactions appear to be important influences on the baroclinic p(b) variability. Decadal simulations of monthly p(b) variability based on purely barotropic frameworks are expected to be in error by about 30% on average (greater than or similar to 40% in the tropical ocean and less than or similar to 20% at higher latitudes). Results have implications for applying GRACE observations to problems such as estimating transports of the Antarctic Circumpolar Current.</t>
  </si>
  <si>
    <t>[Piecuch, Christopher G.; Ponte, Rui M.] Atmospher &amp; Environm Res Inc, Lexington, MA 02421 USA; [Fukumori, Ichiro; Wang, Ou] CALTECH, Jet Prop Lab, Pasadena, CA USA</t>
  </si>
  <si>
    <t>Atmospheric &amp; Environmental Research; National Aeronautics &amp; Space Administration (NASA); NASA Jet Propulsion Laboratory (JPL); California Institute of Technology</t>
  </si>
  <si>
    <t>Piecuch, CG (corresponding author), Atmospher &amp; Environm Res Inc, 131 Hartwell Ave, Lexington, MA 02421 USA.</t>
  </si>
  <si>
    <t>cpiecuch@aer.com</t>
  </si>
  <si>
    <t>Fukumori, Ichiro/AAY-9005-2020; Ponte, Rui/AAE-9824-2020</t>
  </si>
  <si>
    <t>Fukumori, Ichiro/0000-0002-0882-6400;</t>
  </si>
  <si>
    <t>NASA GRACE [NNX12AJ93G]; National Science Foundation [OCE-0961507]; NASA MEaSUREs Program; NASA [NNX12AJ93G, 43434] Funding Source: Federal RePORTER</t>
  </si>
  <si>
    <t>NASA GRACE; National Science Foundation(National Science Foundation (NSF)); NASA MEaSUREs Program; NASA(National Aeronautics &amp; Space Administration (NASA))</t>
  </si>
  <si>
    <t>This work was carried out in part at the Jet Propulsion Laboratory, California Institute of Technology, under a contract with the National Aeronautics and Space Administration (NASA), and was further supported by NASA GRACE Grant NNX12AJ93G and Grant OCE-0961507 from the National Science Foundation. The GRACE ocean data were processed by Don P. Chambers, supported by the NASA MEaSUREs Program, and are available online (at http://grace.jpl.nasa.gov). A listing of available ECCO products can be found on the group website (http://www.ecco-group.org). The comments from two anonymous reviewers were appreciated.</t>
  </si>
  <si>
    <t>0739-0572</t>
  </si>
  <si>
    <t>1520-0426</t>
  </si>
  <si>
    <t>J ATMOS OCEAN TECH</t>
  </si>
  <si>
    <t>J. Atmos. Ocean. Technol.</t>
  </si>
  <si>
    <t>10.1175/JTECH-D-14-00156.1</t>
  </si>
  <si>
    <t>Engineering, Ocean; Meteorology &amp; Atmospheric Sciences</t>
  </si>
  <si>
    <t>Engineering; Meteorology &amp; Atmospheric Sciences</t>
  </si>
  <si>
    <t>CD6WI</t>
  </si>
  <si>
    <t>WOS:000351230500015</t>
  </si>
  <si>
    <t>Ford, RG; Ainley, DG; Lescroël, A; Lyver, PO; Toniolo, V; Ballard, G</t>
  </si>
  <si>
    <t>Ford, R. Glenn; Ainley, David G.; Lescroel, Amelie; Lyver, Phil O'B.; Toniolo, Viola; Ballard, Grant</t>
  </si>
  <si>
    <t>Testing assumptions of central place foraging theory: a study of Adelie penguins Pygoscelis adeliae in the Ross Sea</t>
  </si>
  <si>
    <t>JOURNAL OF AVIAN BIOLOGY</t>
  </si>
  <si>
    <t>AREA-RESTRICTED SEARCH; COLONY SIZE; EUPHAUSIA-CRYSTALLOROPHIAS; GEOGRAPHIC STRUCTURE; FEEDING STRATEGIES; PREY; BEHAVIOR; SEABIRD; COMPETITION; SUCCESS</t>
  </si>
  <si>
    <t>We investigated central place foraging (CPF) in the context of optimal foraging theory in Adelie penguins Pygoscelis adeliae of the southern Ross Sea by using satellite tracking and time-depth recorders to explore foraging at two spatio-temporal scales: within the day-to-day (sub-mesoscale: single foraging trip, 10s of km(2)) and the entire breeding season (mesoscale: trips by multiple individuals across the collective foraging area, 100s of km(2)). Specifically, we examine whether three basic assumptions of the Orians-Pearson CPF model, shown to occur in other CPF species, are met: 1) within a patch, the rate of prey acquisition declines with time spent in that patch; 2) food is distributed in discrete patches and is not available between those patches; and 3) CPF species have knowledge of the potential (or average, at least) feeding rate within their universe of patches, and use this knowledge to determine their foraging strategy when planning or engaging in a foraging trip. We found that prey consumption rates did not decline with time spent in patches, and penguins foraged to some degree most of the time when at sea. Food availability, as measured by foraging dive rate, appeared to be predictable within the same day at the same location, but predictability broke down after 2 d at distances &gt; 10 km away. We conclude that the assumptions of the Orians-Pearson CPF model are not a good fit to the circumstances of Ross Sea penguins, which clearly are central place foragers.</t>
  </si>
  <si>
    <t>[Ford, R. Glenn] RGF Consulting, Portland, OR 97232 USA; [Ainley, David G.] HT Harvey &amp; Associates Ecol Consultants, Los Gatos, CA 95032 USA; [Lescroel, Amelie] Univ Rennes, URU Biodivers &amp; Gest Terr 420, Rennes, France; [Lescroel, Amelie] CNRS, Ctr Ecol Fonct &amp; Evolut, UMR 5175, FR-34293 Montpellier 05, France; [Lyver, Phil O'B.] Landcare Res, Lincoln 7640, New Zealand; [Toniolo, Viola; Ballard, Grant] PRBO Conservat Sci, Petaluma, CA 94954 USA</t>
  </si>
  <si>
    <t>Universite de Rennes; Universite PSL; Ecole Pratique des Hautes Etudes (EPHE); Institut Agro; Montpellier SupAgro; CIRAD; Centre National de la Recherche Scientifique (CNRS); Institut de Recherche pour le Developpement (IRD); Universite Paul-Valery; Universite de Montpellier; Landcare Research - New Zealand</t>
  </si>
  <si>
    <t>Ford, RG (corresponding author), RGF Consulting, 2735 NE Weidler St, Portland, OR 97232 USA.</t>
  </si>
  <si>
    <t>NSF [OPP 0440643, ANT 0944411]; NZ Ministry of Science and Innovation [C09X0510, C01X1001]; Office of Polar Programs (OPP); Directorate For Geosciences [0944411, 0944141] Funding Source: National Science Foundation</t>
  </si>
  <si>
    <t>NSF(National Science Foundation (NSF)); NZ Ministry of Science and Innovation; Office of Polar Programs (OPP); Directorate For Geosciences(National Science Foundation (NSF)NSF - Directorate for Geosciences (GEO))</t>
  </si>
  <si>
    <t>The data were collected and analyzed, and the paper written under NSF grants OPP 0440643 and ANT 0944411, and NZ Ministry of Science and Innovation grants C09X0510 and C01X1001. However, conclusions drawn do not necessarily reflect those of the National Science Foundation. Instruments were attached to penguins under ACA permit 2006-010 from NSF (Antarctic Treaty), IACUC permit 878 through California State Univ., San Jose and AEC Permit 05/09/01 through Landcare Research, NZ. We are thankful for field assistance provided by Kerry Barton, Brian Karl, and others at Cape Bird. Logistical support was provided by the U.S. Antarctic Research Program and Antarctica NZ. Subject editor Y. Watanuki provided valuable comments that improved the paper. Thank you. Point Blue contribution #1917.</t>
  </si>
  <si>
    <t>0908-8857</t>
  </si>
  <si>
    <t>1600-048X</t>
  </si>
  <si>
    <t>J AVIAN BIOL</t>
  </si>
  <si>
    <t>J. Avian Biol.</t>
  </si>
  <si>
    <t>10.1111/jav.00491</t>
  </si>
  <si>
    <t>CD8OX</t>
  </si>
  <si>
    <t>WOS:000351356000009</t>
  </si>
  <si>
    <t>Chapman, CC; Hogg, AM; Kiss, AE; Rintoul, SR</t>
  </si>
  <si>
    <t>Chapman, Christopher C.; Hogg, Andrew McC.; Kiss, Andrew E.; Rintoul, Stephen R.</t>
  </si>
  <si>
    <t>The Dynamics of Southern Ocean Storm Tracks</t>
  </si>
  <si>
    <t>ANTARCTIC CIRCUMPOLAR CURRENT; THICKNESS FORM DRAG; WAVE-ACTIVITY; EDDY ENERGY; CIRCULATION; TOPOGRAPHY; HEMISPHERE; LAYER; JETS; FLUX</t>
  </si>
  <si>
    <t>The mechanisms that initiate and maintain oceanic storm tracks'' (regions of anomalously high eddy kinetic energy) are studied in a wind-driven, isopycnal, primitive equation model with idealized bottom topography. Storm tracks are found downstream of the topography in regions strongly influenced by a large-scale stationary meander that is generated by the interaction between the background mean flow and the topography. In oceanic storm tracks the length scale of the stationary meander differs from that of the transient eddies, a point of distinction from the atmospheric storm tracks. When the zonal length and height of the topography are varied, the storm-track intensity is largely unchanged and the downstream storm-track length varies only weakly. The dynamics of the storm track in this idealized configuration are investigated using a wave activity flux (related to the Eliassen-Palmflux and eddy energy budgets). It is found that vertical fluxes of wave activity (which correspond to eddy growth by baroclinic conversion) are localized to the region influenced by the standing meander. Farther downstream, organized horizontal wave activity fluxes (which indicate eddy energy fluxes) are found. A mechanism for the development of oceanic storm tracks is proposed: the standing meander initiates localized conversion of energy from the mean field to the eddy field, while the storm track develops downstream of the initial baroclinic growth through the ageostrophic flux of Montgomery potential. Finally, the implications of this analysis for the parameterization and prediction of storm tracks in ocean models are discussed.</t>
  </si>
  <si>
    <t>[Chapman, Christopher C.; Hogg, Andrew McC.] Australian Natl Univ, Res Sch Earth Sci, Canberra, ACT, Australia; [Chapman, Christopher C.; Hogg, Andrew McC.; Kiss, Andrew E.] Australian Natl Univ, ARC Ctr Excellence Climate Syst Sci, Canberra, ACT, Australia; [Chapman, Christopher C.; Rintoul, Stephen R.] CSIRO Wealth Oceans Flagship, Hobart, Tas, Australia; [Kiss, Andrew E.] Univ New South Wales Canberra, Sch Phys Math &amp; Environm Sci, Australian Def Force Acad, Canberra, ACT, Australia; [Rintoul, Stephen R.] Univ Tasmania, Antarctic Climate &amp; Ecosyst Cooperat Res Ctr, Hobart, Tas, Australia</t>
  </si>
  <si>
    <t>Australian National University; Australian National University; ARC Centre of Excellence for Climate System Science; Commonwealth Scientific &amp; Industrial Research Organisation (CSIRO); Australian Defense Force Academy; University of New South Wales Sydney; Antarctic Climate &amp; Ecosystems Cooperative Research Centre (ACE CRC); University of Tasmania</t>
  </si>
  <si>
    <t>Chapman, CC (corresponding author), Univ Paris 06, CNRS LOCEAN IPSL, F-75252 Paris 05, France.</t>
  </si>
  <si>
    <t>chris.chapman.28@gmail.com</t>
  </si>
  <si>
    <t>Rintoul, Stephen R/A-1471-2012; Hogg, Andy McC./A-7553-2011; Hogg, Andy/AAZ-8733-2021; Chapman, Christopher/AAV-2844-2021; Kiss, Andrew E/E-7733-2016</t>
  </si>
  <si>
    <t>Rintoul, Stephen R/0000-0002-7055-9876; Hogg, Andy McC./0000-0001-5898-7635; Hogg, Andy/0000-0001-5898-7635; Chapman, Christopher/0000-0002-0877-4778; Kiss, Andrew E/0000-0001-8960-9557</t>
  </si>
  <si>
    <t>Australian Commonwealth Government; CSIRO Wealth from Oceans Flagship scholarship; Australian Research Council; Australian Governments Cooperative Research Centre's Program, through the Antarctic Climate and Ecosystems Cooperative Research Centre (ACE CRC); Department of Environment, Bureau of Meteorology; CSIRO through the Australian Climate Change Science Program</t>
  </si>
  <si>
    <t>Australian Commonwealth Government(Australian Government); CSIRO Wealth from Oceans Flagship scholarship; Australian Research Council(Australian Research Council); Australian Governments Cooperative Research Centre's Program, through the Antarctic Climate and Ecosystems Cooperative Research Centre (ACE CRC)(Australian GovernmentDepartment of Industry, Innovation and ScienceCooperative Research Centres (CRC) Programme); Department of Environment, Bureau of Meteorology; CSIRO through the Australian Climate Change Science Program</t>
  </si>
  <si>
    <t>This research was undertaken at the NCI National Facility in Canberra, Australia, which is supported by the Australian Commonwealth Government. Comments by two anonymous reviewers greatly improved the manuscript. CC is grateful to Uriel Zajaczkovski for useful discussions. CC is supported by a CSIRO Wealth from Oceans Flagship scholarship. AMH was supported by an Australian Research Council Future Fellowship. SR is supported by the Australian Governments Cooperative Research Centre's Program, through the Antarctic Climate and Ecosystems Cooperative Research Centre (ACE CRC), and by the Department of Environment, Bureau of Meteorology, and CSIRO through the Australian Climate Change Science Program.</t>
  </si>
  <si>
    <t>10.1175/JPO-D-14-0075.1</t>
  </si>
  <si>
    <t>CD3NG</t>
  </si>
  <si>
    <t>WOS:000350984900018</t>
  </si>
  <si>
    <t>Chen, CH; Kamenkovich, I; Berloff, P</t>
  </si>
  <si>
    <t>Chen, Changheng; Kamenkovich, Igor; Berloff, Pavel</t>
  </si>
  <si>
    <t>On the Dynamics of Flows Induced by Topographic Ridges</t>
  </si>
  <si>
    <t>MULTIPLE ZONAL JETS; ANTARCTIC CIRCUMPOLAR CURRENT; BETA-PLANE; GEOSTROPHIC TURBULENCE; INSTABILITY; OCEANS; GENERATION; TRANSPORT; WAVES; MODEL</t>
  </si>
  <si>
    <t>This study describes a nonlocal mechanism for the generation of oceanic alternating jets by topographic ridges. The dynamics of these jets is examined using a baroclinic quasigeostrophic model configured with an isolated meridional ridge. The zonal topographic slopes of the ridge lead to the formation of a system of currents, consisting of mesoscale eddies, meridional currents over the ridge, and multiple zonal jets in the far field. Dynamical analysis shows that transient eddies are vital in sustaining the deep meridional currents over the ridge, which in turn play a key role in the upper-layer potential vorticity (PV) balance. The zonal jets in the rest of the domain owe their existence to the eddy forcing over the ridge but are maintained by the local Reynolds and form stress eddy forcing. The analysis further shows that a broad stable current that either becomes locally nonzonal or encounters a topographic ridge tends to become unstable. This instability provides a vorticity source and generates multiple zonal jets in the far field through a nonlocal mechanism.</t>
  </si>
  <si>
    <t>[Chen, Changheng; Kamenkovich, Igor] Univ Miami, Rosenstiel Sch Marine &amp; Atmospher Sci, Miami, FL 33149 USA; [Berloff, Pavel] Univ London Imperial Coll Sci Technol &amp; Med, Dept Math, London, England</t>
  </si>
  <si>
    <t>University of Miami; Imperial College London</t>
  </si>
  <si>
    <t>Chen, CH (corresponding author), Univ Miami, Rosenstiel Sch Marine &amp; Atmospher Sci, Div MPO, 4600 Rickenbacker Causeway, Miami, FL 33149 USA.</t>
  </si>
  <si>
    <t>cchen@rsmas.miami.edu</t>
  </si>
  <si>
    <t>Berloff, Pavel/T-2851-2019; Kamenkovich, Igor/AAG-3451-2019</t>
  </si>
  <si>
    <t>Kamenkovich, Igor/0000-0001-6228-5599</t>
  </si>
  <si>
    <t>National Science Foundation [OCE-0842834, OCE-1154923]; Division Of Ocean Sciences; Directorate For Geosciences [1154923] Funding Source: National Science Foundation</t>
  </si>
  <si>
    <t>National Science Foundation(National Science Foundation (NSF)); Division Of Ocean Sciences; Directorate For Geosciences(National Science Foundation (NSF)NSF - Directorate for Geosciences (GEO))</t>
  </si>
  <si>
    <t>We thank William Johns, Tamay Ozgokmen, and two anonymous reviewers for their helpful advice on improving this manuscript. This study was supported by the National Science Foundation, Grants OCE-0842834 and OCE-1154923.</t>
  </si>
  <si>
    <t>10.1175/JPO-D-14-0143.1</t>
  </si>
  <si>
    <t>WOS:000350984900020</t>
  </si>
  <si>
    <t>Lecomte, O; Fichefet, T; Flocco, D; Schroeder, D; Vancoppenolle, M</t>
  </si>
  <si>
    <t>Lecomte, Olivier; Fichefet, Thierry; Flocco, Daniela; Schroeder, David; Vancoppenolle, Martin</t>
  </si>
  <si>
    <t>Interactions between wind-blown snow redistribution and melt ponds in a coupled ocean-sea ice model</t>
  </si>
  <si>
    <t>Snow; Sea ice; Melt ponds; Model</t>
  </si>
  <si>
    <t>MASS-BALANCE; CIRCULATION; RADIATION; THICKNESS</t>
  </si>
  <si>
    <t>Introducing a parameterization of the interactions between wind-driven snow depth changes and melt pond evolution allows us to improve large scale models. In this paper we have implemented an explicit melt pond scheme and, for the first time, a wind dependant snow redistribution model and new snow thermophysics into a coupled ocean-sea ice model. The comparison of long-term mean statistics of melt pond fractions against observations demonstrates realistic melt pond cover on average over Arctic sea ice, but a clear underestimation of the pond coverage on the multi-year ice (MYI) of the western Arctic Ocean. The latter shortcoming originates from the concealing effect of persistent snow on forming ponds, impeding their growth. Analyzing a second simulation with intensified snow drift enables the identification of two distinct modes of sensitivity in the melt pond formation process. First, the larger proportion of wind-transported snow that is lost in leads directly curtails the late spring snow volume on sea ice and facilitates the early development of melt ponds on MYI. In contrast, a combination of higher air temperatures and thinner snow prior to the onset of melting sometimes make the snow cover switch to a regime where it melts entirely and rapidly. In the latter situation, seemingly more frequent on first-year ice (FYI), a smaller snow volume directly relates to a reduced melt pond cover. Notwithstanding, changes in snow and water accumulation on seasonal sea ice is naturally limited, which lessens the impacts of wind-blown snow redistribution on FYI, as compared to those on MYI. At the basin scale, the overall increased melt pond cover results in decreased ice volume via the ice-albedo feedback in summer, which is experienced almost exclusively by MYI. (C) 2014 Elsevier Ltd. All rights reserved.</t>
  </si>
  <si>
    <t>[Lecomte, Olivier; Fichefet, Thierry] Catholic Univ Louvain, Georges Lemaitre Ctr Earth &amp; Climate Res, Earth &amp; Life Insitute, B-1348 Louvain La Neuve, Belgium; [Flocco, Daniela; Schroeder, David] Univ Reading, Dept Meteorol, Reading RG6 6BB, Berks, England; [Vancoppenolle, Martin] Univ Paris 06, Lab Oceanog &amp; Climat LOCEAN IPSL, Sorbonne Univ, CNRS,UPMC, F-75005 Paris, France</t>
  </si>
  <si>
    <t>Universite Catholique Louvain; University of Reading; Sorbonne Universite; Centre National de la Recherche Scientifique (CNRS)</t>
  </si>
  <si>
    <t>Lecomte, O (corresponding author), Catholic Univ Louvain, Georges Lemaitre Ctr Earth &amp; Climate Res, Earth &amp; Life Insitute, Pl Louis Pasteur 3,Boite L4-03-08, B-1348 Louvain La Neuve, Belgium.</t>
  </si>
  <si>
    <t>olivier.lecomte@uclouvain.be</t>
  </si>
  <si>
    <t>Vancoppenolle, Martin/B-3750-2011; Flocco, Daniela/ISA-8644-2023; Vancoppenolle, Martin/AAA-7711-2022</t>
  </si>
  <si>
    <t>Vancoppenolle, Martin/0000-0002-7573-8582; Flocco, Daniela/0000-0002-0025-5359; Vancoppenolle, Martin/0000-0002-7573-8582</t>
  </si>
  <si>
    <t>European Commissions 7th Framework Programme under COMBINE project (Comprehensive Modelling of the Earth System for Better Climate Prediction and Projection) [226520]</t>
  </si>
  <si>
    <t>European Commissions 7th Framework Programme under COMBINE project (Comprehensive Modelling of the Earth System for Better Climate Prediction and Projection)(European Union (EU))</t>
  </si>
  <si>
    <t>This work was partly funded by the European Commissions 7th Framework Programme under Grant Agreement number 226520, COMBINE project (Comprehensive Modelling of the Earth System for Better Climate Prediction and Projection). Olivier Lecomte thanks Katherine Leonard, Rob Massom and Ted Maksym for very helpful conversations on the snow redistribution by wind during the SIPEX-II (Sea Ice Physics and Ecosystem eXperiment) field experiment, that took place on East-Antarctic sea ice from September to November 2012. We also thank Bernard Barnier, for the support provided regarding the DFS5 forcing dataset, William Perrie, Editor-in-Chief for Ocean Modelling, Elizabeth Hunke and two other anonymous reviewers for their thorough reviews of our manuscript, which greatly helped improving its quality.</t>
  </si>
  <si>
    <t>10.1016/j.ocemod.2014.12.003</t>
  </si>
  <si>
    <t>CD3PD</t>
  </si>
  <si>
    <t>WOS:000350989900005</t>
  </si>
  <si>
    <t>Lecomte, O; Fichefet, T; Massonnet, F; Vancoppenolle, M</t>
  </si>
  <si>
    <t>Lecomte, Olivier; Fichefet, Thierry; Massonnet, Francois; Vancoppenolle, Martin</t>
  </si>
  <si>
    <t>Benefits from representing snow properties and related processes in coupled ocean-sea ice models</t>
  </si>
  <si>
    <t>Snow; Sea ice; Model; Arctic; Antarctic</t>
  </si>
  <si>
    <t>SENSITIVITY; SIMULATIONS</t>
  </si>
  <si>
    <t>Several large-scale sea ice simulations are performed over the last three decades using a coupled ocean-sea ice model under the same experimental setup but partly modifying the representation of snow physics in the model. The inter-simulation spread analysis yields that the simulated multi-year ice is sensitive to such changes while the seasonal sea ice, is rather dominantly driven by the external oceanic and atmospheric forcings. In the context of a thinning Arctic sea ice cover, those findings suggest that including snow processes in large-scale sea ice models is beneficial, if not necessary, to predict the timing of the Arctic multi-year ice disappearance, whereas the operational forecasting of first-year ice extent using fully coupled models will likely require improvement to the oceanic and atmospheric components themselves. (C) 2014 Elsevier Ltd. All rights reserved.</t>
  </si>
  <si>
    <t>[Lecomte, Olivier; Fichefet, Thierry; Massonnet, Francois] Catholic Univ Louvain, Georges Lemaitre Ctr Earth &amp; Climate Res, Earth &amp; Life Insitute, B-1348 Louvain La Neuve, Belgium; [Vancoppenolle, Martin] Univ Paris 06, Lab Oceanog &amp; Climat LOCEAN IPSL, Sorbonne Univ, CNRS,UPMC, F-75005 Paris, France</t>
  </si>
  <si>
    <t>Universite Catholique Louvain; Sorbonne Universite; Centre National de la Recherche Scientifique (CNRS)</t>
  </si>
  <si>
    <t>Vancoppenolle, Martin/B-3750-2011; Vancoppenolle, Martin/AAA-7711-2022; Massonnet, Francois/J-5315-2014</t>
  </si>
  <si>
    <t>Vancoppenolle, Martin/0000-0002-7573-8582; Vancoppenolle, Martin/0000-0002-7573-8582; Massonnet, Francois/0000-0002-4697-5781</t>
  </si>
  <si>
    <t>This work was partly funded by the European Commissions 7th Framework Programme under Grant Agreement number 226520, COMBINE project (Comprehensive Modelling of the Earth System for Better Climate Prediction and Projection). The authors thank Bernard Barnier, for the support provided regarding the DFS5 forcing dataset, William Perrie, Editor-in-Chief for Ocean Modelling and three anonymous reviewers who contributed to improve this manuscript significantly.</t>
  </si>
  <si>
    <t>10.1016/j.ocemod.2014.11.005</t>
  </si>
  <si>
    <t>WOS:000350989900006</t>
  </si>
  <si>
    <t>Botero-Delgadillo, E; Poblete, Y; Vásquez, RA</t>
  </si>
  <si>
    <t>Botero-Delgadillo, Esteban; Poblete, Yanina; Vasquez, Rodrigo A.</t>
  </si>
  <si>
    <t>Nestling Mortality as a Consequence of Interspecific Competition between Secondary Cavity Nesters in the Sub-Antarctic Forests of Chile</t>
  </si>
  <si>
    <t>WILSON JOURNAL OF ORNITHOLOGY</t>
  </si>
  <si>
    <t>Aphrastura spinicauda; interspecific aggression; nest box; nest-site competition; nestling mortality; Tachycineta meyeni</t>
  </si>
  <si>
    <t>NESTING BIRDS; GREAT TIT; SELECTION; BEHAVIOR; SITES; HOLES; BLUE</t>
  </si>
  <si>
    <t>Interspecific competition among secondary cavity nesters can involve physical conflicts between individuals, which may lead to serious injuries or death. Here we report a case of aggression by a pair of Chilean Swallows (Tachycineta meyeni) towards a nestling of the Thorn-tailed Rayadito (Aphrastura spinicauda) in the sub-Antarctic forests of Chile. This aggression caused the displacement of the breeding rayaditos from an occupied nest box and it appears, nestling mortality. Since levels of aggression among cavity nesters depend on the synchrony of their breeding phenologies, further research is needed to study the prevalence of nest usurpation by Chilean Swallows and its relation to the degree of breeding synchrony with other cavity nesters inhabiting the sub-Antarctic forests.</t>
  </si>
  <si>
    <t>[Botero-Delgadillo, Esteban; Poblete, Yanina; Vasquez, Rodrigo A.] Univ Chile, Fac Ciencias, Dept Ciencias Ecol, Inst Ecol &amp; Biodiversidad, Santiago 3425, Chile</t>
  </si>
  <si>
    <t>Botero-Delgadillo, E (corresponding author), Univ Chile, Fac Ciencias, Dept Ciencias Ecol, Inst Ecol &amp; Biodiversidad, Santiago 3425, Chile.</t>
  </si>
  <si>
    <t>esteban.botero@ug.uchile.cl</t>
  </si>
  <si>
    <t>Botero-Delgadillo, Esteban/AAC-7069-2020; Poblete, Yanina/GXA-0464-2022</t>
  </si>
  <si>
    <t>Botero-Delgadillo, Esteban/0000-0003-4653-7551; Poblete, Yanina/0000-0002-1378-9341; Vasquez, Rodrigo A/0000-0003-4309-6789</t>
  </si>
  <si>
    <t>Institute of Ecology and Biodiversity (IEB); FONDECYT [1090794, 1100359, 1140548, ICM-P05-002, PFB-23]; CONICYT-Chile [ICM-P05-002, 63130100, 21130127]; COLFUTURO' scolarship [PCB-2012]</t>
  </si>
  <si>
    <t>Institute of Ecology and Biodiversity (IEB); FONDECYT(Comision Nacional de Investigacion Cientifica y Tecnologica (CONICYT)CONICYT FONDECYT); CONICYT-Chile(Comision Nacional de Investigacion Cientifica y Tecnologica (CONICYT)); COLFUTURO' scolarship</t>
  </si>
  <si>
    <t>This work is part of research activities at the Omora Ethnobotanical Park, a member of the Chilean Network of Long-Term Socio-Ecological Study Sites, financed by the Institute of Ecology and Biodiversity (IEB). We thank Ana Pineiro, Silvia Lazzarino, and Manon Viel for their assistance during fieldwork at Isla Navarino. Funding was provided by grants from FONDECYT Nos. 1090794, 1100359, and 1140548, grant ICM-P05-002, and PFB-23 CONICYT-Chile to RAV; graduate fellowships CONICYT-Chile 63130100 and ICM-P05-002, and a COLFUTURO' scolarship-loan PCB-2012 to EB-D; and a graduate fellowship CONICYT-Chile (21130127) to YP. Research was conducted under permits 5193 and 6295 issued by the Servicio Agricola y Ganadero de Chile (SAG), with the supervision of the Ethics Committee of the Sciences Faculty, Universidad de Chile. Comments from Nicholas J. Bayly and two anonymous reviewers helped to improve earlier versions of the manuscript.</t>
  </si>
  <si>
    <t>WILSON ORNITHOLOGICAL SOC</t>
  </si>
  <si>
    <t>WACO</t>
  </si>
  <si>
    <t>5400 BOSQUE BLVD, STE 680, WACO, TX 76710 USA</t>
  </si>
  <si>
    <t>1559-4491</t>
  </si>
  <si>
    <t>1938-5447</t>
  </si>
  <si>
    <t>WILSON J ORNITHOL</t>
  </si>
  <si>
    <t>Wilson J. Ornithol.</t>
  </si>
  <si>
    <t>U217</t>
  </si>
  <si>
    <t>10.1676/14-073.1</t>
  </si>
  <si>
    <t>CD9ZM</t>
  </si>
  <si>
    <t>WOS:000351460800018</t>
  </si>
  <si>
    <t>Sahu, N; Tangutur, AD</t>
  </si>
  <si>
    <t>Sahu, Nivedita; Tangutur, Anjana Devi</t>
  </si>
  <si>
    <t>Airborne algae: overview of the current status and its implications on the environment</t>
  </si>
  <si>
    <t>AEROBIOLOGIA</t>
  </si>
  <si>
    <t>Microorganisms; Airborne/air-dispersed algae; Environment; Health; Global warming</t>
  </si>
  <si>
    <t>ANTARCTIC TERRESTRIAL ALGAE; LICHEN SOREDIA; ATMOSPHERE; DISPERSAL; DIVERSITY; ALLERGENICITY; CYANOBACTERIA; ALLERGY; AIR</t>
  </si>
  <si>
    <t>A diverse variety of microorganisms comprising bacteria, fungi, viruses, protozoa and algae are found in the atmosphere. They have various implications in the environment and on the health aspects in living organisms. The spatial distribution and their prevalence is affected by climatic changes and other natural processes including human activities. Although bacteria, fungi, viruses, protozoa and algae have been well studied, research in the area of airborne algae appears to be limited indicating that airborne algae are the least studied organisms in both aerobiological and phycological research. The main focus in the studies carried out so far include an analysis of diversity of airborne algae in different climatic conditions, at a particular locality or in different geographical regions. Few available studies review the allergenicity of the airborne algae to humans and/or its possible role in the ecosystem(s). Therefore, in this paper, we provide a comprehensive review of research carried out so far on airborne algae and suggest future research directions for fulfilling the existing gaps based on our understanding of the literature in this area of phycological research.</t>
  </si>
  <si>
    <t>[Sahu, Nivedita] Indian Inst Chem Technol, CSIR, Biotechnol Lab, Med Chem &amp; Pharmacol, Hyderabad 500007, Andhra Pradesh, India; [Tangutur, Anjana Devi] Indian Inst Chem Technol, CSIR, Chem Biol Div, Hyderabad 500007, Andhra Pradesh, India</t>
  </si>
  <si>
    <t>Council of Scientific &amp; Industrial Research (CSIR) - India; CSIR - Indian Institute of Chemical Technology (IICT); Council of Scientific &amp; Industrial Research (CSIR) - India; CSIR - Indian Institute of Chemical Technology (IICT)</t>
  </si>
  <si>
    <t>Sahu, N (corresponding author), Indian Inst Chem Technol, CSIR, Biotechnol Lab, Med Chem &amp; Pharmacol, Uppal Rd, Hyderabad 500007, Andhra Pradesh, India.</t>
  </si>
  <si>
    <t>sahu_csmcri@yahoo.com</t>
  </si>
  <si>
    <t>CSIR-IICT, Hyderabad, India</t>
  </si>
  <si>
    <t>The authors duly acknowledge the CSIR-IICT, Hyderabad, India for their support to carry out the study.</t>
  </si>
  <si>
    <t>0393-5965</t>
  </si>
  <si>
    <t>1573-3025</t>
  </si>
  <si>
    <t>Aerobiologia</t>
  </si>
  <si>
    <t>10.1007/s10453-014-9349-z</t>
  </si>
  <si>
    <t>Biology; Environmental Sciences</t>
  </si>
  <si>
    <t>Life Sciences &amp; Biomedicine - Other Topics; Environmental Sciences &amp; Ecology</t>
  </si>
  <si>
    <t>CC7WY</t>
  </si>
  <si>
    <t>WOS:000350580400009</t>
  </si>
  <si>
    <t>Lee, EJ; Merriwether, DA; Kasparov, AK; Khartanovich, VI; Nikolskiy, PA; Shidlovskiy, FK; Timoshin, VB; Pavlova, EY; Pitulko, VV</t>
  </si>
  <si>
    <t>Lee, Esther J.; Merriwether, D. Andrew; Kasparov, Alexei K.; Khartanovich, Valery I.; Nikolskiy, Pavel A.; Shidlovskiy, Fedor K.; Timoshin, Valery B.; Pavlova, Elena Yu; Pitulko, Vladimir V.</t>
  </si>
  <si>
    <t>Ancient DNA analysis of human remains from the Siberian Arctic</t>
  </si>
  <si>
    <t>AMERICAN JOURNAL OF PHYSICAL ANTHROPOLOGY</t>
  </si>
  <si>
    <t>84th Annual Meeting of the American-Association-of-Physical-Anthropologists</t>
  </si>
  <si>
    <t>MAR 25-28, 2015</t>
  </si>
  <si>
    <t>St Louis, MO</t>
  </si>
  <si>
    <t>[Lee, Esther J.] Texas Tech Univ, Dept Sociol, Anthropol, Social Work, Lubbock, TX 79409 USA; [Lee, Esther J.; Merriwether, D. Andrew] Binghamton Univ, Dept Anthropol, Binghamton, NY 13902 USA; [Kasparov, Alexei K.; Pitulko, Vladimir V.] Russian Acad Sci, Inst Hist Mat Culture, Moscow 117901, Russia; [Khartanovich, Valery I.] Russian Acad Sci, Peter Greats Museum Anthropol &amp; Ethnog, Moscow 117901, Russia; [Nikolskiy, Pavel A.] Russian Acad Sci, Inst Geol, Moscow 117901, Russia; [Shidlovskiy, Fedor K.] Ice Age Museum, Moscow, Russia; [Timoshin, Valery B.] St Petersburg Pediat Med Univ, St Petersburg, Russia; [Pavlova, Elena Yu] Russian Acad Sci, Arctic &amp; Antarctic Res Inst, Moscow 117901, Russia</t>
  </si>
  <si>
    <t>Texas Tech University System; Texas Tech University; State University of New York (SUNY) System; State University of New York (SUNY) Binghamton; Russian Academy of Sciences; St. Petersburg Scientific Centre of the Russian Academy of Sciences; Institute for the History of Material Culture, Russian Academy of Sciences; Russian Academy of Sciences; Geological Institute, Russian Academy of Sciences; Russian Academy of Sciences; Saint Petersburg State Pediatric Medical University; Arctic &amp; Antarctic Research Institute; Russian Academy of Sciences</t>
  </si>
  <si>
    <t>Nikolskiy, Pavel A/C-5041-2012; Khartanovich, Valeri I/H-1872-2017; Pitulko, Vladimir/N-4009-2019; Pavlova, Elena/AAA-3291-2019; Nikolskiy, Pavel/JNT-4697-2023</t>
  </si>
  <si>
    <t>Khartanovich, Valeri I/0000-0002-5533-0686;</t>
  </si>
  <si>
    <t>0002-9483</t>
  </si>
  <si>
    <t>1096-8644</t>
  </si>
  <si>
    <t>AM J PHYS ANTHROPOL</t>
  </si>
  <si>
    <t>Am. J. Phys. Anthropol.</t>
  </si>
  <si>
    <t>Anthropology; Evolutionary Biology</t>
  </si>
  <si>
    <t>Science Citation Index Expanded (SCI-EXPANDED); Social Science Citation Index (SSCI); Conference Proceedings Citation Index - Science (CPCI-S)</t>
  </si>
  <si>
    <t>CC8CE</t>
  </si>
  <si>
    <t>WOS:000350594901296</t>
  </si>
  <si>
    <t>Prerna, R; Gangopadhyay, PK</t>
  </si>
  <si>
    <t>Prerna, R.; Gangopadhyay, Prasun K.</t>
  </si>
  <si>
    <t>Demand Forecasting of Electricity and Optimal Locationing of Transformer Locations Using Geo-Spatial Techniques: A Case Study of Districts of Bihar, India</t>
  </si>
  <si>
    <t>APPLIED SPATIAL ANALYSIS AND POLICY</t>
  </si>
  <si>
    <t>Demand forecasting; Priority Index; Transformers; RGGVY</t>
  </si>
  <si>
    <t>In the present study an attempt has been made to identify the demand of each household in the study area, in order to divide the villages into pockets of high, moderate and low priority for provision of electrification. This division is based on a Priority Index that has been designed in a manner to address the variations in electricity demand also considering the socio-economic background of the household dwellers. Parameters that were applied in order the assess the socio-economic status were, monthly income/expenditure, rate of literacy, occupational structure, number of school going children, size of household and level of poverty i.e. identification of APL/BPL households. Out of these, the most significant contributors were included in the computation of a bias free Priority Index. The spatial division (as per priority) was helpful in proposing potential locations for the placement of new transformers, providing higher spatial coverage with planned energy allocation and minimized transmission loss. According to this methodology, a holistic categorization was achieved which closely identified the pockets needed to be given highest priority for providing electricity, without compromising on greatest spatial coverage. The average percentage of households that remained uncovered across the five villages studied was 9.68 % only, promising a reasonably high coverage.</t>
  </si>
  <si>
    <t>[Prerna, R.] TERI Univ, Dept Nat Resources, New Delhi 110070, India; [Gangopadhyay, Prasun K.] TERI, New Delhi 110003, India</t>
  </si>
  <si>
    <t>TERI University</t>
  </si>
  <si>
    <t>Prerna, R (corresponding author), Natl Ctr Antarctic &amp; Ocean Res, Headland Sada, Vasco Da Gama 403804, Goa, India.</t>
  </si>
  <si>
    <t>prerna.geoinfo@gmail.com</t>
  </si>
  <si>
    <t>Ramesh, Prerna/0000-0001-6894-3951</t>
  </si>
  <si>
    <t>1874-463X</t>
  </si>
  <si>
    <t>1874-4621</t>
  </si>
  <si>
    <t>APPL SPAT ANAL POLIC</t>
  </si>
  <si>
    <t>Appl. Spat. Anal. Policy</t>
  </si>
  <si>
    <t>10.1007/s12061-014-9121-3</t>
  </si>
  <si>
    <t>Environmental Studies; Geography; Regional &amp; Urban Planning</t>
  </si>
  <si>
    <t>Environmental Sciences &amp; Ecology; Geography; Public Administration</t>
  </si>
  <si>
    <t>CD2CV</t>
  </si>
  <si>
    <t>WOS:000350882500004</t>
  </si>
  <si>
    <t>Li, J; Sha, YJ</t>
  </si>
  <si>
    <t>Li Jiang; Sha Yujie</t>
  </si>
  <si>
    <t>Expression and enzymatic characterization of a cold-adapted β-agarase from Antarctic bacterium Pseudoalteromonas sp NJ21</t>
  </si>
  <si>
    <t>Antarctic bacterium Pseudoalteromonas; agarase; expression; enzymatic characterization</t>
  </si>
  <si>
    <t>MARINE BACTERIUM; GRACILARIA-VERRUCOSA; IN-VIVO; PURIFICATION; ENZYMES; CLONING; GENE; NEOAGAROBIOSE; AGAROSE; PO-303</t>
  </si>
  <si>
    <t>An agar-degrading bacterium, designated as Pseudoalteromonas sp. NJ21, was isolated from an Antarctic sediment sample. The agarase gene aga1161 from Pseudoalteromonas sp. NJ21 consisting of a 2 382-bp coding region was cloned. The gene encodes a 793-amino acids protein and was found to possess characteristic features of the Glyco_hydro_42 family. The recombinant agarase (rAga1161) was overexpressed in Escherichia coli and purified as a fusion protein. Enzyme activity analysis revealed that the optimum temperature and pH for the purified recombinant agarase were 30-40A degrees C and 8.0, respectively. rAga1161 was found to maintain as much as 80% of its maximum activity at 10A degrees C, which is typical of a coldadapted enzyme. The pattern of agar hydrolysis demonstrated that the enzyme is an beta-agarase, producing neoagarobiose (NA2) as the final main product. Furthermore, this work is the first proof of an agarolytic activity in Antarctic bacteria and these results indicate the potential for the Antarctic agarase as a catalyst in medicine, food and cosmetic industries.</t>
  </si>
  <si>
    <t>[Li Jiang] SOA, Inst Oceanog 1, Key Lab Marine Bioact Subst, Qingdao 266061, Peoples R China; [Sha Yujie] Chinese Acad Sci, Inst Oceanol, Qingdao 266071, Peoples R China</t>
  </si>
  <si>
    <t>First Institute of Oceanography, Ministry of Natural Resources; Chinese Academy of Sciences; Institute of Oceanology, CAS</t>
  </si>
  <si>
    <t>Li, J (corresponding author), SOA, Inst Oceanog 1, Key Lab Marine Bioact Subst, Qingdao 266061, Peoples R China.</t>
  </si>
  <si>
    <t>lijiang@fio.org.cn</t>
  </si>
  <si>
    <t>, lijiang/AAD-4033-2021</t>
  </si>
  <si>
    <t>Public Science and Technology Research Funds Project of Ocean [201105027]; Shandong Province Young and the Middle-Aged Scientists Research Awards Fund [DS2010HZ001]; Basic Scientific Research Funds of First Institute of Oceanography, State Oceanic Administration [GY02-2011G17]</t>
  </si>
  <si>
    <t>Public Science and Technology Research Funds Project of Ocean; Shandong Province Young and the Middle-Aged Scientists Research Awards Fund; Basic Scientific Research Funds of First Institute of Oceanography, State Oceanic Administration</t>
  </si>
  <si>
    <t>Supported by the Public Science and Technology Research Funds Project of Ocean (No. 201105027), the Shandong Province Young and the Middle-Aged Scientists Research Awards Fund (No. DS2010HZ001), and the Basic Scientific Research Funds of First Institute of Oceanography, State Oceanic Administration (No. GY02-2011G17)</t>
  </si>
  <si>
    <t>10.1007/s00343-015-4072-3</t>
  </si>
  <si>
    <t>CD5VP</t>
  </si>
  <si>
    <t>WOS:000351156800004</t>
  </si>
  <si>
    <t>Li, F; Wang, HJ; Gao, YQ</t>
  </si>
  <si>
    <t>Li, Fei; Wang, Huijun; Gao, Yongqi</t>
  </si>
  <si>
    <t>Modulation of Aleutian Low and Antarctic Oscillation co-variability by ENSO</t>
  </si>
  <si>
    <t>Aleutian Low; Antarctic Oscillation; El Nino-Southern Oscillation; Interannual variability</t>
  </si>
  <si>
    <t>ASIAN WINTER MONSOON; NINO-SOUTHERN-OSCILLATION; SURFACE-TEMPERATURE; GEOPOTENTIAL HEIGHT; ARCTIC OSCILLATION; CLIMATE; TELECONNECTION; CIRCULATION; FREQUENCY; DYNAMICS</t>
  </si>
  <si>
    <t>We use both the National Centers for Environmental Prediction (NCEP)-National Center for Atmospheric Research (NCAR) reanalysis data (1979-2013) and the Community Atmospheric Model Version 3 to explore the modulation of El Nino-Southern Oscillation (ENSO) on the co-variability of the Aleutian Low (AL) and the Antarctic Oscillation (AAO). The empirical orthogonal function analysis on the NCEP-NCAR reanalysis data indicates that after the late-1990s the global sea level pressure (SLP) and 300-hPa geopotential height (Z300) in boreal January are characterized by the concurrence of the AL and the negative phase of the AAO (-AAO). Associated with this AL-AAO co-variation is a sea surface temperature anomaly that resembles the ENSO cycle. Further analyses reveal that the interdecadal change in ENSO signal (westward extension and more La Nina events) is responsible for the co-variability of AL and AAO after the late-1990s. Correspondingly, the El Nino-related anomalous heating and upward motion over the eastern-central equatorial Pacific can lead to the upper-tropospheric divergence in the western-central Pacific. This upper-tropospheric divergence plays an essential role in coupling the equatorial heat anomalies with the variation of the subtropical westerly jet of both hemispheres, and therefore results in the enhanced meridional circulation of the three cells. It thus implies that ENSO might act as a bridge linking AL and AAO after the late-1990s, causing their consistent co-variability. The numerical experiment also supports this hypothesis.</t>
  </si>
  <si>
    <t>[Li, Fei; Wang, Huijun; Gao, Yongqi] Chinese Acad Sci, Inst Atmospher Phys, Nansen Zhu Int Res Ctr, Beijing 100029, Peoples R China; [Li, Fei; Wang, Huijun] Chinese Acad Sci, Climate Change Res Ctr, Beijing 100029, Peoples R China; [Li, Fei] Univ Chinese Acad Sci, Beijing 100049, Peoples R China; [Gao, Yongqi] Nansen Environm &amp; Remote Sensing Ctr, Bergen, Norway; [Gao, Yongqi] Bjerknes Ctr Climate Res, Bergen, Norway</t>
  </si>
  <si>
    <t>Chinese Academy of Sciences; Institute of Atmospheric Physics, CAS; Chinese Academy of Sciences; Chinese Academy of Sciences; University of Chinese Academy of Sciences, CAS; Nansen Environmental &amp; Remote Sensing Center (NERSC); Bjerknes Centre for Climate Research</t>
  </si>
  <si>
    <t>Li, F (corresponding author), Chinese Acad Sci, Inst Atmospher Phys, Nansen Zhu Int Res Ctr, Beijing 100029, Peoples R China.</t>
  </si>
  <si>
    <t>lifei-715@163.com</t>
  </si>
  <si>
    <t>gao, yongqi/N-9347-2014; Li, Fei/ABE-8179-2020; Li, Fei/ABN-0225-2022</t>
  </si>
  <si>
    <t>Li, Fei/0000-0002-4301-8409;</t>
  </si>
  <si>
    <t>National Natural Science Foundation of China [41210007, 41130103]; Chinese Academy of Sciences [XDA05110203]</t>
  </si>
  <si>
    <t>National Natural Science Foundation of China(National Natural Science Foundation of China (NSFC)); Chinese Academy of Sciences(Chinese Academy of Sciences)</t>
  </si>
  <si>
    <t>This research was supported by National Natural Science Foundation of China (Grants: 41210007 and 41130103) and by the strategic Priority Research Program (XDA05110203) of the Chinese Academy of Sciences.</t>
  </si>
  <si>
    <t>5-6</t>
  </si>
  <si>
    <t>10.1007/s00382-014-2134-4</t>
  </si>
  <si>
    <t>CC4ZC</t>
  </si>
  <si>
    <t>WOS:000350364500005</t>
  </si>
  <si>
    <t>Rice, CV; Middaugh, A; Wickham, JR; Friedline, A; Thomas, KJ; Scull, E; Johnson, K; Zachariah, M; Garimella, R</t>
  </si>
  <si>
    <t>Rice, Charles V.; Middaugh, Amy; Wickham, Jason R.; Friedline, Anthony; Thomas, Kieth J., III; Scull, Erin; Johnson, Karen; Zachariah, Malcolm; Garimella, Ravindranth</t>
  </si>
  <si>
    <t>Bacterial lipoteichoic acid enhances cryosurvival</t>
  </si>
  <si>
    <t>Teichoic acid; Lipoteichoic acid; Wall teichoic acid; Peptidoglycan; Cryoprotectant; Psychrophile; Bacteria; Extremophile; Ice</t>
  </si>
  <si>
    <t>COAGULASE-NEGATIVE STAPHYLOCOCCI; GRAM-POSITIVE BACTERIA; SP-NOV.; ANTIFREEZE PROTEIN; SEA-ICE; ENTEROCOCCUS-FAECALIS; ANTARCTIC BACTERIUM; EXTRACELLULAR SLIME; ARCTIC WINTER; LAKE VOSTOK</t>
  </si>
  <si>
    <t>Antifreeze proteins in fish, plants, and insects provide protection to a few degrees below freezing. Microbes have been found to survive at even lower temperatures, and with a few exceptions, antifreeze proteins are missing. We show that lipoteichoic acid (LTA), a biopolymer in the cell wall of Gram-positive bacteria, can be added to B. subtilis cultures and increase freeze tolerance. At 1 % w/v, LTA enables a 50 % survival rate, similar to the results obtained with 1 % w/v glycerol as measured with the resazurin cell viability assay. In the absence of added LTA or glycerol, a very small number of B. subtilis cells survive freezing. This suggests that an innate freeze tolerance mechanism exists. While cryoprotection can be provided by extracellular polymeric substances, our data demonstrate a role for LTA in cryoprotection. Currently, the exact mode of action for LTA cryoprotection is unknown. With a molecular weight of 3-5 kDa, it is unlikely to enter the cell cytoplasm. However, low temperature microscopy data show small ice crystals aligned along channels of liquid water. Our observations suggest that teichoic acids could protect liquid water within biofilms and planktonic bacteria, augmenting the role of brine while also raising the possibility for survival without brine present.</t>
  </si>
  <si>
    <t>[Rice, Charles V.; Middaugh, Amy; Wickham, Jason R.; Friedline, Anthony; Thomas, Kieth J., III; Scull, Erin; Johnson, Karen; Zachariah, Malcolm; Garimella, Ravindranth] Univ Oklahoma, Dept Chem &amp; Biochem, Norman, OK 73019 USA</t>
  </si>
  <si>
    <t>University of Oklahoma System; University of Oklahoma - Norman</t>
  </si>
  <si>
    <t>Rice, CV (corresponding author), Univ Oklahoma, Dept Chem &amp; Biochem, 101 Stephenson Pkwy, Norman, OK 73019 USA.</t>
  </si>
  <si>
    <t>rice@ou.edu</t>
  </si>
  <si>
    <t>University of Oklahoma; National Institutes of Health [R01-GM090064]; Department of Education [P200A030196]</t>
  </si>
  <si>
    <t>University of Oklahoma; National Institutes of Health(United States Department of Health &amp; Human ServicesNational Institutes of Health (NIH) - USA); Department of Education(US Department of Education)</t>
  </si>
  <si>
    <t>This work is supported by the University of Oklahoma and the National Institutes of Health (R01-GM090064). We are grateful to Dr. Jim Henthorn, OU Health Sciences Center, for assisting with the fluorescence microscopy experiments. Jason R. Wickham is currently an Associate Professor at Northwestern Oklahoma State University. He was supported during this project as a Graduate Assistance in Areas of National Need (GAANN) Fellow via a Department of Education Grant No. P200A030196 awarded to the Department of Chemistry and Biochemistry, University of Oklahoma.</t>
  </si>
  <si>
    <t>CHIYODA FIRST BLDG EAST, 3-8-1 NISHI-KANDA, CHIYODA-KU, TOKYO, 101-0065, JAPAN</t>
  </si>
  <si>
    <t>10.1007/s00792-014-0714-1</t>
  </si>
  <si>
    <t>CC4FH</t>
  </si>
  <si>
    <t>WOS:000350306200007</t>
  </si>
  <si>
    <t>Kim, D; Yoo, M; Kim, E; Hong, SG</t>
  </si>
  <si>
    <t>Kim, Dockyu; Yoo, Miyoun; Kim, Eungbin; Hong, Soon Gyu</t>
  </si>
  <si>
    <t>Anthranilate degradation by a cold-adapted Pseudomonas sp.</t>
  </si>
  <si>
    <t>JOURNAL OF BASIC MICROBIOLOGY</t>
  </si>
  <si>
    <t>Aromatic; Degradation; Cold-adaptation; Thermolabile enzyme</t>
  </si>
  <si>
    <t>SP STRAIN ADP1; HYDROCARBON DEGRADATION; ALPINE MICROORGANISMS; MICROBIAL COMMUNITIES; DIOXYGENASE GENES; ANTARCTIC SOILS; 1,2-DIOXYGENASE; DIVERSITY; BACTERIA; CLASSIFICATION</t>
  </si>
  <si>
    <t>An alpine soil bacterium Pseudomonas sp. strain PAMC 25931 was characterized as eurypsychrophilic (both psychrophilic and mesotolerant) with a broad temperature range of 5-30 degrees C both for anthranilate (2-aminobenzoate) degradation and concomitant cell growth. Two degradative gene clusters (antABC and catBCA) were detected from a fosmid clone in the PAMC 25931 genomic library; each cluster was confirmed to be specifically induced by anthranilate. When expressed in Escherichia coli, the recombinant AntABC (anthranilate 1,2-dioxygenase, AntDO) converted anthranilate into catechol, exhibiting strict specificity toward anthranilate. Recombinant CatA (catechol 1,2-dioxygenase, C12O) from the organism was active over a broad temperature range (5-37 degrees C). However, CatA rapidly lost the enzyme activity when incubated at above 25 degrees C. For example, 1h-preincubation at 37 degrees C resulted in 100% loss of enzyme activity, while a counterpart from mesophilic Pseudomonas putida mt-2 did not show any negative effect on the initial enzyme activity. These results suggest that CatA is a new cold-adapted thermolabile enzyme, which might be a product through the adaptation process of PAMC 25931 to naturally cold environments and contribute to its ability to grow on anthranilate there.</t>
  </si>
  <si>
    <t>[Kim, Dockyu; Hong, Soon Gyu] Korea Polar Res Inst, Div Life Sci, Inchon, South Korea; [Yoo, Miyoun; Kim, Eungbin] Yonsei Univ, Dept Syst Biol, Seoul 120749, South Korea; [Yoo, Miyoun; Kim, Eungbin] Yonsei Int Campus, Yonsei Paris Sud Project, Inchon, South Korea</t>
  </si>
  <si>
    <t>Korea Polar Research Institute (KOPRI); Korea Institute of Ocean Science &amp; Technology (KIOST); Yonsei University</t>
  </si>
  <si>
    <t>Kim, D (corresponding author), Korea Polar Res Inst, Div Life Sci, 406-840 Room 408-1,Get Pearl Tower, Inchon, South Korea.</t>
  </si>
  <si>
    <t>envimic@kopri.re.kr</t>
  </si>
  <si>
    <t>, Eungbin/0000-0002-4851-4743</t>
  </si>
  <si>
    <t>[PE13040]</t>
  </si>
  <si>
    <t>This work was financially supported by a grant to the Korea Polar Research Institute under project PE13040.</t>
  </si>
  <si>
    <t>0233-111X</t>
  </si>
  <si>
    <t>1521-4028</t>
  </si>
  <si>
    <t>J BASIC MICROB</t>
  </si>
  <si>
    <t>J. Basic Microbiol.</t>
  </si>
  <si>
    <t>10.1002/jobm.201300079</t>
  </si>
  <si>
    <t>CC8UM</t>
  </si>
  <si>
    <t>WOS:000350644000011</t>
  </si>
  <si>
    <t>Li, XC; Gerber, EP; Holland, DM; Yoo, C</t>
  </si>
  <si>
    <t>Li, Xichen; Gerber, Edwin P.; Holland, David M.; Yoo, Changhyun</t>
  </si>
  <si>
    <t>A Rossby Wave Bridge from the Tropical Atlantic to West Antarctica</t>
  </si>
  <si>
    <t>SOUTHERN ANNULAR MODE; ICE-OCEAN SYSTEM; SEA-ICE; EXTRATROPICAL CIRCULATION; CLIMATE VARIABILITY; OSCILLATION; LINKAGES; AMUNDSEN; IMPACTS; NORTH</t>
  </si>
  <si>
    <t>Tropical Atlantic sea surface temperature changes have recently been linked to circulation anomalies around Antarctica during austral winter. Warming in the tropical Atlantic associated with the Atlantic multidecadal oscillation forces a positive response in the southern annular mode, strengthening the Amundsen-Bellingshausen Sea low in particular. In this study, observational and reanalysis datasets and a hierarchy of atmospheric models are used to assess the seasonality and dynamical mechanism of this teleconnection. Both the reanalyses and models reveal a robust link between tropical Atlantic SSTs and the Amundsen-Bellingshausen Sea low in all seasons except austral summer. A Rossby wave mechanism is then shown to both explain the teleconnection and its seasonality. The mechanism involves both changes in the excitation of Rossby wave activity with season and the formation of a Rossby wave guide across the Pacific, which depends critically on the strength and extension of the subtropical jet over the west Pacific. Strong anticyclonic curvature on the poleward flank of the jet creates a reflecting surface, channeling quasi-stationary Rossby waves from the subtropical Atlantic to the Amundsen-Bellingshausen Sea region. In summer, however, the jet is weaker than in other seasons and no longer able to keep Rossby wave activity trapped in the Southern Hemisphere. The mechanism is supported by integrations with a comprehensive atmospheric model, initial-value calculations with a primitive equation model on the sphere, and Rossby wave ray tracing analysis.</t>
  </si>
  <si>
    <t>[Li, Xichen; Gerber, Edwin P.; Holland, David M.; Yoo, Changhyun] NYU, Courant Inst Math Sci, Ctr Atmospher &amp; Ocean Sci, New York, NY USA</t>
  </si>
  <si>
    <t>New York University</t>
  </si>
  <si>
    <t>Li, XC (corresponding author), Univ Calif San Diego, Scripps Inst Oceanog, 9500 Gilman Dr 0206, La Jolla, CA 92093 USA.</t>
  </si>
  <si>
    <t>xichenslc@gmail.com</t>
  </si>
  <si>
    <t>Li, Xichen/ISB-4663-2023</t>
  </si>
  <si>
    <t>Gerber, Edwin/0000-0002-6010-6638</t>
  </si>
  <si>
    <t>NSF Office of Polar Programs [ANT-0732869]; NASA Polar Programs [NNX12AB69G]; New York University Abu Dhabi [G1204]; National Science Foundation (NSF) Division of Atmospheric and Geospace Sciences [AGS-1264195]; National Science Foundation (NSF); Office of Science of the U.S. Department of Energy (DOE); Directorate For Geosciences; Div Atmospheric &amp; Geospace Sciences [1264195] Funding Source: National Science Foundation; NASA [30944, NNX12AB69G] Funding Source: Federal RePORTER</t>
  </si>
  <si>
    <t>NSF Office of Polar Programs(National Science Foundation (NSF)); NASA Polar Programs; New York University Abu Dhabi; National Science Foundation (NSF) Division of Atmospheric and Geospace Sciences(National Science Foundation (NSF)); National Science Foundation (NSF)(National Science Foundation (NSF)); Office of Science of the U.S. Department of Energy (DOE)(United States Department of Energy (DOE)); Directorate For Geosciences; Div Atmospheric &amp; Geospace Sciences(National Science Foundation (NSF)NSF - Directorate for Geosciences (GEO)); NASA(National Aeronautics &amp; Space Administration (NASA))</t>
  </si>
  <si>
    <t>We thank Qinghua Ding and two anonymous reviewers for their insightful comments on earlier versions of the manuscript. X.L., D.M.H., and C.Y. were supported by the NSF Office of Polar Programs ANT-0732869, the NASA Polar Programs NNX12AB69G, and the New York University Abu Dhabi G1204. E.P.G. was supported by the National Science Foundation (NSF) Division of Atmospheric and Geospace Sciences through Grant AGS-1264195. The HadISST sea surface temperature and sea-ice concentration data were provided by the British Met Office Hadley Centre. The Antarctic weather station data were made available by the British Antarctic Survey (BAS). The MERRA atmospheric reanalysis data were provided by the Global Modeling and Assimilation Office (GMAO) at NASA Goddard Space Flight Center (GSFC) through the NASA Goddard Earth Sciences (GES) Data and Information Services Center (DISC) online archive. The ERA-Interim atmospheric reanalysis was provided by the European Centre for Medium-Range Weather Forecasts (ECMWF). The comprehensive atmospheric model, CAM4, was made available by the National Center for Atmospheric Research (NCAR), supported by the National Science Foundation (NSF) and the Office of Science of the U.S. Department of Energy (DOE). The idealized atmospheric model, GFDL dry-dynamical-core, was developed by the National Oceanic and Atmospheric Administration (NOAA)/Geophysical Fluid Dynamics Laboratory (GFDL). Computing resources were provided by the National Energy Research Scientific Computing Center (NERSC) and High Performance Computing (HPC) center at New York University (NYU).</t>
  </si>
  <si>
    <t>10.1175/JCLI-D-14-00450.1</t>
  </si>
  <si>
    <t>CD3MV</t>
  </si>
  <si>
    <t>WOS:000350983700010</t>
  </si>
  <si>
    <t>Melet, A; Hallberg, R; Adcroft, A; Nikurashin, M; Legg, S</t>
  </si>
  <si>
    <t>Melet, Angelique; Hallberg, Robert; Adcroft, Alistair; Nikurashin, Maxim; Legg, Sonya</t>
  </si>
  <si>
    <t>Energy Flux into Internal Lee Waves: Sensitivity to Future Climate Changes Using Linear Theory and a Climate Model</t>
  </si>
  <si>
    <t>SOUTHERN-OCEAN; OVERTURNING CIRCULATION; DEEP-OCEAN; PART I; DRIVEN; PARAMETERIZATION; TOPOGRAPHY; GENERATION; EDDIES; WIND</t>
  </si>
  <si>
    <t>Internal lee waves generated by geostrophic flows over rough topography are thought to be a significant energy sink for eddies and energy source for deep ocean mixing. The sensitivity of the energy flux into lee waves from preindustrial, present, and possible future climate conditions is explored in this study using linear theory. The bottom stratification and geostrophic velocity fields needed for the calculation of the energy flux into lee waves are provided by Geophysical Fluid Dynamics Laboratory's global coupled ocean-ice-atmosphere model, CM2G. The unresolved mesoscale eddy energy is parameterized as a function of the large-scale available potential energy. Simulations using historical and representative concentration pathway ( RCP) scenarios were performed over the 1861-2200 period. The diagnostics herein suggest a decrease of the global energy flux into lee waves on the order of 20% from preindustrial to future climate conditions under the RCP8.5 scenario. In the Southern Ocean, the energy flux into lee waves exhibits a clear annual cycle with maximum values in austral winter. The long-term decrease of the global energy flux into lee waves and the annual cycle of the energy flux in the Southern Ocean are mostly due to changes in bottom velocity.</t>
  </si>
  <si>
    <t>[Melet, Angelique] Princeton Univ, Program Atmospher &amp; Ocean Sci, Princeton, NJ 08544 USA; [Melet, Angelique] Univ Toulouse 3, CNRS, IRD, CNES,LEGOS,UMR5566, F-31062 Toulouse, France; [Hallberg, Robert] NOAA, Geophys Fluid Dynam Lab, Princeton, NJ USA; [Adcroft, Alistair; Legg, Sonya] Princeton Univ, NOAA, Geophys Fluid Dynam Lab, Princeton, NJ 08544 USA; [Nikurashin, Maxim] Univ Tasmania, Inst Marine &amp; Antarctic Studies, Hobart, Tas, Australia; [Nikurashin, Maxim] ARC Ctr Excellence Climate Syst Sci, Hobart, Tas, Australia</t>
  </si>
  <si>
    <t>Princeton University; National Oceanic Atmospheric Admin (NOAA) - USA; Centre National de la Recherche Scientifique (CNRS); CNRS - National Institute for Earth Sciences &amp; Astronomy (INSU); Universite de Toulouse; Universite Toulouse III - Paul Sabatier; Institut de Recherche pour le Developpement (IRD); Laboratoire d'Etudes en Geophysique et oceanographie spatiales; National Oceanic Atmospheric Admin (NOAA) - USA; National Oceanic Atmospheric Admin (NOAA) - USA; Princeton University; University of Tasmania; ARC Centre of Excellence for Climate System Science</t>
  </si>
  <si>
    <t>Melet, A (corresponding author), Geophys Fluid Dynam Lab, 201 Forrestal Rd, Princeton, NJ 08540 USA.</t>
  </si>
  <si>
    <t>angelique.melet@noaa.gov</t>
  </si>
  <si>
    <t>Adcroft, Alistair/E-5949-2010; Nikurashin, Maxim/P-4018-2019; Legg, Sonya/E-5995-2010; Melet, Angelique/ABE-5148-2020</t>
  </si>
  <si>
    <t>Adcroft, Alistair/0000-0001-9413-1017; Melet, Angelique/0000-0003-3888-8159; Nikurashin, Maxim/0000-0002-5714-8343</t>
  </si>
  <si>
    <t>National Science Foundation [OCE-0968721]; National Oceanic and Atmospheric Administration, U.S. Department of Commerce [NA08OAR4320752]</t>
  </si>
  <si>
    <t>National Science Foundation(National Science Foundation (NSF)); National Oceanic and Atmospheric Administration, U.S. Department of Commerce(National Oceanic Atmospheric Admin (NOAA) - USA)</t>
  </si>
  <si>
    <t>The authors thank Malte Jansen and John Dunne for helpful discussions and John Krasting for his help in setting up the simulations. We also thank three anonymous reviewers for thoughtful comments on this manuscript. This work is a component of the internal wave driven mixing Climate Process Team funded by the National Science Foundation Grant OCE-0968721 and the National Oceanic and Atmospheric Administration, U.S. Department of Commerce, Award NA08OAR4320752. The statements, findings, conclusions, and recommendations are those of the authors and do not necessarily reflect the views of the National Oceanic and Atmospheric Administration, or the U.S. Department of Commerce.</t>
  </si>
  <si>
    <t>10.1175/JCLI-D-14-00432.1</t>
  </si>
  <si>
    <t>WOS:000350983700016</t>
  </si>
  <si>
    <t>Choi, KS; Park, S; Chang, KH; Lee, JH</t>
  </si>
  <si>
    <t>Choi, Ki-Seon; Park, Sangwook; Chang, Ki-Ho; Lee, Jong-Ho</t>
  </si>
  <si>
    <t>A possible relationship between East Indian Ocean SST and tropical cyclone affecting Korea</t>
  </si>
  <si>
    <t>NATURAL HAZARDS</t>
  </si>
  <si>
    <t>East Indian Ocean; Tropical cyclone; Western North Pacific subtropical high</t>
  </si>
  <si>
    <t>WESTERN NORTH PACIFIC; INTERANNUAL VARIABILITY; ANTARCTIC OSCILLATION; TYPHOON FREQUENCY; LANDFALL; CLIMATOLOGY; PREDICTION; MODEL; ENSO</t>
  </si>
  <si>
    <t>In this study, a strong negative correlation was found between East Indian Ocean (EIO) SST and frequency of summertime tropical cyclone (TC) affecting Korea. For the Warm EIO SST years, the TCs mostly occurred in the southwestern region of tropical and subtropical western Pacific, and migrated west toward the southern coast of China and Indochinese peninsula through the South China Sea. This is because the anomalous easterlies, induced by the development of anomalous anticyclone (weakening of monsoon trough) from the tropical central Pacific to the southern coast of China, served as the steering flows for the westward migration of TCs. In contrast, for the cold EIO SST years, the TCs mostly occurred in the northeastern region of tropical and subtropical western Pacific and migrated toward Korea and Japan located in the mid-latitudes of East Asia through the East China Sea. This is because the northeastward retreat of western North Pacific subtropical high was more distinct for the cold EIO SST years compared to the warm EIO SST years. Therefore, the TCs of warm EIO SST years weakened or dissipated shortly due to the effect of geographical features as they land on the southern coast of China and Indochinese peninsula, whereas the TCs of cold EIO SST years had stronger intensity than the TCs of warm EIO SST years as sufficient energy is supplied from the ocean while moving toward Korea and Japan.</t>
  </si>
  <si>
    <t>[Choi, Ki-Seon; Park, Sangwook; Chang, Ki-Ho; Lee, Jong-Ho] Korea Meteorol Adm, Natl Typhoon Ctr, Cheju, South Korea</t>
  </si>
  <si>
    <t>Korea Meteorological Administration (KMA)</t>
  </si>
  <si>
    <t>Choi, KS (corresponding author), Korea Meteorol Adm, Natl Typhoon Ctr, Cheju, South Korea.</t>
  </si>
  <si>
    <t>project Management of National Typhoon Center - Korea Meteorological Administration (KMA); project Development of technology for the short and long range typhoon forecast in Development and application of technology for weather forecast - Korea Meteorological Administration (KMA) [NIMR-2013-B-1]</t>
  </si>
  <si>
    <t>project Management of National Typhoon Center - Korea Meteorological Administration (KMA); project Development of technology for the short and long range typhoon forecast in Development and application of technology for weather forecast - Korea Meteorological Administration (KMA)</t>
  </si>
  <si>
    <t>This research is supported by the project Management of National Typhoon Center, and Development of technology for the short and long range typhoon forecast in Development and application of technology for weather forecast (NIMR-2013-B-1) funded by Korea Meteorological Administration (KMA).</t>
  </si>
  <si>
    <t>0921-030X</t>
  </si>
  <si>
    <t>1573-0840</t>
  </si>
  <si>
    <t>NAT HAZARDS</t>
  </si>
  <si>
    <t>Nat. Hazards</t>
  </si>
  <si>
    <t>10.1007/s11069-014-1489-5</t>
  </si>
  <si>
    <t>Geosciences, Multidisciplinary; Meteorology &amp; Atmospheric Sciences; Water Resources</t>
  </si>
  <si>
    <t>Geology; Meteorology &amp; Atmospheric Sciences; Water Resources</t>
  </si>
  <si>
    <t>CC4LZ</t>
  </si>
  <si>
    <t>WOS:000350326200016</t>
  </si>
  <si>
    <t>Emery, TJ; Tisdell, J; Green, BS; Hartmann, K; Gardner, C; León, R</t>
  </si>
  <si>
    <t>Emery, Timothy J.; Tisdell, John; Green, Bridget S.; Hartmann, Klaas; Gardner, Caleb; Leon, Rafael</t>
  </si>
  <si>
    <t>An experimental analysis of assignment problems and economic rent dissipation in quota managed fisheries</t>
  </si>
  <si>
    <t>OCEAN &amp; COASTAL MANAGEMENT</t>
  </si>
  <si>
    <t>Common-pool resources; Experimental economics; Behaviour; Fisheries management; ITQ; Quota; Leasing</t>
  </si>
  <si>
    <t>INDIVIDUAL TRANSFERABLE QUOTAS; LABORATORY EXPERIMENTS; SOCIAL PREFERENCES; COLLECTIVE ACTION; COOPERATION; TRAGEDY; RESOURCE; COMMONS; FIELD; EXPLOITATION</t>
  </si>
  <si>
    <t>Assignment problems may remain in quota managed fisheries due to variation in the productivity of the stock across space and time. Unless fishers can agree to coordinate their fishing effort, they will compete amongst themselves and over-exploit the stock where or when the quota unit value is highest, leading to economic rent dissipation. Coordination may be made more difficult in a dynamic marine environment when groups are heterogeneous and cannot communicate amongst themselves. To investigate this supposition, a series of economic experiments were conducted using university students. Participants took on the role of either a quota owner or lease quota fisher and in the presence or absence of communication were asked to make individual harvesting decisions, which allowed researchers to assess the relative influence of these factors on group coordination. This study found that participants were more likely to make socially optimal decisions to prevent rent dissipation when they could communicate and were in an experimental group containing solely quota owners. Participants who were lease quota fishers were less likely to make socially optimal decisions due to: (i) inequality in wealth; (ii) insecurity of tenure; and (iii) asymmetric information exchange. As participants were aware of these disparities, it negatively affected the ability of heterogeneous groups to establish trust and a sense of identity, despite being able to communicate. While requiring further exposition in the field, these results provide a theoretical insight into the difficulties heterogeneous fishers may have in solving assignment problems in a dynamic environment. (C) 2015 Elsevier Ltd. All rights reserved.</t>
  </si>
  <si>
    <t>[Emery, Timothy J.; Green, Bridget S.; Hartmann, Klaas; Gardner, Caleb; Leon, Rafael] Univ Tasmania, Inst Marine &amp; Antarctic Studies, Hobart, Tas 7001, Australia; [Tisdell, John] Univ Tasmania, Sch Econ &amp; Finance, Hobart, Tas 7001, Australia</t>
  </si>
  <si>
    <t>Emery, TJ (corresponding author), Univ Tasmania, Inst Marine &amp; Antarctic Studies, Private Bag 49, Hobart, Tas 7001, Australia.</t>
  </si>
  <si>
    <t>timothy.emery@utas.edu.au; john.tisdell@utas.edu.au; bridgetgreen@utas.edu.au; klaas.hartmann@utas.edu.au; caleb.gardner@utas.edu.au; rafael.leon@utas.edu.au</t>
  </si>
  <si>
    <t>León, Rafael I/N-6510-2014; Hartmann, Klaas/B-3991-2008; Green, Bridget S/G-3368-2014; Gardner, Caleb/I-7086-2013</t>
  </si>
  <si>
    <t>Tisdell, John/0000-0001-9949-1644; Emery, Timothy/0000-0002-4203-671X; Gardner, Caleb/0000-0003-0324-4337</t>
  </si>
  <si>
    <t>University of Tasmania; Australian Seafood Cooperative Research Centre [2009/762]</t>
  </si>
  <si>
    <t>University of Tasmania; Australian Seafood Cooperative Research Centre(Australian GovernmentDepartment of Industry, Innovation and ScienceCooperative Research Centres (CRC) Programme)</t>
  </si>
  <si>
    <t>This research was funded through postgraduate scholarships from the University of Tasmania and the Australian Seafood Cooperative Research Centre (2009/762). The authors would like to thank Angus Scheibner for providing technical assistance during experimental sessions.</t>
  </si>
  <si>
    <t>0964-5691</t>
  </si>
  <si>
    <t>1873-524X</t>
  </si>
  <si>
    <t>OCEAN COAST MANAGE</t>
  </si>
  <si>
    <t>Ocean Coastal Manage.</t>
  </si>
  <si>
    <t>10.1016/j.ocecoaman.2015.01.008</t>
  </si>
  <si>
    <t>Oceanography; Water Resources</t>
  </si>
  <si>
    <t>CC7FT</t>
  </si>
  <si>
    <t>WOS:000350533800002</t>
  </si>
  <si>
    <t>Storchak, DA; Kanao, M; Delahaye, E; Harris, J</t>
  </si>
  <si>
    <t>Storchak, Dmitry A.; Kanao, Masaki; Delahaye, Emily; Harris, James</t>
  </si>
  <si>
    <t>Long-term accumulation and improvements in seismic event data for the polar regions by the International Seismological Centre</t>
  </si>
  <si>
    <t>POLAR SCIENCE</t>
  </si>
  <si>
    <t>International Seismological Centre; Teleseismic events; Earthquake detectability; Polar regions; Global earthquake catalogue</t>
  </si>
  <si>
    <t>EARTHQUAKE; ANTARCTICA; LOCATION; PLATE</t>
  </si>
  <si>
    <t>The International Seismological Centre (ISC) is a non-governmental non-profit making organization funded by 62 research and operational institutions around the world and charged with the production of the ISC Bulletin - the definitive summary of the global seismicity based on reports from over 130 agencies worldwide, including those active in Polar regions. Jointly with the National Earthquake Information Center (NEIC) of the United States Geological Survey (USGS), the ISC runs the International Seismic Station Registry. The ISC is also charged with maintaining the International Association of Seismology and Physics of the Earth Interior (IASPEI) Reference event List. The new ISC product, the ISC Event Bibliography allows users to obtain references to scientific articles describing specific seismic events, natural and anthropogenic. In this paper we demonstrate how these products and services are applicable to seismic events both in Arctic and Antarctic regions. We also give a summary of the ISC data in polar regions and provide credit to Institutions that report these data to the ISC. (C) 2014 Elsevier B.V. and NIPR. All rights reserved.</t>
  </si>
  <si>
    <t>[Storchak, Dmitry A.; Delahaye, Emily; Harris, James] Int Seismol Ctr, Thatcham RG19 4NS, Berks, England; [Kanao, Masaki] Res Org Informat &amp; Syst, Natl Inst Polar Res, Tachikawa, Tokyo 1908518, Japan; [Kanao, Masaki] Grad Univ Adv Studies SOKENDAI, Dept Polar Sci, Tachikawa, Tokyo 1908518, Japan</t>
  </si>
  <si>
    <t>Research Organization of Information &amp; Systems (ROIS); National Institute of Polar Research (NIPR) - Japan; Graduate University for Advanced Studies - Japan</t>
  </si>
  <si>
    <t>Kanao, M (corresponding author), Res Org Informat &amp; Syst, Natl Inst Polar Res, 10-3 Midori Cho, Tachikawa, Tokyo 1908518, Japan.</t>
  </si>
  <si>
    <t>dmitry@isc.ac.uk; kanao@nipr.ac.jp; emily@isc.ac.uk; james@isc.ac.uk</t>
  </si>
  <si>
    <t>Storchak, Dmitry/0000-0002-1481-801X</t>
  </si>
  <si>
    <t>ISC; Syowa Station; JSPS KAKENHI [26241010]; Directorate For Geosciences; Division Of Earth Sciences [1417970] Funding Source: National Science Foundation; Grants-in-Aid for Scientific Research [26241010] Funding Source: KAKEN</t>
  </si>
  <si>
    <t>ISC; Syowa Station; JSPS KAKENHI(Ministry of Education, Culture, Sports, Science and Technology, Japan (MEXT)Japan Society for the Promotion of ScienceGrants-in-Aid for Scientific Research (KAKENHI)); Directorate For Geosciences; Division Of Earth Sciences(National Science Foundation (NSF)NSF - Directorate for Geosciences (GEO)); Grants-in-Aid for Scientific Research(Ministry of Education, Culture, Sports, Science and Technology, Japan (MEXT)Japan Society for the Promotion of ScienceGrants-in-Aid for Scientific Research (KAKENHI))</t>
  </si>
  <si>
    <t>The authors express their sincere appreciation to all Members of ISC, the data contributors, funding agencies and sponsors for supporting the long term operations by the ISC. The authors are also grateful to all members of the NIPR, led by Prof. K. Shiraishi, Director-General. In particular, they acknowledge Profs. K. Kaminuma, K. Shibuya and Y. Nogi for their support of the operation of Syowa Station. We would like to show our special appreciation to Ms. A. Ibaraki of the Polar Data Centre, of NIPR, for her great efforts in interpretation of Syowa data for many years. The authors also express their sincere appreciation to Dr I. Bondar for providing figures on relocated seismicity and to Mrs M. Aspinwall of the ISC, for her careful proof reading and improvement of this manuscript. We would like to express our sincere appreciation to Dr. A. Reading of Tasmania University and one anonymous referee, for their critical reading and giving useful comments. Finally, the authors are grateful to Prof. K. Shibuya of NIPR as the Editor-in-Chief, and Prof. D. Zhao of Tohoku University as the guest-managing-editor of this special issue, for their great editorial endeavors in publishing this article in Polar Science. This work was partially supported by JSPS KAKENHI Grand Number 26241010 (P.I. by Dr. Masaki Kanao).</t>
  </si>
  <si>
    <t>1873-9652</t>
  </si>
  <si>
    <t>1876-4428</t>
  </si>
  <si>
    <t>POLAR SCI</t>
  </si>
  <si>
    <t>Polar Sci.</t>
  </si>
  <si>
    <t>10.1016/j.polar.2014.08.002</t>
  </si>
  <si>
    <t>Ecology; Geosciences, Multidisciplinary</t>
  </si>
  <si>
    <t>CD3QG</t>
  </si>
  <si>
    <t>WOS:000350993700002</t>
  </si>
  <si>
    <t>Murayama, T; Kanao, M; Yamamoto, MY; Ishihara, Y; Matsushima, T; Kakinami, Y</t>
  </si>
  <si>
    <t>Murayama, Takahiko; Kanao, Masaki; Yamamoto, Masa-Yuki; Ishihara, Yoshiaki; Matsushima, Takeshi; Kakinami, Yoshihiro</t>
  </si>
  <si>
    <t>Infrasound array observations in the Lutzow-Holm Bay region, East Antarctica</t>
  </si>
  <si>
    <t>Infrasound; Array observations; Lutzow-Holm Bay; East Antarctica; Microbaroms; Surface environment</t>
  </si>
  <si>
    <t>REENTRY; EARTH</t>
  </si>
  <si>
    <t>The characteristic features of infrasound waves observed in Antarctica reveal a physical interaction involving surface environmental variations in the continent and the surrounding Southern Ocean. A single infrasound sensor has been making continuous recordings since 2008 at Syowa Station (SYO; 69.0S, 39.6E) in the Lutzow-Holm Bay (LHB) of East Antarctica. The continuously recorded data clearly show the contamination of background oceanic signals (microbaroms) throughout all seasons. In austral summer 2013, several field stations with infrasound sensors were established along the coast of the LHB. Two infrasound arrays of different diameters were set up: one at SYO (with a 100-m spacing triangle) and one in the S16 area on the continental ice sheet (with a 1000-m spacing triangle). In addition to these arrays, isolated single stations were deployed at two outcrops in the LHB. These newly established arrays clearly detected the propagation direction and frequency content of microbaroms from the Southern Ocean. Microbarom measurements are a useful tool for characterizing ocean wave climates, complementing other oceanographic and geophysical data from the Antarctic. In addition to the microbaroms, several other remarkable infrasound signals were detected, including regional earthquakes, and airburst shock waves emanating from a meteoroid entering the atmosphere over the Russian Republic on 15 February 2013. Detailed and continuous measurements of infrasound waves in Antarctica could prove to be a new proxy for monitoring regional environmental change as well as temporal climate variations in high southern latitudes. (C) 2014 Elsevier B.V. and NIPR. All rights reserved.</t>
  </si>
  <si>
    <t>[Murayama, Takahiko] Japan Weather Assoc, Toshima Ku, Tokyo 1706055, Japan; [Kanao, Masaki] Res Org Informat &amp; Syst, Natl Inst Polar Res, Tachikawa, Tokyo 1908518, Japan; [Yamamoto, Masa-Yuki; Kakinami, Yoshihiro] Kochi Univ Technol, Kami, Kochi 7828502, Japan; [Ishihara, Yoshiaki] Japan Aerosp Explorat Agcy, Lunar &amp; Planetary Explorat Program Grp, Chuo Ku, Sagamihara, Kanagawa 2525210, Japan; [Matsushima, Takeshi] Kyushu Univ, Fac Sci, Shimabara, Nagasaki 8550843, Japan</t>
  </si>
  <si>
    <t>Research Organization of Information &amp; Systems (ROIS); National Institute of Polar Research (NIPR) - Japan; Kochi University Technology; Japan Aerospace Exploration Agency (JAXA); Kyushu University</t>
  </si>
  <si>
    <t>murayama@jwa.or.jp; kanao@nipr.ac.jp; yamamoto.masa-yuki@kochi-tech.ac.jp; ishihara.yoshiaki@jaxa.jp; mat@sevo.kyushu-u.ac.jp; kakinami.yoshihiro@kochi-tech.ac.jp</t>
  </si>
  <si>
    <t>Kakinami, Yoshihiro/AAW-2652-2021; Ishihara, Yoshiaki/A-8499-2011</t>
  </si>
  <si>
    <t>Kakinami, Yoshihiro/0000-0001-7806-5734; Ishihara, Yoshiaki/0000-0002-0375-6300</t>
  </si>
  <si>
    <t>Ministry of Education, Science, Sports and Culture [19740265]; JSPS KAKENHI [26241010]; Grants-in-Aid for Scientific Research [26241010, 19740265] Funding Source: KAKEN</t>
  </si>
  <si>
    <t>Ministry of Education, Science, Sports and Culture(Ministry of Education, Culture, Sports, Science and Technology, Japan (MEXT)); JSPS KAKENHI(Ministry of Education, Culture, Sports, Science and Technology, Japan (MEXT)Japan Society for the Promotion of ScienceGrants-in-Aid for Scientific Research (KAKENHI)); Grants-in-Aid for Scientific Research(Ministry of Education, Culture, Sports, Science and Technology, Japan (MEXT)Japan Society for the Promotion of ScienceGrants-in-Aid for Scientific Research (KAKENHI))</t>
  </si>
  <si>
    <t>We would like to express our sincere appreciation to many people who collaborated in the infrasound observations at SYO, in LHB, as well as members of the Japanese Antarctic Research Expeditions (JARE; Prof. Kazuyuki Shiraishi, director general of NIPR; Prof. Kentaro Watanabe of NIPR, the leader of JARE-54, and many other expedition members). Infrasound observation at SYO was partially supported by the Ministry of Education, Science, Sports and Culture, Grant-in-Aid for Young Scientists (B) 19740265, 2007 (P.I. by Dr. Yoshiaki Ishihara). Part of the data retrieval from SYO to Japan and initial processing was performed by Mr. Toshifumi Suzuki and Mr. Takayasu Komatsu, Kochi University of Technology. This work was also supported by JSPS KAKENHI Grand Number 26241010 (P.I. by Dr. Masaki Kanao). We would also like to express our sincere appreciation to two anonymous referees, Prof. Kazuo Shibuya of NIPR as the Editor-in-Chief, and Prof. Dapeng Zhao of Tohoku University as the guest-managing-editor of this special issue, for their great editorial endeavors in publishing this article in Polar Science.</t>
  </si>
  <si>
    <t>10.1016/j.polar.2014.07.005</t>
  </si>
  <si>
    <t>WOS:000350993700005</t>
  </si>
  <si>
    <t>Wittlinger, G; Farra, V</t>
  </si>
  <si>
    <t>Wittlinger, Gerard; Farra, Verronique</t>
  </si>
  <si>
    <t>Evidence of unfrozen liquids and seismic anisotropy at the base of the polar ice sheets</t>
  </si>
  <si>
    <t>Polar ice; Seismic anisotropy; Unfrozen liquids</t>
  </si>
  <si>
    <t>ELASTIC-CONSTANTS; MASS-BALANCE; FLOW; VELOCITIES; BENEATH; WATER; THICKNESS; DYNAMICS; STREAM</t>
  </si>
  <si>
    <t>We analyze seismic data from broadband stations located on the Antarctic and Greenland ice sheets to determine polar ice seismic velocities. P-to-S converted waves at the ice/rock interface and inside the ice sheets and their multiples (the P-receiver functions) are used to estimate in-situ P-wave velocity (Vp) and P-to-S velocity ratio (Vp/Vs) of polar ice. We find that the polar ice sheets have a two-layer structure; an upper layer of variable thickness (about 2/3 of the total thickness) with seismic velocities close to the standard ice values, and a lower layer of approximately constant thickness with standard Vp but similar to 25% smaller Vs. The lower layer ceiling corresponds approximately to the -30 degrees C isotherm. Synthetic modeling of P-receiver functions shows that strong seismic anisotropy and low vertical S velocity are needed in the lower layer. The seismic anisotropy results from the preferred orientation of ice crystal c-axes toward the vertical. The low vertical S velocity may be due to the presence of unfrozen liquids resulting from premelting at grain joints and/or melting of chemical solutions buried in the ice. The strongly preferred ice crystal orientation fabric and the unfrozen fluids may facilitate polar ice sheet basal flow. (C) 2014 Elsevier B.V. and NIPR. All rights reserved.</t>
  </si>
  <si>
    <t>[Wittlinger, Gerard] Univ Strasbourg, EOST, UMR CNRS 7516, F-67084 Strasbourg, France; [Farra, Verronique] Sorbonne Paris Cite, IPG Paris, UMR CNRS 7154, F-75005 Paris, France</t>
  </si>
  <si>
    <t>Universites de Strasbourg Etablissements Associes; Universite de Strasbourg; Centre National de la Recherche Scientifique (CNRS); CNRS - National Institute for Earth Sciences &amp; Astronomy (INSU); Universite Paris Cite</t>
  </si>
  <si>
    <t>Wittlinger, G (corresponding author), Univ Strasbourg, EOST, UMR CNRS 7516, 5 Rue Rene Descartes, F-67084 Strasbourg, France.</t>
  </si>
  <si>
    <t>gerard.wittlinger@unistra.fr; farra@ipgp.fr</t>
  </si>
  <si>
    <t>Véronique, Farra/K-4826-2012</t>
  </si>
  <si>
    <t>10.1016/j.polar.2014.07.006</t>
  </si>
  <si>
    <t>WOS:000350993700007</t>
  </si>
  <si>
    <t>Tellez, HF; Pattyn, N; Mairesse, O; Dolenc-Groselj, L; Eiken, O; Mekjavic, IB; Migeotte, PF; Macdonald-Nethercott, E; Meeusen, R; Neyt, X</t>
  </si>
  <si>
    <t>Tellez, Helio Fernandez; Pattyn, Nathalie; Mairesse, Olivier; Dolenc-Groselj, Leja; Eiken, Ola; Mekjavic, Igor B.; Migeotte, P. F.; Macdonald-Nethercott, Eoin; Meeusen, Romain; Neyt, Xavier</t>
  </si>
  <si>
    <t>eAMI: A Qualitative Quantification of Periodic Breathing Based on Amplitude of Oscillations</t>
  </si>
  <si>
    <t>SLEEP</t>
  </si>
  <si>
    <t>periodic breathing; quantification; Cheyne-Stokes respiration; loop gain; modulating index</t>
  </si>
  <si>
    <t>CHEYNE-STOKES RESPIRATION; CENTRAL SLEEP-APNEA; HEART-FAILURE; HIGH-ALTITUDE; LOOP GAIN; INSTABILITY; STABILITY; ASSOCIATION</t>
  </si>
  <si>
    <t>Study Objectives: Periodic breathing is sleep disordered breathing characterized by instability in the respiratory pattern that exhibits an oscillatory behavior. Periodic breathing is associated with increased mortality, and it is observed in a variety of situations, such as acute hypoxia, chronic heart failure, and damage to respiratory centers. The standard quantification for the diagnosis of sleep related breathing disorders is the apnea-hypopnea index (AHI), which measures the proportion of apneic/hypopneic events during polysomnography. Determining the AHI is labor-intensive and requires the simultaneous recording of airflow and oxygen saturation. In this paper, we propose an automated, simple, and novel methodology for the detection and qualification of periodic breathing: the estimated amplitude modulation index (eAMI). Patients or Participants: Antarctic cohort (3,800 meters): 13 normal individuals. Clinical cohort: 39 different patients suffering from diverse sleep-related pathologies. Measurements and Results: When tested in a population with high levels of periodic breathing (Antarctic cohort), eAMI was closely correlated with AHI (r = 0.95, P &lt; 0.001). When tested in the clinical setting, the proposed method was able to detect portions of the signal in which subclinical periodic breathing was validated by an expert (n = 93; accuracy = 0.85). Average eAMI was also correlated with the loop gain for the combined clinical and Antarctica cohorts (r = 0.58, P &lt; 0.001). Conclusions: In terms of quantification and temporal resolution, the eAMI is able to estimate the strength of periodic breathing and the underlying loop gain at any given time within a record. The impaired prognosis associated with periodic breathing makes its automated detection and early diagnosis of clinical relevance.</t>
  </si>
  <si>
    <t>[Tellez, Helio Fernandez; Pattyn, Nathalie; Meeusen, Romain] Vrije Univ Brussel, Human Physiol &amp; Sportsmed Dept, Brussels, Belgium; [Tellez, Helio Fernandez; Pattyn, Nathalie; Mairesse, Olivier; Neyt, Xavier] Royal Mil Acad Brussels, VIPER Res Unit, Brussels, Belgium; [Pattyn, Nathalie; Mairesse, Olivier] Vrije Univ Brussel, Biol Psychol Dept, Brussels, Belgium; [Mairesse, Olivier] Free Univ Brussels, Hop Univ Brugmann, Sleep Lab &amp; Unit Chronobiol, B-1020 Brussels, Belgium; [Dolenc-Groselj, Leja] Univ Clin Ctr, Clin Inst Clin Neurophysiol, Ljubljana, Slovenia; [Eiken, Ola] Royal Inst Technol, Swedish Aerosp Physiol Ctr, Dept Environm Physiol, Stockholm, Sweden; [Mekjavic, Igor B.] Jozef Stefan Inst, Dept Automat Biocybernet &amp; Robot, Ljubljana, Slovenia; [Migeotte, P. F.] Univ Libre Bruxelles, Erasmus Hosp, Brussels, Belgium; [Macdonald-Nethercott, Eoin] Princess Alexandra Hosp NHS Trust, Harlow, Essex, England; [Macdonald-Nethercott, Eoin] Inst Polaire Francais Paul Emile Victor, Plouzane, France; [Neyt, Xavier] Royal Mil Acad Brussels, CISS Dept, Brussels, Belgium</t>
  </si>
  <si>
    <t>Vrije Universiteit Brussel; Vrije Universiteit Brussel; Universite Libre de Bruxelles; Royal Institute of Technology; Slovenian Academy of Sciences &amp; Arts (SASA); Jozef Stefan Institute; Universite Libre de Bruxelles; Princess Alexandra Hospital NHS Trust</t>
  </si>
  <si>
    <t>Tellez, HF (corresponding author), CISS Att, Rue Da Vinci 7, B-1000 Brussels, Belgium.</t>
  </si>
  <si>
    <t>hefernan@vub.ac.be</t>
  </si>
  <si>
    <t>Neyt, Xavier/I-7259-2019; Mairesse, Olivier/AAM-6427-2020; Mekjavic, Igor/AAM-6962-2021</t>
  </si>
  <si>
    <t>Neyt, Xavier/0000-0002-8992-3877; Mekjavic, Igor/0000-0001-5930-2159; Pattyn, Nathalie/0000-0002-2690-5479; Mairesse, Olivier/0000-0001-8428-1185</t>
  </si>
  <si>
    <t>PRODEX program of the European Space Agency (ESA)</t>
  </si>
  <si>
    <t>This was not an industry supported study. This work was supported in part by the PRODEX program of the European Space Agency (ESA) managed with the help of the Belgian Science Policy Office (BELSPO). The authors have indicated no financial conflicts of interest.</t>
  </si>
  <si>
    <t>0161-8105</t>
  </si>
  <si>
    <t>1550-9109</t>
  </si>
  <si>
    <t>Sleep</t>
  </si>
  <si>
    <t>10.5665/sleep.4494</t>
  </si>
  <si>
    <t>Clinical Neurology; Neurosciences</t>
  </si>
  <si>
    <t>Neurosciences &amp; Neurology</t>
  </si>
  <si>
    <t>CC8WE</t>
  </si>
  <si>
    <t>WOS:000350648500009</t>
  </si>
  <si>
    <t>Tregoning, GS; Kempher, ML; Jung, DO; Samarkin, VA; Joye, SB; Madigan, MT</t>
  </si>
  <si>
    <t>Tregoning, George S.; Kempher, Megan L.; Jung, Deborah O.; Samarkin, Vladimir A.; Joye, Samantha B.; Madigan, Michael T.</t>
  </si>
  <si>
    <t>A Halophilic Bacterium Inhabiting the Warm, CaCl2-Rich Brine of the Perennially Ice-Covered Lake Vanda, McMurdo Dry Valleys, Antarctica</t>
  </si>
  <si>
    <t>APPLIED AND ENVIRONMENTAL MICROBIOLOGY</t>
  </si>
  <si>
    <t>DON-JUAN POND; HALOMONAS-ELONGATA; SP NOV.; SEA; CHAOTROPICITY; SALT; GEOCHEMISTRY; MICROBES; FRYXELL; LIMIT</t>
  </si>
  <si>
    <t>Lake Vanda is a perennially ice-covered and stratified lake in the McMurdo Dry Valleys, Antarctica. The lake develops a distinct chemocline at about a 50-m depth, where the waters transition from cool, oxic, and fresh to warm, sulfidic, and hypersaline. The bottom water brine is unique, as the highly chaotropic salts CaCl2 and MgCl2 predominate, and CaCl2 levels are the highest of those in any known microbial habitat. Enrichment techniques were used to isolate 15 strains of heterotrophic bacteria from the Lake Vanda brine. Despite direct supplementation of the brine samples with different organic substrates in primary enrichments, the same organism, a relative of the halophilic bacterium Halomonas (Gammaproteobacteria), was isolated from all depths sampled. The Lake Vanda (VAN) strains were obligate aerobes and showed broad pH, salinity, and temperature ranges for growth, consistent with the physicochemical properties of the brine. VAN strains were halophilic and quite CaCl2 tolerant but did not require CaCl2 for growth. The fact that only VAN strain-like organisms appeared in our enrichments hints that the highly chaotropic nature of the Lake Vanda brine may place unusual physiological constraints on the bacterial community that inhabits it.</t>
  </si>
  <si>
    <t>[Tregoning, George S.; Kempher, Megan L.; Jung, Deborah O.; Madigan, Michael T.] So Illinois Univ, Dept Microbiol, Carbondale, IL 62901 USA; [Samarkin, Vladimir A.; Joye, Samantha B.] Univ Georgia, Dept Marine Sci, Athens, GA 30602 USA</t>
  </si>
  <si>
    <t>Southern Illinois University System; Southern Illinois University; University System of Georgia; University of Georgia</t>
  </si>
  <si>
    <t>Madigan, MT (corresponding author), So Illinois Univ, Dept Microbiol, Carbondale, IL 62901 USA.</t>
  </si>
  <si>
    <t>madigan@siu.edu</t>
  </si>
  <si>
    <t>Jung, Deborah/0000-0002-8307-8772</t>
  </si>
  <si>
    <t>United States National Science Foundation Antarctic Organisms and Ecosystems Program [ANT-0735196]</t>
  </si>
  <si>
    <t>United States National Science Foundation Antarctic Organisms and Ecosystems Program</t>
  </si>
  <si>
    <t>This work was supported by a grant from the United States National Science Foundation Antarctic Organisms and Ecosystems Program (ANT-0735196 to M.T.M., S.B.J., and V.A.S.).</t>
  </si>
  <si>
    <t>0099-2240</t>
  </si>
  <si>
    <t>1098-5336</t>
  </si>
  <si>
    <t>APPL ENVIRON MICROB</t>
  </si>
  <si>
    <t>Appl. Environ. Microbiol.</t>
  </si>
  <si>
    <t>10.1128/AEM.03968-14</t>
  </si>
  <si>
    <t>CC7NM</t>
  </si>
  <si>
    <t>WOS:000350554800013</t>
  </si>
  <si>
    <t>La Mesa, M; Piñones, A; Catalano, B; Ashford, J</t>
  </si>
  <si>
    <t>La Mesa, Mario; Pinones, Andrea; Catalano, Barbara; Ashford, Julian</t>
  </si>
  <si>
    <t>Predicting early life connectivity of Antarctic silverfish, an important forage species along the Antarctic Peninsula</t>
  </si>
  <si>
    <t>FISHERIES OCEANOGRAPHY</t>
  </si>
  <si>
    <t>Antarctic Peninsula; connectivity; larval assemblage; silverfish; spawning areas</t>
  </si>
  <si>
    <t>TOOTHFISH DISSOSTICHUS-MAWSONI; SOUTH SHETLAND ISLANDS; PARTICLE-TRACKING SIMULATIONS; RANDOM-WALK MODELS; TERRA-NOVA BAY; PLEURAGRAMMA-ANTARCTICUM; ROSS SEA; SCOTIA SEA; AGE-DETERMINATIONS; MARINE ECOSYSTEMS</t>
  </si>
  <si>
    <t>The early life stages of the Antarctic silverfish (Pleuragramma antarctica), an important prey species for higher predators in the Southern Ocean ecosystem, dominate the larval fish assemblages of the Bransfield Strait, one of the most important areas for larval retention off the Antarctic Peninsula. Nevertheless, the spatial location of areas where they were spawned and the timing of larval hatching remain unknown. By linking Lagrangian particle tracking simulations with age data obtained using otolith microincrements from fish caught north of Joinville Island in a pelagic survey, we estimated the distribution of hatch dates and subsequent growth rates of silverfish reaching the Bransfield Strait, and predicted the areas where they were spawned. Larval hatching peaked during the last week of December, and the inner shelf and shelf break, east of the Larsen Ice shelf, were the dominant areas predicted to contribute to larval assemblages in the Bransfield Strait. Over simulated periods of 600-630days, 35-40% of particles remained within the Bransfield Strait, suggesting an important source of supply to higher predators feeding off the northern Antarctic Peninsula. The daily growth rate at the mean size of 22.3mm was 0.18mm, corresponding to a daily change in size of approximately 0.82% standard length (SL), and large variability in growth rate suggested a wide range of environmental conditions experienced during the period of advection from the spawning areas. These results provide spatial predictions that can be tested empirically in future studies, using the simulated trajectories to inform sampling design and spatial coverage.</t>
  </si>
  <si>
    <t>[La Mesa, Mario] UOS Ancona, CNR, Inst Marine Sci, I-60125 Ancona, Italy; [Pinones, Andrea] Yale Univ, Dept Geol &amp; Geophys, New Haven, CT 06520 USA; [Catalano, Barbara] Italian Natl Inst Environm Protect &amp; Res, ISPRA, I-00144 Rome, Italy; [Ashford, Julian] Old Dominion Univ, Ctr Quantitat Fisheries Ecol, Norfolk, VA 23508 USA</t>
  </si>
  <si>
    <t>Consiglio Nazionale delle Ricerche (CNR); Istituto di Scienze Marine (ISMAR-CNR); Yale University; Italian Institute for Environmental Protection &amp; Research (ISPRA); Old Dominion University</t>
  </si>
  <si>
    <t>La Mesa, M (corresponding author), UOS Ancona, CNR, Inst Marine Sci, I-60125 Ancona, Italy.</t>
  </si>
  <si>
    <t>m.lamesa@ismar.cnr.it</t>
  </si>
  <si>
    <t>Catalano, Barbara/GRR-7882-2022</t>
  </si>
  <si>
    <t>Pinones, Andrea/0000-0002-1737-9016</t>
  </si>
  <si>
    <t>PNRA (Italian National Antarctic Research Program); Yale Climate and Energy Institute of Yale University; United States National Science Foundation [NSF-OPP-0741348]</t>
  </si>
  <si>
    <t>PNRA (Italian National Antarctic Research Program); Yale Climate and Energy Institute of Yale University; United States National Science Foundation(National Science Foundation (NSF))</t>
  </si>
  <si>
    <t>We are grateful to all crew members, personnel and scientific staff aboard of RV Moana Wave for their strong support in sampling activities. This study was supported by the PNRA (Italian National Antarctic Research Program). A. Pinones was supported by the Yale Climate and Energy Institute of Yale University. Funding for Dr Ashford was through the United States National Science Foundation (NSF-OPP-0741348). Finally, we wish to thank two anonymous referees whose comments greatly improved the early version of the paper.</t>
  </si>
  <si>
    <t>1054-6006</t>
  </si>
  <si>
    <t>1365-2419</t>
  </si>
  <si>
    <t>FISH OCEANOGR</t>
  </si>
  <si>
    <t>Fish Oceanogr.</t>
  </si>
  <si>
    <t>10.1111/fog.12096</t>
  </si>
  <si>
    <t>Fisheries; Oceanography</t>
  </si>
  <si>
    <t>CC7KE</t>
  </si>
  <si>
    <t>WOS:000350545400004</t>
  </si>
  <si>
    <t>Gabis, IP</t>
  </si>
  <si>
    <t>Gabis, I. P.</t>
  </si>
  <si>
    <t>The validity of long-term prediction of quasi-biennial oscillation (QBO) as a proof of the exact seasonal synchronization of the equatorial stratospheric QBO cycle</t>
  </si>
  <si>
    <t>Quasi-biennial oscillation (QBO); QBO cycle period; Seasonal synchronization; QBO forecast</t>
  </si>
  <si>
    <t>SOLAR UV IRRADIANCE; ZONAL WINDS; REPRESENTATION; AMPLITUDE; PERIOD; OZONE</t>
  </si>
  <si>
    <t>Sixty years of radiosonde data of the equatorial stratospheric zonal wind have been used to develop the method of long-term wind variations forecast based on the seasonal regularities of quasi-biennial oscillation (QBO) evolution. The wind changes during all easterly wind regime descents in 1953-2014 in the middle stratosphere (from 10 to 70 hPa) have been analyzed elaborately by the experimental data. Arguments are presented which show that the delay of easterly downward propagation is observed during each QBO cycle, not just in some cycles, as is commonly believed. Moreover it is shown that the start and the end of all easterly delays (the stages of stagnation) are strongly linked to seasons of a year. It causes the discretely varying length of the stagnation stages and the clearly defined quantized QBO cycle period which can only be equal to 24,30 or 36 months. These regularities allow developing the method of long-term QBO-cycle prediction. The verification of previous forecasts by comparing with actually observed zonal wind changes in 2005-2014 is presented. Also the QBO development for the following period as far as December 2018 is predicted. We show that the predictability of the wind QBO in the equatorial stratosphere for a long time interval (up to five years) is the result of the existence of a strong seasonal dependence of the QBO evolution. On the other hand, the correctness of these QBO predictions is a strong proof of the exact seasonal synchronization of the QBO cycle in the equatorial stratosphere. (C) 2015 Elsevier Ltd. All rights reserved.</t>
  </si>
  <si>
    <t>Arctic &amp; Antarctic Res Inst, St Petersburg 199397, Russia</t>
  </si>
  <si>
    <t>Gabis, IP (corresponding author), Arctic &amp; Antarctic Res Inst, St Petersburg 199397, Russia.</t>
  </si>
  <si>
    <t>gabis@aari.nw.ru</t>
  </si>
  <si>
    <t>10.1016/j.jastp.2015.01.015</t>
  </si>
  <si>
    <t>CC7EF</t>
  </si>
  <si>
    <t>WOS:000350529800006</t>
  </si>
  <si>
    <t>Alexander, S; Murphy, D</t>
  </si>
  <si>
    <t>Alexander, Simon; Murphy, Damian</t>
  </si>
  <si>
    <t>The Seasonal Cycle of Lower-Tropospheric Gravity Wave Activity at Davis, Antarctica (69°S, 78°E)</t>
  </si>
  <si>
    <t>VHF RADAR OBSERVATIONS; DOWNWARD CONTROL; MOMENTUM FLUX; MU-RADAR; GENERATION; ADELAIDE; DYNAMICS; FRONTS</t>
  </si>
  <si>
    <t>A VHF wind-profiling radar located at Davis in coastal East Antarctica (69 degrees S, 78 degrees E) collected data from September 2009 to August 2011 in the lower troposphere. Gravity wave activity is quantified using the radar's wind velocity variances. ERA-Interim and Antarctic Mesoscale Prediction System (AMPS) forecast output are used to understand the gravity wave activity in the context of the synoptic-scale meteorology and to identify the likely source of the observed gravity waves. The seasonal cycle of lower-tropospheric gravity wave activity (2.0-3.2-km altitude) obtained from the radar data for waves with ground-based periods of 16 min-12.8 h reveals a maximum in winter and a minimum in summer. The largest gravity wave activity corresponds in time to the presence of a surface depression centered north of Davis that directs strong northeasterly winds along the Antarctic coastline. Case studies indicate that these winds interact with an ice ridgeline located around 60 km northeast and upwind of Davis. This interaction between synoptic northeasterly winds and the ridgeline results in the formation of orographic gravity waves, which are observed in the Davis radar data as large wind velocity perturbations.</t>
  </si>
  <si>
    <t>[Alexander, Simon; Murphy, Damian] Australian Antarctic Div, Hobart, Tas, Australia</t>
  </si>
  <si>
    <t>Alexander, S (corresponding author), Australian Antarctic Div, 203 Channel Highway, Kingston, Tas 7050, Australia.</t>
  </si>
  <si>
    <t>simon.alexander@aad.gov.au</t>
  </si>
  <si>
    <t>Alexander, Simon/0000-0001-6823-8857</t>
  </si>
  <si>
    <t>Australian Antarctic program [4025]</t>
  </si>
  <si>
    <t>Australian Antarctic program</t>
  </si>
  <si>
    <t>We thank the Davis engineers for their efforts in maintaining the VHF radar and the Bureau of Meteorology staff who launched the radiosondes. ERA-Interim data were obtained through the ECMWF data server. Archived AMPS forecast data were obtained from the Earth System Grid. This research was conducted for project 4025 of the Australian Antarctic program. We appreciate the valuable conversations that we have had with Prof. K. Sato, Dr. A. McDonald, and Dr. P. Reid during the course of this study. We thank three anonymous reviewers whose valuable comments improved an earlier version of this manuscript.</t>
  </si>
  <si>
    <t>10.1175/JAS-D-14-0171.1</t>
  </si>
  <si>
    <t>CC4OQ</t>
  </si>
  <si>
    <t>WOS:000350333100003</t>
  </si>
  <si>
    <t>Nakamura, H; Sawada, K; Araie, H; Suzuki, I; Shiraiwa, Y</t>
  </si>
  <si>
    <t>Nakamura, Hideto; Sawada, Ken; Araie, Hiroya; Suzuki, Iwane; Shiraiwa, Yoshihiro</t>
  </si>
  <si>
    <t>n-Nonacosadienes from the marine haptophytes Emiliania huxleyi and Gephyrocapsa oceanica</t>
  </si>
  <si>
    <t>PHYTOCHEMISTRY</t>
  </si>
  <si>
    <t>Emiliania huxleyi; Gephyrocapsa oceanica; Haptophyte; Nonacosadiene; Noelaerhabdaceae; Long chain alkene; Biomarker</t>
  </si>
  <si>
    <t>LONG-CHAIN ALKENES; BOTRYOCOCCUS-BRAUNII; MICROSCOPIC ALGAE; MICROBIAL MATS; ANTARCTIC LAKE; ALKENONES; SEDIMENTS; PRYMNESIOPHYCEAE; LIPIDS; HYDROCARBONS</t>
  </si>
  <si>
    <t>The hydrocarbons in cultures of marine haptophytes Emiliania huxleyi NIES837 and Gephyrocapsa oceanica NIES1315 were analyzed, and nonacosadienes and hentriacontadienes were detected as the major compounds in both strains. C-29 and C-31 monoenes and di-, tri- and tetra-unsaturated C-33 alkenes were also detected as minor compounds but not C-37 and C-38 alkenes. The positions of the double bonds in the C-29 and C-31 alkenes were determined by mass spectrometry of their dimethyl disulfide (DMDS) adducts. Among the four C-29 alkenes identified, the most abundant isomer was 2,20-nonacosadiene, and the other three compounds were 1,20-nonacosadiene, 3,20-nonacosadiene and 9-nonacosene, respectively. Hitherto, 2,20-nonacosadiene and 3,20-nonacosadiene were unknown to be natural products. The double bond at the n-9 (omega 9) position in these C-29 alkenes is hypothesized to be derived from precursors of unsaturated fatty acids possessing an n-9 double bond, such as (9Z)-9-octadecenoic acid. Nonacosadienes have the potential for being used as distinct haptophyte biomarkers. (C) 2015 Elsevier Ltd. All rights reserved.</t>
  </si>
  <si>
    <t>[Nakamura, Hideto; Sawada, Ken] Hokkaido Univ, Fac Sci, Dept Nat Hist Sci, Kita Ku, Sapporo, Hokkaido 0600810, Japan; [Nakamura, Hideto; Sawada, Ken] Japan Sci &amp; Technol Agcy JST, CREST, Kita Ku, Sapporo, Hokkaido 0600810, Japan; [Araie, Hiroya; Suzuki, Iwane; Shiraiwa, Yoshihiro] Univ Tsukuba, Fac Life &amp; Environm Sci, Tsukuba, Ibaraki 3058572, Japan; [Araie, Hiroya; Suzuki, Iwane; Shiraiwa, Yoshihiro] Japan Sci &amp; Technol Agcy JST, CREST, Tsukuba, Ibaraki 3058572, Japan</t>
  </si>
  <si>
    <t>Hokkaido University; Japan Science &amp; Technology Agency (JST); University of Tsukuba; Japan Science &amp; Technology Agency (JST)</t>
  </si>
  <si>
    <t>Nakamura, H (corresponding author), Hokkaido Univ, Fac Sci, Dept Nat Hist Sci, Kita Ku, N10W8, Sapporo, Hokkaido 0600810, Japan.</t>
  </si>
  <si>
    <t>hideton@mail.sci.hokudai.ac.jp</t>
  </si>
  <si>
    <t>Sawada, Ken/AAL-2645-2021; Nakamura, Hideto/J-8400-2012; Shiraiwa, Yoshihiro/AAD-2501-2022; Suzuki, Iwane/J-3135-2014</t>
  </si>
  <si>
    <t>Sawada, Ken/0000-0003-3298-5716; Nakamura, Hideto/0000-0002-4450-2411; Suzuki, Iwane/0000-0002-5591-9642</t>
  </si>
  <si>
    <t>Core Research for Evolutional Science and Technology (CREST), Japan Science and Technology Agency (JST) Japan; Grants-in-Aid for Scientific Research [26287130] Funding Source: KAKEN</t>
  </si>
  <si>
    <t>Core Research for Evolutional Science and Technology (CREST), Japan Science and Technology Agency (JST) Japan(Japan Science &amp; Technology Agency (JST)Core Research for Evolutional Science and Technology (CREST)); Grants-in-Aid for Scientific Research(Ministry of Education, Culture, Sports, Science and Technology, Japan (MEXT)Japan Society for the Promotion of ScienceGrants-in-Aid for Scientific Research (KAKENHI))</t>
  </si>
  <si>
    <t>The study was supported by a fund of Core Research for Evolutional Science and Technology (CREST), Japan Science and Technology Agency (JST) Japan. We thank Ms. C. Kanou of Hokkaido University for helping with the lipid extraction and separation. We are grateful to two anonymous reviewers for constructive comments.</t>
  </si>
  <si>
    <t>0031-9422</t>
  </si>
  <si>
    <t>Phytochemistry</t>
  </si>
  <si>
    <t>10.1016/j.phytochem.2014.12.023</t>
  </si>
  <si>
    <t>Biochemistry &amp; Molecular Biology; Plant Sciences</t>
  </si>
  <si>
    <t>CC7DH</t>
  </si>
  <si>
    <t>WOS:000350527400013</t>
  </si>
  <si>
    <t>Stevens, CJ; Pakhomov, EA; Robinson, KV; Hall, JA</t>
  </si>
  <si>
    <t>Stevens, Catherine J.; Pakhomov, Evgeny A.; Robinson, Karen V.; Hall, Julie A.</t>
  </si>
  <si>
    <t>Mesozooplankton biomass, abundance and community composition in the Ross Sea and the Pacific sector of the Southern Ocean</t>
  </si>
  <si>
    <t>Ross Sea; Mesozooplankton; Biomass; Copepod; Oithona; Oncaea</t>
  </si>
  <si>
    <t>EASTERN WEDDELL SEA; ONCAEA-CURVATA POECILOSTOMATOIDA; CONTINUOUS PLANKTON RECORDER; ATLANTIC SECTOR; FOOD-WEB; VERTICAL-DISTRIBUTION; ZOOPLANKTON BIOMASS; CTENOCALANUS-CITER; ANTARCTIC COPEPODS; METAZOAN PLANKTON</t>
  </si>
  <si>
    <t>Due in part to its remote location, the zooplankton of the Ross Sea and adjacent waters is poorly characterized. Very little depth-integrated information exists for this region, including measurements of mesozooplankton biomass, abundance and community structure throughout the water column. Furthermore, because large-mesh nets are often used, small copepods have been undersampled. Mesozooplankton research during the New Zealand International Polar Year-Census of Antarctic Marine Life voyage attempted to address these knowledge gaps. Depth-stratified net sampling was conducted from the surface to the seafloor at 11 stations in the Ross Sea and the adjacent Antarctic Circumpolar Current region of the Southern Ocean. Apart from high, localized contributions from pteropods and salps, mesozooplankton was numerically dominated by small calanoid and cyclopoid copepods, and densities were highest near the surface. Maximum mesozooplankton densities reached 640 ind m(-3), and those of Oncaea spp. and Oithona spp. reached 111 and 256 ind m(-3), respectively. On the Ross Sea shelf, Ctenocalanus sp. made significant contributions to total mesozooplankton numbers, while Oithona similis was highly abundant on and around Admiralty Seamount. On the Ross Sea slope, mixtures of Oithona spp. and Oncaea spp. dominated, and at the Scott Seamounts, mixtures of Oithona spp. and Ctenocalanus sp. occurred. Total water column, depth-integrated mesozooplankton biomass ranged between 0.6 and 7.1 g C m(-2). Mesozooplankton biomass in the Ross Sea was at the higher end of previously recorded levels in the region and may rival that of productive sub-Antarctic regions.</t>
  </si>
  <si>
    <t>[Stevens, Catherine J.; Hall, Julie A.] Natl Inst Water &amp; Atmospher Res Ltd, Wellington 6021, New Zealand; [Pakhomov, Evgeny A.] Univ British Columbia, Dept Earth &amp; Ocean Sci, Vancouver, BC V6T 1Z4, Canada; [Robinson, Karen V.] Natl Inst Water &amp; Atmospher Res Ltd, Christchurch 8011, New Zealand</t>
  </si>
  <si>
    <t>National Institute of Water &amp; Atmospheric Research (NIWA) - New Zealand; University of British Columbia; National Institute of Water &amp; Atmospheric Research (NIWA) - New Zealand</t>
  </si>
  <si>
    <t>New Zealand Government under the New Zealand International Polar Year-Census of Antarctic Marine Life Project [So001IPY, IPY2007-01]</t>
  </si>
  <si>
    <t>New Zealand Government under the New Zealand International Polar Year-Census of Antarctic Marine Life Project</t>
  </si>
  <si>
    <t>This research was funded by the New Zealand Government under the New Zealand International Polar Year-Census of Antarctic Marine Life Project (Phase 1 So001IPY; Phase 2 IPY2007-01). We gratefully acknowledge project governance by the Ministry of Fisheries Science Team and the Ocean Survey 20/20 Census of Antarctic Marine Life Advisory Group (Land Information New Zealand, Ministry of Fisheries (now Ministry for Primary Industries), Antarctica New Zealand, Ministry of Foreign Affairs and Trade, and National Institute of Water and Atmosphere Ltd). The authors thank the captain and crew of the RV Tangaroa for assistance at sea. We thank Karen Thompson for performing the biomass analysis and Dr. Jill Schwarz for analyzing the CTD data. Thank you to Dr. Janet Bradford-Grieve for collating the mesozooplankton biomass data.</t>
  </si>
  <si>
    <t>10.1007/s00300-014-1583-x</t>
  </si>
  <si>
    <t>CC0QJ</t>
  </si>
  <si>
    <t>WOS:000350040500001</t>
  </si>
  <si>
    <t>Kim, BK; Joo, H; Song, HJ; Yang, EJ; Lee, SH; Hahm, D; Rhee, TS; Lee, SH</t>
  </si>
  <si>
    <t>Kim, Bo Kyung; Joo, HuiTae; Song, Ho Jung; Yang, Eun Jin; Lee, Sang Hoon; Hahm, Doshik; Rhee, Tae Siek; Lee, Sang H.</t>
  </si>
  <si>
    <t>Large seasonal variation in phytoplankton production in the Amundsen Sea</t>
  </si>
  <si>
    <t>Phytoplankton productivity; Carbon and nitrogen; Polynya; Amundsen Sea; Antarctic</t>
  </si>
  <si>
    <t>ROSS SEA; ANTARCTIC PHYTOPLANKTON; NITROGEN UPTAKE; AMMONIUM; NITRATE; BIOMASS; IRON; ICE; VARIABILITY; BLOOMS</t>
  </si>
  <si>
    <t>To better estimate annual primary production in the Amundsen Sea, which is one of the highest productivity regions in the Southern Ocean, the seasonal variations in carbon and nitrogen uptake rates of phytoplankton were investigated in this study. Based on C-13-N-15 dual isotope tracer techniques, the average daily productivities for the Amundsen polynya (AP), Pine Island polynya (PIP) and non-polynya regions were 0.25, 0.16 and 0.12 g C m(-2) day(-1), respectively. The average daily uptake rates of total nitrogen were 60.2, 53.5 and 34.8 mg N m(-2) day(-1) for the AP, PIP and non-polynya stations, respectively. In spite of the high concentration of nitrate in the Amundsen Sea, daily nitrate uptake rates (mean +/- A SD = 0.02 +/- A 0.01 g N m(-2) day(-1)) were lower than ammonium uptakes for all productivity stations in this study, which resulted in a significantly lower f-ratio (mean +/- A SD = 0.44 +/- A 0.24) than that (mean +/- A SD = 0.71 +/- A 0.15) of the previous year. The substantially lower uptake rates of carbon and nitrogen and the f-ratio, especially in the AP, are due to a large seasonal variation in the uptake rates mainly caused by the shorter daytime duration and partly due to lower light availability induced by deeper mixed conditions in the present study compared with the previous study in 2010/2011. The large seasonal variation in daily phytoplankton production should be considered to better estimate annual production as a basic food source for higher trophic levels in the Amundsen Sea.</t>
  </si>
  <si>
    <t>[Kim, Bo Kyung; Joo, HuiTae; Song, Ho Jung; Lee, Sang H.] Pusan Natl Univ, Dept Oceanog, 30 Jangjeon Dong, Pusan 609735, South Korea; [Yang, Eun Jin; Lee, Sang Hoon; Hahm, Doshik; Rhee, Tae Siek] Korea Polar Res Inst, Inchon 406840, South Korea</t>
  </si>
  <si>
    <t>Pusan National University; Korea Institute of Ocean Science &amp; Technology (KIOST); Korea Polar Research Institute (KOPRI)</t>
  </si>
  <si>
    <t>Lee, SH (corresponding author), Pusan Natl Univ, Dept Oceanog, 30 Jangjeon Dong, Pusan 609735, South Korea.</t>
  </si>
  <si>
    <t>sanglee@pnu.ac.kr</t>
  </si>
  <si>
    <t>Kim, Bo Kyung/GRY-2456-2022</t>
  </si>
  <si>
    <t>Kim, Bo Kyung/0009-0005-4890-701X; Yang, Eun Jin/0000-0002-8639-5968</t>
  </si>
  <si>
    <t>Korea Polar Research Institute (KOPRI) [PP14020]</t>
  </si>
  <si>
    <t>Korea Polar Research Institute (KOPRI)</t>
  </si>
  <si>
    <t>We thank the captain and crew of the Korean Research Icebreaker, Araon, for their outstanding assistance during the cruise. We very much appreciate the constructive comments by three reviewers, which greatly improved the earlier version of the manuscript. This research was supported by the Korea Polar Research Institute (KOPRI; PP14020).</t>
  </si>
  <si>
    <t>10.1007/s00300-014-1588-5</t>
  </si>
  <si>
    <t>WOS:000350040500004</t>
  </si>
  <si>
    <t>Guidetti, P; Ghigliotti, L; Vacchi, M</t>
  </si>
  <si>
    <t>Guidetti, P.; Ghigliotti, L.; Vacchi, M.</t>
  </si>
  <si>
    <t>Insights into spatial distribution patterns of early stages of the Antarctic silverfish, Pleuragramma antarctica, in the platelet ice of Terra Nova Bay, Antarctica</t>
  </si>
  <si>
    <t>Antarctic silverfish; Terra Nova Bay; Spatial distribution; Platelet ice; Eggs and larvae</t>
  </si>
  <si>
    <t>EARLY-LIFE STAGES; DUMONT DURVILLE SEA; ROSS SEA; FEEDING ECOLOGY; WEDDELL SEA; ABUNDANCE; PISCES; LARVAL; FISHES; NOTOTHENIIDAE</t>
  </si>
  <si>
    <t>The Antarctic silverfish, Pleuragramma antarctica, is ecologically important for connecting lower and upper trophic levels within the coastal marine Antarctic food web. In recent decades, populations of silverfish have exhibited a declining trend in some regions of the Antarctic, in particular the western Antarctic Peninsula. It is of paramount importance to elucidate its life history and to characterize the areas that are crucial for the reproduction of the species: spawning, hatching and nursery areas. Presently, the overall available knowledge is scant and spatially restricted. In this study, we assessed the spatial scales of variation in the distribution patterns of eggs and newly hatched larvae, and their vertical distribution within the platelet ice layer underlying fast ice at Terra Nova Bay. We found that (1) distribution patterns of eggs and larvae abundance significantly changed at a spatial scale of kilometers, while they did not at scale of tens of kilometers and hundreds/tens meters, and (2) eggs were not homogeneously distributed under the solid ice; in particular, the egg abundance was highest at -2.5 m within the platelet ice and dramatically declined more in depth. This study thus allowed shed light on distribution patterns of eggs and early-hatched larvae of the Antarctic silverfish. Such information will be useful to better understand the ecological processes possibly producing the patterns we have observed and then identify further reproduction and nursery areas around the Antarctic continent.</t>
  </si>
  <si>
    <t>[Guidetti, P.] Univ Nice Sophia Antipolis, EA ECOMERS 4228, Fac Sci, F-06108 Nice 2, France; [Guidetti, P.] CoNISMa Natl Interuniv Consortium Marine Sci, I-00196 Rome, Italy; [Ghigliotti, L.] Univ Genoa, Dept Earth Environm &amp; Life Sci DISTAV, I-16132 Genoa, Italy; [Vacchi, M.] CNR Genoa, ISMAR Inst Marine Sci, ISPRA, I-16149 Genoa, Italy</t>
  </si>
  <si>
    <t>Universite Cote d'Azur; CoNISMa; University of Genoa; Consiglio Nazionale delle Ricerche (CNR); Istituto di Scienze Marine (ISMAR-CNR)</t>
  </si>
  <si>
    <t>Guidetti, P (corresponding author), CoNISMa Natl Interuniv Consortium Marine Sci, Ple Flaminio 9, I-00196 Rome, Italy.</t>
  </si>
  <si>
    <t>guidetti@unice.fr; marino.vacchi@isprambiente.it</t>
  </si>
  <si>
    <t>Ghigliotti, Laura/J-3076-2012; Ghigliotti, Laura/AAN-6843-2021</t>
  </si>
  <si>
    <t>Ghigliotti, Laura/0000-0003-2139-1381; Guidetti, Paolo/0000-0002-7983-8775</t>
  </si>
  <si>
    <t>Italian National Programme for Research in Antarctica (PNRA) [2010/A1.11]</t>
  </si>
  <si>
    <t>Italian National Programme for Research in Antarctica (PNRA)</t>
  </si>
  <si>
    <t>This work was carried out within the project 'Vulnerability of polar fishes to climate change: life cycle, habitats and sea-ice relationship of the species P. antarcticum,' supported by Italian National Programme for Research in Antarctica (PNRA project 2010/A1.11). We wish to thank the entire staff of the Italian Antarctic Base 'Mario Zucchelli,' but in particular Davide Riga, Luciano Sartori and Luca De Santis for their invaluable technical/logistical support.</t>
  </si>
  <si>
    <t>10.1007/s00300-014-1589-4</t>
  </si>
  <si>
    <t>WOS:000350040500005</t>
  </si>
  <si>
    <t>Reyes-Arriagada, R; Jiménez, JE; Rozzi, R</t>
  </si>
  <si>
    <t>Reyes-Arriagada, Ronnie; Jimenez, Jaime E.; Rozzi, Ricardo</t>
  </si>
  <si>
    <t>Daily patterns of activity of passerine birds in a Magellanic sub-Antarctic forest at Omora Park (55A°S), Cape Horn Biosphere Reserve, Chile</t>
  </si>
  <si>
    <t>Daily activity; Passerines; Cape Horn; Trophic guild; Starvation-predation</t>
  </si>
  <si>
    <t>PREDATION RISK; MIST NETS; BIOCULTURAL CONSERVATION; SPECIES COMPOSITION; FORAGING ROUTINES; NAVARINO ISLAND; CLIMATE-CHANGE; ARCTIC FOXES; POINT COUNTS; MASS GAIN</t>
  </si>
  <si>
    <t>Ecosystems in the sub-Antarctic region can be subjected to extreme weather conditions year-round. Little data exist that show any relationship between climatic variables and activity patterns of passerine birds, despite the fact that weather patterns can have a dramatic influence on the foraging strategies of these birds in different seasons. Passerine birds must balance the risk of starvation and the risk of predation in accordance with variation in environmental variables. The goal of this study was to determine the relationship of season, habitat type and weather patterns with the daily activity patterns of three diurnal passerine bird species from different trophic guilds. Unlike most low-latitude passerine species, the three passerine bird species in Omora Park on Navarino Island do not show strict adherence to a bimodal activity pattern; instead, these birds show a variety of activity patterns throughout the year that differ by trophic guild and habitat type. These modifications in activity patterns may be an adaptation to minimize the risk of predation and starvation in the face of temperature-dependent food availability.</t>
  </si>
  <si>
    <t>[Reyes-Arriagada, Ronnie; Jimenez, Jaime E.; Rozzi, Ricardo] Univ Magallanes, Estn Campo Parque Etnobot Omora, Puerto Williams, Chile; [Reyes-Arriagada, Ronnie] Univ Austral Chile, Direcc Extens, Valdivia, Chile; [Jimenez, Jaime E.; Rozzi, Ricardo] UNT, Subantarctic Biocultural Conservat Program, Denton, TX USA; [Jimenez, Jaime E.] UNT, Dept Biol Sci, Denton, TX 76203 USA; [Rozzi, Ricardo] UNT, Dept Philosophy &amp; Relig Studies, Denton, TX 76302 USA</t>
  </si>
  <si>
    <t>Universidad de Magallanes; Universidad Austral de Chile; University of North Texas System; University of North Texas Denton; University of North Texas System; University of North Texas Denton; University of North Texas System; University of North Texas Denton</t>
  </si>
  <si>
    <t>Reyes-Arriagada, R (corresponding author), Univ Austral Chile, Direcc Extens, Casilla 567, Valdivia, Chile.</t>
  </si>
  <si>
    <t>ronnie.reyes@uach.cl</t>
  </si>
  <si>
    <t>Rozzi, Ricardo/G-1047-2012; Jimenez, Jaime E./AAO-7531-2020</t>
  </si>
  <si>
    <t>Rozzi, Ricardo/0000-0001-5265-8726;</t>
  </si>
  <si>
    <t>Long Term Socio-Ecological Research (LTSER) of the Institute of Ecology and Biodiversity (IEB); IEB; PBCT; CONICYT; Universidad de Magallanes; Ministerio del Medio Ambiente, Chile</t>
  </si>
  <si>
    <t>Long Term Socio-Ecological Research (LTSER) of the Institute of Ecology and Biodiversity (IEB); IEB; PBCT(Comision Nacional de Investigacion Cientifica y Tecnologica (CONICYT)CONICYT PIA/PBCT); CONICYT(Comision Nacional de Investigacion Cientifica y Tecnologica (CONICYT)); Universidad de Magallanes; Ministerio del Medio Ambiente, Chile</t>
  </si>
  <si>
    <t>Our sincere thanks to Ximena Arango, Steven McGehee, Cristian Celis, Rodrigo Molina, and the many students and volunteers of Omora Park for their collaboration in the bird captures. This work was supported by the Long Term Socio-Ecological Research (LTSER) of the Institute of Ecology and Biodiversity (IEB) and funded by IEB and PBCT 29800 postdoctoral fellowship, CONICYT and Universidad de Magallanes, to the first author. This work is part of the FPA project Fortalecimiento del Observatorio Omora de Aves Subantarticas en la Reserva de Biosfera Cabo de Hornos, supported by Ministerio del Medio Ambiente, Chile.</t>
  </si>
  <si>
    <t>10.1007/s00300-014-1596-5</t>
  </si>
  <si>
    <t>WOS:000350040500011</t>
  </si>
  <si>
    <t>Munilla, T; Soler-Membrives, A</t>
  </si>
  <si>
    <t>Munilla, Tomas; Soler-Membrives, Anna</t>
  </si>
  <si>
    <t>Pycnogonida from the Bellingshausen and Amundsen seas: taxonomy and biodiversity</t>
  </si>
  <si>
    <t>Antarctic pycnogonids; Bathymetric distributions; Circumpolarity; Heteronymphon krappi n.sp.; Nymphon nakamurai n.sp</t>
  </si>
  <si>
    <t>COLOSSENDEIS-MEGALONYX HOEK; SOUTHERN-OCEAN BENTHOS; PETER-I ISLAND; ARTHROPODA PYCNOGONIDA; ANTARCTIC WATERS; DRAKE PASSAGE; PHYTOPLANKTON; BIOGEOGRAPHY; NYMPHONIDAE; COLLECTION</t>
  </si>
  <si>
    <t>The Bellingshausen and Amundsen Seas are among the least studied Antarctic areas. Pycnogonids constitute a common and conspicuous component of the Antarctic marine fauna. Antarctic pycnogonids have been widely studied and are usually more abundant than elsewhere. Therefore, they represent a key taxon to understand the zoogeographic and bathymetric distributions of the fauna from these two poorly sampled seas. Furthermore, we aim to compare the diversity and composition of the pycnogonids in these areas with those in other Antarctic zones. Three main surveys were carried out in these regions (Bentart 2003 and 2006 and Biopearl II 2008). In total, 879 pycnogonids belonging to 65 species were recorded in 49 stations. Two new species are described: Heteronymphon krappi n.sp. and Nymphon nakamurai n.sp. Ammothea magniceps and A. hesperidensis are recorded for the second time in the Antarctic. The most abundant family is the Nymphonidae (60.5 %), and Nymphon australe is the most abundant species (25.5 %). The biogeographic analysis revealed 39 species in the Bellingshausen Sea (16 new records) and 19 species in the Amundsen Sea (18 new records). The circumpolar pattern is the most common found. The Bellingshausen Sea seems to be a poor area in terms of abundance and species richness compared to the Amundsen Sea and other Antarctic zones. Faunal similarity was clustered into three main groups: the shallow-water stations, the outer continental shelf stations and the slope stations. The abundance of individuals likely responds to the varying amount of organic matter that reaches each bathymetric zone.</t>
  </si>
  <si>
    <t>[Munilla, Tomas; Soler-Membrives, Anna] Univ Autonoma Barcelona, Unitat Zool, E-08193 Barcelona, Spain</t>
  </si>
  <si>
    <t>Autonomous University of Barcelona</t>
  </si>
  <si>
    <t>Soler-Membrives, A (corresponding author), Univ Autonoma Barcelona, Unitat Zool, E-08193 Barcelona, Spain.</t>
  </si>
  <si>
    <t>Anna.Soler@uab.cat</t>
  </si>
  <si>
    <t>Soler-Membrives, Anna/L-3169-2014</t>
  </si>
  <si>
    <t>Soler-Membrives, Anna/0000-0002-6543-8367</t>
  </si>
  <si>
    <t>Spanish Ministry of Science and Technology (MCYT) Antarctic programs [REN2001-1074/ANT, CGL2004-01856]; British Antarctic Survey; Natural Environment Research Council</t>
  </si>
  <si>
    <t>Spanish Ministry of Science and Technology (MCYT) Antarctic programs; British Antarctic Survey; Natural Environment Research Council(UK Research &amp; Innovation (UKRI)Natural Environment Research Council (NERC))</t>
  </si>
  <si>
    <t>The BENTART cruises were performed under the auspices of two Spanish Ministry of Science and Technology (MCYT) Antarctic programs (REN2001-1074/ANT and CGL2004-01856). We express our gratitude to the head of campaign Ana Ramos, to the officers and crew of the RV Hesperides and to our colleagues from the BENTART cruises in 2003 and 2006 for their help in this paper. Likewise, we are grateful to Dr. Barnes (BAS) who kindly provided us samples from the British cruise, to Drs. K. Linse and P. Enderlein for organizing and running the BIOPEARL II cruise and to the officers and crew of RRS James Clark Ross, whose patience, accuracy and timing have made this work possible. We also acknowledge the British Antarctic Survey and the Natural Environment Research Council for funding the British expedition. We thank the reviewers for their valuable comments which helped to considerably improve the quality of the manuscript.</t>
  </si>
  <si>
    <t>10.1007/s00300-014-1585-8</t>
  </si>
  <si>
    <t>WOS:000350040500012</t>
  </si>
  <si>
    <t>Singh, AK; Sinha, AK; Saini, S; Rawat, R</t>
  </si>
  <si>
    <t>Singh, Anand K.; Sinha, A. K.; Saini, S.; Rawat, Rahul</t>
  </si>
  <si>
    <t>Auroral electrojets during severely disturbed geomagnetic condition on 24 August 2005</t>
  </si>
  <si>
    <t>ADVANCES IN SPACE RESEARCH</t>
  </si>
  <si>
    <t>Storm; Substorm; Auroral electrojets</t>
  </si>
  <si>
    <t>SUBSTORMS; FIELD</t>
  </si>
  <si>
    <t>Very intense and highly dynamic eastward and westward currents flowing in the auroral ionosphere are traditionally monitored by the auroral electrojet indices -AU and AL, respectively. In this study we show that on occasions of intense magnetic activity, entire auroral oval could be dominated by the westward flowing currents, which lead to depression not only in AL index but also in supposedly positive AU index. During negative AU intervals, there could be up to similar to 20% underestimation of the total maximum intensity of the auroral electrojet represented by AE index(defined as AU - AL). A detailed investigation of a well-studied extremely intense event of 24 August 2005 has been carried out. Global prevalence of the westward auroral electrojet was clearly observed at the auroral latitudes during the unusually intense substorm (AL similar to -4000 nT) on the day. Moreover, along the noon meridian westward electrojet appeared in the auroral region whereas eastward electrojet shifted towards lower latitudes. This paper emphasizes that intense substorms are represented better by AL index than AE index. (C) 2014 COSPAR. Published by Elsevier Ltd. All rights reserved.</t>
  </si>
  <si>
    <t>[Singh, Anand K.; Saini, S.] ESSO Natl Ctr Antarctic &amp; Ocean Res, Vasco Da Gama 403804, Goa, India; [Sinha, A. K.; Rawat, Rahul] Indian Inst Geomagnetism, New Panvel W, Navi Mumbai, India</t>
  </si>
  <si>
    <t>Ministry of Earth Sciences (MoES) - India; National Centre for Polar and Ocean Research (NCPOR); Department of Science &amp; Technology (India); Indian Institute of Geomagnetism (IIG)</t>
  </si>
  <si>
    <t>Singh, AK (corresponding author), ESSO Natl Ctr Antarctic &amp; Ocean Res, Vasco Da Gama 403804, Goa, India.</t>
  </si>
  <si>
    <t>singhaaks@gmail.com; ashwini@iigs.iigm.res.in; shailendra.saini@gmail.com; rahuliig@gmail.com</t>
  </si>
  <si>
    <t>Singh, Anand K./K-7986-2012</t>
  </si>
  <si>
    <t>Sinha, Ashwini Kumar/0000-0003-1329-6579; Rawat, Rahul/0000-0002-7275-8895</t>
  </si>
  <si>
    <t>0273-1177</t>
  </si>
  <si>
    <t>1879-1948</t>
  </si>
  <si>
    <t>ADV SPACE RES</t>
  </si>
  <si>
    <t>Adv. Space Res.</t>
  </si>
  <si>
    <t>MAR 1</t>
  </si>
  <si>
    <t>10.1016/j.asr.2014.11.034</t>
  </si>
  <si>
    <t>Engineering, Aerospace; Astronomy &amp; Astrophysics; Geosciences, Multidisciplinary; Meteorology &amp; Atmospheric Sciences</t>
  </si>
  <si>
    <t>Engineering; Astronomy &amp; Astrophysics; Geology; Meteorology &amp; Atmospheric Sciences</t>
  </si>
  <si>
    <t>CB6HJ</t>
  </si>
  <si>
    <t>WOS:000349727800008</t>
  </si>
  <si>
    <t>Schvezov, N; Lovrich, GA; Florentín, O; Romero, MC</t>
  </si>
  <si>
    <t>Schvezov, N.; Lovrich, G. A.; Florentin, O.; Romero, M. C.</t>
  </si>
  <si>
    <t>Baseline defense system of commercial male king crab Lithodes santolla from the Beagle Channel</t>
  </si>
  <si>
    <t>Antioxidant; Biomarker; Decapod; Reactive oxygen species; Seasonal; Sub-Antarctic</t>
  </si>
  <si>
    <t>TIERRA-DEL-FUEGO; OXIDATIVE STRESS; SEASONAL-VARIATIONS; BIOCHEMICAL-COMPOSITION; ANTIOXIDANT DEFENSES; PARALOMIS-GRANULOSA; NEPHROPS-NORVEGICUS; LIPID-PEROXIDATION; DRASTIC CHANGES; AIR EXPOSURE</t>
  </si>
  <si>
    <t>Environmental and physiological variations influence the steady-state concentration of free oxygen radicals in cells. Because of the seasonal life cycle of Lithodes santolla in the Beagle Channel, a baseline study of the antioxidant physiological variations along the seasons is necessary for a better understanding of its ecophysiology. The aim of this study was to evaluate the seasonal variations in gills, hemolymph, muscle and hepatopancreas of the: i) enzymatic activities of superoxide dismutase, catalase, glutathione peroxidase and glutathione transferase; ii) ascorbic acid and total glutathione; iii) lipid peroxidation and protein oxidation; iv) glucose, proteins and pH. Seasonality found in the antioxidant defense system of L. santolla from the Beagle Channel acts in a collaborative way during the most relevant life cycle phases (reproduction and molting), avoiding a long term oxidative stress. The antioxidant system also shows changes in the enzymatic activities likely caused by the environmental factors, such as low temperatures during winter and spring seasons. (C) 2014 Elsevier Inc. All rights reserved.</t>
  </si>
  <si>
    <t>[Schvezov, N.; Lovrich, G. A.; Florentin, O.; Romero, M. C.] Consejo Nacl Invest Cient &amp; Tecn, Ctr Austral Investigaciones Cient, CADIC, Consejo_Nac Investigaciones Cientff Tecn, Ushuaia, Tierra Del Fueg, Argentina</t>
  </si>
  <si>
    <t>Schvezov, N (corresponding author), Bernardo Houssay 200, Ushuaia, Tierra Fuego, Argentina.</t>
  </si>
  <si>
    <t>nschvezov@cadic-conicet.gob.ar</t>
  </si>
  <si>
    <t>Argentine Agencia Nacional de Promocion Cientifica y Tecnologica [PICT 07-1308, 12-2368]; CONICET [PIP 0200]; CONICET</t>
  </si>
  <si>
    <t>Argentine Agencia Nacional de Promocion Cientifica y Tecnologica(ANPCyT); CONICET(Consejo Nacional de Investigaciones Cientificas y Tecnicas (CONICET)); CONICET(Consejo Nacional de Investigaciones Cientificas y Tecnicas (CONICET))</t>
  </si>
  <si>
    <t>We are grateful to the fisherman J. Ebling, to M. Perez, M. Gowland, F. Tapella and A. Giamportone for their technical or facility support, and to two reviewers for their helpful comments on the manuscript. This project was supported by the Argentine Agencia Nacional de Promocion Cientifica y Tecnologica (PICT 07-1308, 12-2368) and CONICET (PIP 0200). NS has a doctoral scholarship from CONICET and this work is part of her doctoral thesis at the Universidad Nacional de Cordoba-Argentina.</t>
  </si>
  <si>
    <t>10.1016/j.cbpa.2014.11.016</t>
  </si>
  <si>
    <t>CC1DM</t>
  </si>
  <si>
    <t>WOS:000350081400003</t>
  </si>
  <si>
    <t>Rivaro, P; Ianni, C; Magi, E; Massolo, S; Budillon, G; Smethie, WM</t>
  </si>
  <si>
    <t>Rivaro, Paola; Ianni, Carmela; Magi, Emanuele; Massolo, Serena; Budillon, Giorgio; Smethie, William M., Jr.</t>
  </si>
  <si>
    <t>Distribution and ventilation of water masses in the western Ross Sea inferred from CFC measurements</t>
  </si>
  <si>
    <t>CFCs; Antarctic surface waters; Antarctic bottom water; Ross Sea ventilation</t>
  </si>
  <si>
    <t>OPTIMUM MULTIPARAMETER ANALYSIS; WEDDELL SEA; ICE; CIRCULATION; DEEP; SHELF; CROP; SF6</t>
  </si>
  <si>
    <t>During the CLIMA Project (R.V. Italica cruise PNRA XVI, January-February 2001), hydrographic and chlorofluorocarbons (CFCs) observations were obtained, particularly in the western Ross Sea. Their distribution demonstrated water mass structure and ventilation processes in the investigated areas. In the surface waters (AASW) the CFC saturation levels varied spatially: CFCs were undersaturated in all the areas (range from 80 to 90%), with the exception of few stations sampled near Ross Island. In particular, the Terra Nova Bay polynya, where high salinity shelf water (HSSW) is produced, was a low-saturated surface area (74%) with respect to CFCs. Throughout most of the shelf area, the presence of modified circumpolar deep water (MCDW) was reflected in a mid-depth CFC concentration minima. Beneath the MCDW, CFC concentrations generally increased in the shelf waters towards the seafloor. We estimated that the corresponding CFCs saturation level in the source water region for HSSW was about 68-70%. Waters with high CFC concentrations were detected in the western Ross Sea on the down slope side of the Drygalski Trough, indicating that AABW was being supplied to the deep Antarctic Basin. Estimates of ventilation ages depend strongly on the saturation levels. We calculated ventilation ages using the saturation level calibrated tracer ratio, CFC11/CFC12. We deduced a mean residence time of the shelf waters of about 6-7 years between the western Ross Sea source and the shelf break. (C) 2014 Elsevier Ltd. All rights reserved.</t>
  </si>
  <si>
    <t>[Rivaro, Paola; Ianni, Carmela; Magi, Emanuele; Massolo, Serena] Univ Genoa, Dept Chem &amp; Ind Chem, I-16146 Genoa, Italy; [Budillon, Giorgio] Parthenope Univ, Dept Sci &amp; Technol, I-80143 Naples, Italy; [Smethie, William M., Jr.] Columbia Univ, Lamont Doherty Earth Observ, Palisades, NY USA</t>
  </si>
  <si>
    <t>University of Genoa; Parthenope University Naples; Columbia University</t>
  </si>
  <si>
    <t>Rivaro, P (corresponding author), Univ Genoa, Dept Chem &amp; Ind Chem, Via Dodecaneso 31, I-16146 Genoa, Italy.</t>
  </si>
  <si>
    <t>rivaro@chimica.unige.it</t>
  </si>
  <si>
    <t>Budillon, Giorgio/O-5348-2014; Magi, Emanuele/C-9564-2011</t>
  </si>
  <si>
    <t>Budillon, Giorgio/0000-0003-1756-2221; Magi, Emanuele/0000-0002-8183-5020</t>
  </si>
  <si>
    <t>ENEA</t>
  </si>
  <si>
    <t>ENEA(ENEA, Italy)</t>
  </si>
  <si>
    <t>This study was carried out as part of the Italian National Program for Research in Antarctica (CLIMA Project) and was funded by ENEA through a joint research program. We thank the officers and crew of the RV. Italica for their help during the cruise.</t>
  </si>
  <si>
    <t>10.1016/j.dsr.2014.11.009</t>
  </si>
  <si>
    <t>CC1GI</t>
  </si>
  <si>
    <t>WOS:000350088800003</t>
  </si>
  <si>
    <t>Menviel, L; Spence, P; England, MH</t>
  </si>
  <si>
    <t>Menviel, L.; Spence, P.; England, M. H.</t>
  </si>
  <si>
    <t>Contribution of enhanced Antarctic Bottom Water formation to Antarctic warm events and millennial-scale atmospheric CO2 increase</t>
  </si>
  <si>
    <t>Atlantic Meridional Overturning Circulation; Antarctic Isotope Maximum; bipolar seesaw; atmospheric CO2; Antarctic Bottom Water</t>
  </si>
  <si>
    <t>MERIDIONAL HEAT-TRANSPORT; LAST GLACIAL PERIOD; SOUTHERN-OCEAN; CLIMATE-CHANGE; OVERTURNING CIRCULATION; CARBON-CYCLE; DOME-C; VARIABILITY; MARINE; DEEP</t>
  </si>
  <si>
    <t>During Marine Isotope Stage 3, the Atlantic Meridional Overturning Circulation (AMOC) weakened significantly on a millennial time-scale leading to Greenland stadials. Ice core records reveal that each Greenland stadial is associated with a warming over Antarctica, so-called Antarctic Isotope Maximum (AIM), and that atmospheric CO2 increases with Antarctic temperature during the long Greenland stadials. Here we perform transient simulations spanning the period 50-34 ka B.P. with two Earth System Models (LOVECLIM and the UVic ESCM) to understand the possible link between changes in the AMOC, changes in high latitude Southern Hemispheric climate and evolution of atmospheric CO2. We find that oceanic carbon releases due to the AMOC resumption during stadial/interstadial transitions lead to an atmospheric CO2 increase. However, the atmospheric CO2 increases observed during the first parts of AIM12 (similar to 47.6 ka B.P.) and AIM8 (similar to 39.8 ka B.P.) occur during periods of weak AMOC (HS5 and HS4 respectively) and could instead be explained by enhanced Antarctic Bottom Water transport. Enhanced Antarctic Bottom Water formation is shown to effectively ventilate the deep Pacific carbon and lead to CO2 outgassing into the atmosphere. In addition, changes in the AMOC alone are not sufficient to explain the largest Antarctic Isotope Maxima (namely AIM12 and AIM8). Stronger formation of Antarctic Bottom Water during AIM12 and AIM8 would enhance the southern high latitude warming and lead to a better agreement with high southern latitude paleoproxy records. The robustness of this southern warming response is tested using an eddy-permitting coupled ocean sea-ice model. We show that stronger Antarctic Bottom Water formation contributes to Southern Ocean surface warming by increasing the Southern Ocean meridional heat transport. (C) 2015 Elsevier B.V. All rights reserved.</t>
  </si>
  <si>
    <t>[Menviel, L.; Spence, P.; England, M. H.] Univ New S Wales, Climate Change Res Ctr, Sydney, NSW, Australia</t>
  </si>
  <si>
    <t>University of New South Wales Sydney</t>
  </si>
  <si>
    <t>Menviel, L (corresponding author), Univ New S Wales, Climate Change Res Ctr, Sydney, NSW, Australia.</t>
  </si>
  <si>
    <t>l.menviel@unsw.edu.au</t>
  </si>
  <si>
    <t>Spence, Paul/IZE-7366-2023; Menviel, Laurie/O-7833-2019; England, Matthew/A-7539-2011; Menviel, Laurie/D-6902-2013</t>
  </si>
  <si>
    <t>Spence, Paul/0000-0001-5156-2204; England, Matthew/0000-0001-9696-2930; Menviel, Laurie/0000-0002-5068-1591</t>
  </si>
  <si>
    <t>Australian Research Council; Australian Government; ARC Laureate Fellowship program [FL100100214]</t>
  </si>
  <si>
    <t>Australian Research Council(Australian Research Council); Australian Government(Australian Government); ARC Laureate Fellowship program(Australian Research Council)</t>
  </si>
  <si>
    <t>This project was supported by the Australian Research Council. Model experiments were performed on a computational cluster owned by the Faculty of Science of the University of New South Wales, Australia, as well as on a cluster from the NCI National Facility systems at the Australian National University through the National Computational Merit Allocation Scheme supported by the Australian Government. M. England acknowledges funding from the ARC Laureate Fellowship program (FL100100214). The authors would like to thank Agus Santoso for his advise on statistics as well as two anonymous reviewers and the Editor, Jean Lynch-Stieglitz, for their constructive comments. The authors wish to acknowledge use of the Ferret program for analysis and graphics in this paper. Ferret is a product of NOAA's Pacific Marine Environmental Laboratory. (Information is available at http://ferret.pmel.noaa.gov/Ferret/.)</t>
  </si>
  <si>
    <t>10.1016/j.epsl.2014.12.050</t>
  </si>
  <si>
    <t>CB8JI</t>
  </si>
  <si>
    <t>WOS:000349875300004</t>
  </si>
  <si>
    <t>Karanovic, I; Orduña-Martínez, L; Ardisson, PL</t>
  </si>
  <si>
    <t>Karanovic, Ivana; Orduna-Martinez, Lorena; Ardisson, Pedro-Luis</t>
  </si>
  <si>
    <t>On the phylogenetic position of Pseudophilomedinae within Sarsielloidea (Ostracoda, Myodocopida), with a description of one new Harbansus from Ningaloo Reef and redescription of H. paucichelatus from Yucatan</t>
  </si>
  <si>
    <t>HELGOLAND MARINE RESEARCH</t>
  </si>
  <si>
    <t>18S; 28S; Australia; COI; Mexico; Philomedidae; Polyphyly</t>
  </si>
  <si>
    <t>RIBOSOMAL DNA; CRUSTACEA; ORIGIN; EVOLUTIONARY; ALIGNMENT; MAXILLA</t>
  </si>
  <si>
    <t>Previous studies have suggested incongruence between current systematics and molecular phylogenies of Sarsielloidea, with a possible polyphyly of the family Philomedidae. Here, we provide molecular phylogenetic analyses based on 18S rDNA and 28S rDNA. The former includes five new sequences and 12 from the GenBank, and the latter two new and six sequences from the GenBank. We use three methods, maximum likelihood, maximum parsimony, and neighbor joining, and all reconstructed phylogenies support previously suggested polyphyly, indicating a closer relationship of the subfamily Pseudophilomedinae with one subfamily of Sarsiellidae than with the nominotypical subfamily of Philomedidae. Morphological characters that may be key indicators of the phylogenetic relationships between three Sarsielloidea families are discussed. We also describe the 21st representative of the Pseudophilomedinae genus, Harbansus Kornicker, (Smith Contrib Zool 260:75, 1978), Harbansus ningalooi n. sp., from the Ningaloo Reef, Western Australia. This is the first Harbansus reported from the Australian west coast and the second from the Australian coral reef systems. It differs from all other congeners by peculiar claw-like processes on the posterior infold. Most Harbansus species have relatively restricted distributions, except Harbansus paucichelatus (Kornicker, in Inst Mar Sci 5:195-300, 1958), which has also been postulated to represent a species complex. We present a detailed morphological redescription of this species, based on the freshly collected material from the Yucatan Peninsula, as well as four mitochondrial COI sequences. These become the first COI sequences of the entire superfamily Sarsielloidea available on the GenBank. To facilitate future identification, we include a key to species of Harbansus.</t>
  </si>
  <si>
    <t>[Karanovic, Ivana] Hanyang Univ, Dept Life Sci, Seoul 133791, South Korea; [Karanovic, Ivana] Univ Tasmania, Inst Marine &amp; Antarctic Studies, Hobart, Tas 7001, Australia; [Orduna-Martinez, Lorena; Ardisson, Pedro-Luis] CINVESTAV, Dept Recursos Mar, Merida 97310, Yucatan, Mexico</t>
  </si>
  <si>
    <t>Hanyang University; University of Tasmania; CINVESTAV - Centro de Investigacion y de Estudios Avanzados del Instituto Politecnico Nacional</t>
  </si>
  <si>
    <t>ivana.karanovic@utas.edu.au</t>
  </si>
  <si>
    <t>Australian Biological Resources Study Grant [RF 210-10]; Programa de Ordenamiento Ecologico del Territorio Costero del Estado de Yucatan project; research fund of the Laboratorio de Bentos, Cinvestav; Consejo Nacional de Ciencia y Tecnologia, Mexico</t>
  </si>
  <si>
    <t>Australian Biological Resources Study Grant; Programa de Ordenamiento Ecologico del Territorio Costero del Estado de Yucatan project; research fund of the Laboratorio de Bentos, Cinvestav; Consejo Nacional de Ciencia y Tecnologia, Mexico(Consejo Nacional de Ciencia y Tecnologia (CONACyT))</t>
  </si>
  <si>
    <t>The paper was supported by the Australian Biological Resources Study Grant (RF 210-10) to the first author. For the sampling and processing Mexican specimens, further financial support was provided by the Programa de Ordenamiento Ecologico del Territorio Costero del Estado de Yucatan project to PLA, the research fund of the Laboratorio de Bentos, Cinvestav, and a master degree scholarship from the Consejo Nacional de Ciencia y Tecnologia, Mexico, to LOM. We would also like to acknowledge Hanyang University (Seoul) for providing the space and facilities during part of this study. We thank Dr Eugen Kempf for providing information on publications related to Streptoleberis. Second and third authors want to thank Maria Teresa Herrera-Dorantes (Cinvestav, Mexico) for her support in the sampling and sorting of specimens.</t>
  </si>
  <si>
    <t>1438-387X</t>
  </si>
  <si>
    <t>1438-3888</t>
  </si>
  <si>
    <t>HELGOLAND MAR RES</t>
  </si>
  <si>
    <t>Helgoland Mar. Res.</t>
  </si>
  <si>
    <t>10.1007/s10152-014-0415-2</t>
  </si>
  <si>
    <t>CC2XJ</t>
  </si>
  <si>
    <t>WOS:000350208000004</t>
  </si>
  <si>
    <t>Pabis, K; Sobczyk, R</t>
  </si>
  <si>
    <t>Pabis, Krzysztof; Sobczyk, Robert</t>
  </si>
  <si>
    <t>Small-scale spatial variation of soft-bottom polychaete biomass in an Antarctic glacial fjord (Ezcurra Inlet, South Shetlands): comparison of sites at different levels of disturbance</t>
  </si>
  <si>
    <t>Biomass; Polychaeta; Distribution patterns; West Antarctic; Disturbance</t>
  </si>
  <si>
    <t>KING-GEORGE-ISLAND; BENTHIC COMMUNITY STRUCTURE; ADMIRALTY BAY; BODY-SIZE; QUANTITATIVE-ANALYSIS; PHYSICAL DISTURBANCE; MARTEL-INLET; ABUNDANCE; ASSEMBLAGES; BIODIVERSITY</t>
  </si>
  <si>
    <t>There is still only a small number of studies dedicated to Southern Ocean benthic biomass, especially on species level. Here, we analyze polychaete biomass in two areas of the Antarctic fjord Ezcurra Inlet characterized by different levels of disturbance associated with activity of glaciers. Material was collected in March 2007 in the 90-130 m depth range. Twenty van Veen grab (0.1 m(2)) samples were collected in the inner area of the fjord and 20 in the fjord mouth. Cluster analysis clearly separated those two parts of the fjord. Mean total biomass was significantly higher in the outer region (14.4 +/- A 5.5 g/0.1 m(2)) compared with the inner part (3.6 +/- A 0.8 g/0.1 m(2)). The highest biomass in the outer, not disturbed area was noted for Amphitrite kerguelensis, Aphelochaeta/Chaetozone, Scalibregma inflatum, Euchone pallida and Maldane sarsi antarctica, while in the inner region, only Aphelochaeta/Chaetozone had high biomass values. Average individual biomass and biomass of majority of polychaete functional groups was also higher in the outer area. Comparison of species composition and abundance with data collected 30 years ago in the studied area revealed also important differences in community structure.</t>
  </si>
  <si>
    <t>[Pabis, Krzysztof; Sobczyk, Robert] Univ Lodz, Lab Polar Biol &amp; Oceanobiol, PL-90237 Lodz, Poland</t>
  </si>
  <si>
    <t>University of Lodz</t>
  </si>
  <si>
    <t>Pabis, K (corresponding author), Univ Lodz, Lab Polar Biol &amp; Oceanobiol, Banacha 12-16, PL-90237 Lodz, Poland.</t>
  </si>
  <si>
    <t>cataclysta@wp.pl</t>
  </si>
  <si>
    <t>Sobczyk, Robert/HKV-6691-2023; Pabis, Krzysztof/O-8628-2017</t>
  </si>
  <si>
    <t>Sobczyk, Robert/0000-0001-7425-6058; Pabis, Krzysztof/0000-0002-9625-3453</t>
  </si>
  <si>
    <t>Polish Committee of Scientific Research [PBZ-KBN-108/PO4/2004]; University of Lodz internal funds</t>
  </si>
  <si>
    <t>Polish Committee of Scientific Research(Polish State Committee for Scientific Research); University of Lodz internal funds</t>
  </si>
  <si>
    <t>The study was supported by Polish Committee of Scientific Research project No. PBZ-KBN-108/PO4/2004. Krzysztof Pabis was also partially supported from the University of Lodz internal funds. Authors would like to thank captain and crew of m/v Polar Pioneer. We also want to thank Katarzyna Huzarska for help with sediment analysis. Special thanks are due to Jacek Sicinski, a leader of the 2007 expedition to Admiralty Bay. We also want to thank two anonymous reviewers for valuable comments that significantly improved this article.</t>
  </si>
  <si>
    <t>10.1007/s10152-014-0420-5</t>
  </si>
  <si>
    <t>WOS:000350208000008</t>
  </si>
  <si>
    <t>Mikhalsky, EV; Belyatsky, BV; Presnyakov, SL; Skublov, SG; Kovach, VP; Rodionov, N; Antonov, AV; Saltykova, AK; Sergeev, SA</t>
  </si>
  <si>
    <t>Mikhalsky, E. V.; Belyatsky, B. V.; Presnyakov, S. L.; Skublov, S. G.; Kovach, V. P.; Rodionov, Nn.; Antonov, A. V.; Saltykova, A. K.; Sergeev, S. A.</t>
  </si>
  <si>
    <t>The geological composition of the hidden Wilhelm II Land in East Antarctica: SHRIMP zircon, Nd isotopic and geochemical studies with implications for Proterozoic supercontinent reconstructions</t>
  </si>
  <si>
    <t>Proterozoic; Antarctica; U-Pb SHRIMP zircon age; Supercontinents</t>
  </si>
  <si>
    <t>PRINCE-CHARLES-MOUNTAINS; U-PB GEOCHRONOLOGY; SM-ND; GLACIER AREA; WILKES LAND; AGE; EVOLUTION; GONDWANA; SHIELD; ROCKS</t>
  </si>
  <si>
    <t>In this paper we present new U-Pb zircon age, Sm-Nd isotopic and chemical composition data for rocks cropping out in a few isolated nunataks in Wilhelm II Land in East Antarctica, namely Mirny oasis, Mt Brown and Gaussberg volcano, which contains xenogenic crustal material. These outcrops were subjects of geological investigations during the Soviet Antarctic Expedition of 1956-1957. Our data show that this region is underlain by a uniform crust which experienced a high-grade metamorphic event at ca 980-920 Ma, co-eval with the Rayner Orogeny in Kemp Land and the northern Prince Charles Mountains. Extensive indications of a ca 500 Ma event in coastal areas (granitoid intrusions in Mirny oasis and inherited zircons found in Gaussberg volcano), together with the lack of indications of this age in Mt Brown, point to a concentration of ca 500 Ma processes (roughly co-eval with the Prydz Orogeny) in the coastal part of Wilhelm II Land and their attenuation inland. We also determined a ca 1480 Ma age for a mafic magmatic protolith in Mt Brown which may be correlated with roughly co-eval orthogneiss in the Bunger Hills area. These observations suggest the conjugate positions of these crustal blocks in the early Mesoproterozoic and argue against a Cambrian suture running between them. In Gaussberg volcano a range of zircon Pb-206/U-238 ages of ca 320 Ma, ca 500 Ma, ca 980 Ma, and ca 2000-1800 Ma has been determined. The presence of ca 2000-1800 Ma zircons indicates involvement of mid-Palaeoproterozoic rocks in the structure of Wilhelm II Land. This argues for possible conjugation of this region with other East Antarctic blocks experienced the Palaeoproterozoic tectonic evolution and which have been considered to comprise the Mawson palaeocontinent. (C) 2014 Elsevier B.V. All rights reserved.</t>
  </si>
  <si>
    <t>[Mikhalsky, E. V.] VNIIOkeangeologia, Angliiskii Prospect 1, St Petersburg 190121, Russia; [Belyatsky, B. V.; Presnyakov, S. L.; Rodionov, Nn.; Antonov, A. V.; Saltykova, A. K.; Sergeev, S. A.] All Russia Geol Res Inst VSEGEI, St Petersburg 199106, Russia; [Skublov, S. G.; Kovach, V. P.] Russian Acad Sci, Inst Precambrian Geol &amp; Geochronol, St Petersburg 199034, Russia; [Skublov, S. G.] Univ Mines, Natl Mineral Resources Univ, St Petersburg 199106, Russia; [Sergeev, S. A.] St Petersburg State Univ, St Petersburg 199034, Russia</t>
  </si>
  <si>
    <t>A.P. Karpinsky Russian Geological Research Institute (VSEGEI); Russian Academy of Sciences; Institute of Precambrian Geology &amp; Geochronology of the Russian Academy of Sciences; Saint Petersburg Mining University; Saint Petersburg State University</t>
  </si>
  <si>
    <t>Mikhalsky, EV (corresponding author), VNIIOkeangeologia, Angliiskii Prospect 1, St Petersburg 190121, Russia.</t>
  </si>
  <si>
    <t>emikhalsky@mail.ru</t>
  </si>
  <si>
    <t>Kovach, Victor/T-5471-2017; Skublov, Sergey/B-1775-2010; Belyatsky, Boris/V-6644-2019; Rodionov, Nickolay/T-8826-2017</t>
  </si>
  <si>
    <t>Kovach, Victor/0000-0002-2027-7256; Belyatsky, Boris/0000-0002-4022-9366; Mikhalsky, Eugene/0000-0002-9299-0851; Rodionov, Nickolay/0000-0001-5201-1922; Skublov, Sergey/0000-0002-5227-4260; Sergeev, Sergey/0000-0001-8460-8715</t>
  </si>
  <si>
    <t>Russian Foundation for Basic Research [11-05-00254, 15-05-02761]; Ministry of Education and Science of Russia [5.2115.2014/K]</t>
  </si>
  <si>
    <t>Russian Foundation for Basic Research(Russian Foundation for Basic Research (RFBR)Spanish Government); Ministry of Education and Science of Russia(Ministry of Education and Science, Russian Federation)</t>
  </si>
  <si>
    <t>G.A. Oleinikova (All Russia Geological Research Institute, St. Petersburg) is thanked for conducting trace element ICP-MS analyses. M.J. Flowerdew and an anonymous reviewer are greatly thanked for their helpful constructive reviews, J.W. Sheraton for improving the language and A.V. Golynsky for subice topography. This study was supported by grants #11-05-00254 and 15-05-02761 from the Russian Foundation for Basic Research to EVM and partly supported by the Ministry of Education and Science of Russia (No 5.2115.2014/K for 2014-2016).</t>
  </si>
  <si>
    <t>10.1016/j.precamres.2014.12.011</t>
  </si>
  <si>
    <t>CB8JH</t>
  </si>
  <si>
    <t>WOS:000349875200010</t>
  </si>
  <si>
    <t>Contreras, G; Barahona, S; Sepúlveda, D; Baeza, M; Cifuentes, V; Alcaíno, J</t>
  </si>
  <si>
    <t>Contreras, Gabriela; Barahona, Salvador; Sepulveda, Dionisia; Baeza, Marcelo; Cifuentes, Victor; Alcaino, Jennifer</t>
  </si>
  <si>
    <t>Identification and analysis of metabolite production with biotechnological potential in Xanthophyllomyces dendrorhous isolates</t>
  </si>
  <si>
    <t>WORLD JOURNAL OF MICROBIOLOGY &amp; BIOTECHNOLOGY</t>
  </si>
  <si>
    <t>Carotenoids; Astaxanthin; Xanthophyllomyces dendrorhous; Phaffia rhodozyma; Polyunsaturated fatty acids</t>
  </si>
  <si>
    <t>PHAFFIA-RHODOZYMA; FATTY-ACIDS; ASTAXANTHIN BIOSYNTHESIS; SACCHAROMYCES-CEREVISIAE; BASIDIOMYCETOUS YEAST; LIPID-COMPOSITION; MUTANT STRAINS; RIBOSOMAL DNA; CAROTENOIDS; ERGOSTEROL</t>
  </si>
  <si>
    <t>Antarctic microorganisms have developed different strategies to live in their environments, including modifications to their membrane components to regulate fluidity and the production of photoprotective metabolites such as carotenoids. Three yeast colonies (ANCH01, ANCH06 and ANCH08) were isolated from soil samples collected at King George Island, which according to their rDNA sequence analyses, were determined to be Xanthophyllomyces dendrorhous. This yeast is of biotechnological interest, because it can synthesize astaxanthin as its main carotenoid, which is a powerful antioxidant pigment used in aquaculture. Then, the aim of this work was to characterize the ANCH isolates at their molecular and phenotypic level. The isolates did not display any differences in their rDNA and COX1 gene nucleotide sequences. However, ANCH01 produces approximately sixfold more astaxanthin than other wild type strains. Moreover, even though ANCH06 and ANCH08 produce astaxanthin, their main carotenoid was beta-carotene. In contrast to other X. dendrorhous strains, the ANCH isolates did not produce mycosporines. Finally, the ANCH isolates had a higher proportion of polyunsaturated fatty acids than other wild type strains. In conclusion, the reported X. dendrorhous isolates are phenotypically different from other wild type strains, including characteristics that could make them more resistant and better able to inhabit their original habitat, which may also have biotechnological potential.</t>
  </si>
  <si>
    <t>[Contreras, Gabriela; Barahona, Salvador; Sepulveda, Dionisia; Baeza, Marcelo; Cifuentes, Victor; Alcaino, Jennifer] Univ Chile, Fac Ciencias, Dept Ciencias Ecol, Santiago, Chile</t>
  </si>
  <si>
    <t>Alcaíno, J (corresponding author), Univ Chile, Fac Ciencias, Dept Ciencias Ecol, Las Palmeras 3425,Casilla 653, Santiago, Chile.</t>
  </si>
  <si>
    <t>jalcainog@u.uchile.cl</t>
  </si>
  <si>
    <t>Contreras, Gabriela/IVH-6661-2023; Alcaino, Jennifer/H-4576-2012; Contreras, Gabriela/KEJ-2323-2024</t>
  </si>
  <si>
    <t>Baeza, Marcelo/0000-0001-8853-395X; Contreras, Gabriela/0000-0002-5637-3004</t>
  </si>
  <si>
    <t>CONICYT; [INACH RG_07-12]; [INACH M_01_11]</t>
  </si>
  <si>
    <t>CONICYT(Comision Nacional de Investigacion Cientifica y Tecnologica (CONICYT)); ;</t>
  </si>
  <si>
    <t>This work was supported by Grants INACH RG_07-12 to JA and, INACH M_01_11 and a CONICYT graduate scholarship to GC.</t>
  </si>
  <si>
    <t>0959-3993</t>
  </si>
  <si>
    <t>1573-0972</t>
  </si>
  <si>
    <t>WORLD J MICROB BIOT</t>
  </si>
  <si>
    <t>World J. Microbiol. Biotechnol.</t>
  </si>
  <si>
    <t>10.1007/s11274-015-1808-3</t>
  </si>
  <si>
    <t>Biotechnology &amp; Applied Microbiology</t>
  </si>
  <si>
    <t>CB9UH</t>
  </si>
  <si>
    <t>WOS:000349978200009</t>
  </si>
  <si>
    <t>Dilly, GF; Gaitán-Espitia, JD; Hofmann, GE</t>
  </si>
  <si>
    <t>Dilly, G. F.; Gaitan-Espitia, J. D.; Hofmann, G. E.</t>
  </si>
  <si>
    <t>Characterization of the Antarctic sea urchin (Sterechinus neumayeri) transcriptome and mitogenome: a molecular resource for phylogenetics, ecophysiology and global change biology</t>
  </si>
  <si>
    <t>MOLECULAR ECOLOGY RESOURCES</t>
  </si>
  <si>
    <t>Antarctica; echinoids; mitogenome; ocean acidification; Sterechinus neumayeri; transcriptomics</t>
  </si>
  <si>
    <t>COMPLETE MITOCHONDRIAL GENOME; DE-NOVO CHARACTERIZATION; OCEAN ACIDIFICATION; STRONGYLOCENTROTUS-PURPURATUS; NUCLEOTIDE-SEQUENCE; GENE ORGANIZATION; NATURAL-SELECTION; EVOLUTION; ECHINODERMATA; ECHINOIDEA</t>
  </si>
  <si>
    <t>This is the first de novo transcriptome and complete mitochondrial genome of an Antarctic sea urchin species sequenced to date. Sterechinus neumayeri is an Antarctic sea urchin and a model species for ecology, development, physiology and global change biology. To identify transcripts important to ocean acidification (OA) and thermal stress, this transcriptome was created pooling, and 13 larval samples representing developmental stages on day 11 (late gastrula), 19 (early pluteus) and 30 (mid pluteus) maintained at three CO2 levels (421, 652, and 1071atm) as well as four additional heat-shocked samples. The normalized cDNA pool was sequenced using emulsion PCR (pyrosequencing) resulting in 1.34M reads with an average read length of 492 base pairs. 40994isotigs were identified, averaging 1188bp with a median coverage of 11x. Additional primer design and gap sequencing were required to complete the mitochondrial genome. The mitogenome of S.neumayeri is a circular DNA molecule with a length of 15684bp that contains all 37 genes normally found in metazoans. We detail the main features of the transcriptome and the mitogenome architecture and investigate the phylogenetic relationships of S.neumayeri within Echinoidea. In addition, we provide comparative analyses of S.neumayeri with its closest relative, Strongylocentrotus purpuratus, including a list of potential OA gene targets. The resources described here will support a variety of quantitative (genomic, proteomic, multistress and comparative) studies to interrogate physiological responses to OA and other stressors in this important Antarctic calcifier.</t>
  </si>
  <si>
    <t>[Dilly, G. F.; Hofmann, G. E.] Univ Calif Santa Barbara, Inst Marine Sci, Dept Ecol Evolut &amp; Marine Biol, Santa Barbara, CA 93106 USA; [Gaitan-Espitia, J. D.] Univ Austral Chile, Inst Ciencias Ambientales &amp; Evolut, Valdivia, Chile</t>
  </si>
  <si>
    <t>University of California System; University of California Santa Barbara; Universidad Austral de Chile</t>
  </si>
  <si>
    <t>Dilly, GF (corresponding author), UC Santa Barbara, Inst Marine Sci, Santa Barbara, CA 93106 USA.</t>
  </si>
  <si>
    <t>geoff.dilly@lifesci.ucsb.edu</t>
  </si>
  <si>
    <t>/AAL-3738-2021; Gaitan-Espitia, Juan Diego/A-9945-2012</t>
  </si>
  <si>
    <t>Gaitan-Espitia, Juan Diego/0000-0001-8781-5736</t>
  </si>
  <si>
    <t>U.S. National Science Foundation (NSF) [ANT-0944201]; Fondo Nacional de Desarrollo Cientifico y Tecnologico (FONDECYT) [3130381]; Office of Polar Programs (OPP); Directorate For Geosciences [0944201] Funding Source: National Science Foundation</t>
  </si>
  <si>
    <t>U.S. National Science Foundation (NSF)(National Science Foundation (NSF)); Fondo Nacional de Desarrollo Cientifico y Tecnologico (FONDECYT)(Comision Nacional de Investigacion Cientifica y Tecnologica (CONICYT)CONICYT FONDECYT); Office of Polar Programs (OPP); Directorate For Geosciences(National Science Foundation (NSF)NSF - Directorate for Geosciences (GEO))</t>
  </si>
  <si>
    <t>We thank members of the U.S. Antarctic Program, R. Robbins and S. Rupp for sea urchin collections, Dr. Pauline. C. Yu and other members of the Bravo-134 field team for their support during larval culturing and sample collection (Professor Mary Sewell, Evan Hunter, Dr. Paul Matson, Emily Rivest, and Lydia Kapsenberg). We also thank the Center for Genomics and Bioinformatics at Indiana University for pyrosequencing and transcriptome assembly and annotation. This research was supported by U.S. National Science Foundation (NSF) grant ANT-0944201 to GEH. JDGE was supported by a postdoctoral fellowship from Fondo Nacional de Desarrollo Cientifico y Tecnologico (FONDECYT-Postdoctoral grant No. 3130381).</t>
  </si>
  <si>
    <t>1755-098X</t>
  </si>
  <si>
    <t>1755-0998</t>
  </si>
  <si>
    <t>MOL ECOL RESOUR</t>
  </si>
  <si>
    <t>Mol. Ecol. Resour.</t>
  </si>
  <si>
    <t>10.1111/1755-0998.12316</t>
  </si>
  <si>
    <t>Biochemistry &amp; Molecular Biology; Ecology; Evolutionary Biology</t>
  </si>
  <si>
    <t>Biochemistry &amp; Molecular Biology; Environmental Sciences &amp; Ecology; Evolutionary Biology</t>
  </si>
  <si>
    <t>CB7PE</t>
  </si>
  <si>
    <t>WOS:000349819000020</t>
  </si>
  <si>
    <t>Kool, JT; Nichol, SL</t>
  </si>
  <si>
    <t>Kool, Johnathan T.; Nichol, Scott L.</t>
  </si>
  <si>
    <t>Four-dimensional connectivity modelling with application to Australia's north and northwest marine environments</t>
  </si>
  <si>
    <t>ENVIRONMENTAL MODELLING &amp; SOFTWARE</t>
  </si>
  <si>
    <t>Connectivity; Marine; Dispersal; Individual-based model; Seascape; Australia</t>
  </si>
  <si>
    <t>POPULATION CONNECTIVITY; LARVAL DISPERSAL; LEEUWIN CURRENT; FISH; CIRCULATION; REEF; RECRUITMENT; PATTERNS; WESTERN; SYSTEM</t>
  </si>
  <si>
    <t>A fully four-dimensional (3D x time) object-oriented biophysical dispersal model was developed to simulate the movement of marine larvae over semi-continuous surfaces. The model is capable of handling massive numbers of simulated larvae, can accommodate diverse life history patterns and distributions of characteristics, and saves point-level information to a relational database management system. The model was used to study Australia's northwest marine region, with attention given to connectivity patterns among Australia's north-western Commonwealth Marine Reserves (CMRs). Animations of larval movement near the Gascoyne canyon CMR, dispersal surfaces over depth and time for CMRs and Key Ecological Features in the northwest, as well as matrices of connectivity values among CMRs are shown. The matrices are further analysed to identify the sensitivity and elasticity of their values. The results generated by this model can aid in designing and managing marine protected area networks that incorporate extensive and complex benthic terrain (including the identification of marine 'corridors'), and for developing targeted field sampling strategies. Crown Copyright (C) 2014 Published by Elsevier Ltd. All rights reserved.</t>
  </si>
  <si>
    <t>[Kool, Johnathan T.; Nichol, Scott L.] Australian Natl Univ, Canberra, ACT 2601, Australia</t>
  </si>
  <si>
    <t>Australian National University</t>
  </si>
  <si>
    <t>Kool, JT (corresponding author), Australian Natl Univ, GPO Box 378, Canberra, ACT 2601, Australia.</t>
  </si>
  <si>
    <t>johnathan.kool@ga.gov.au</t>
  </si>
  <si>
    <t>Kool, Johnathan/0000-0002-9902-3522</t>
  </si>
  <si>
    <t>Australian Government's National Environmental Research Program (NERP); ARC Centre of Excellence for Coral Reef Studies Program 6; Australian Institute of Marine Science</t>
  </si>
  <si>
    <t>Australian Government's National Environmental Research Program (NERP)(Australian Government); ARC Centre of Excellence for Coral Reef Studies Program 6(Australian Research Council); Australian Institute of Marine Science</t>
  </si>
  <si>
    <t>This paper is a contribution to the Marine Biodiversity Hub, funded through the Australian Government's National Environmental Research Program (NERP). NERP Marine Biodiversity Hub partners include: the Institute for Marine and Antarctic Studies, the University of Tasmania, CSIRO, Geoscience Australia, the Australian Institute of Marine Science (AIMS), the Museum of Victoria, Charles Darwin University and the University of Western Australia. JK also gratefully acknowledges the efforts of Claire Paris, Ashwanth Srinivasan, and Robert K. Cowen in developing the original form of the dispersal code in Fortran at the University of Miami. Earlier versions of the code received funding through the ARC Centre of Excellence for Coral Reef Studies Program 6 and the Australian Institute of Marine Science. The authors thank Australia's National Computing Infrastructure (NCI) for providing computational resources for this project, and in particular Rao Kashif and Grant Ward for their assistance in installing and maintaining the PostgreSQL database. This paper is published with the permission of the CEO, Geoscience Australia.</t>
  </si>
  <si>
    <t>1364-8152</t>
  </si>
  <si>
    <t>1873-6726</t>
  </si>
  <si>
    <t>ENVIRON MODELL SOFTW</t>
  </si>
  <si>
    <t>Environ. Modell. Softw.</t>
  </si>
  <si>
    <t>10.1016/j.envsoft.2014.11.022</t>
  </si>
  <si>
    <t>Computer Science, Interdisciplinary Applications; Engineering, Environmental; Environmental Sciences; Water Resources</t>
  </si>
  <si>
    <t>Computer Science; Engineering; Environmental Sciences &amp; Ecology; Water Resources</t>
  </si>
  <si>
    <t>CB4HM</t>
  </si>
  <si>
    <t>WOS:000349588800007</t>
  </si>
  <si>
    <t>Mitchell, M; Lockwood, M; Moore, SA; Clement, S</t>
  </si>
  <si>
    <t>Mitchell, Michael; Lockwood, Michael; Moore, Susan A.; Clement, Sarah</t>
  </si>
  <si>
    <t>Scenario analysis for biodiversity conservation: A social-ecological system approach in the Australian Alps</t>
  </si>
  <si>
    <t>JOURNAL OF ENVIRONMENTAL MANAGEMENT</t>
  </si>
  <si>
    <t>Social-ecological systems; Governance; Adaptive capacity; Biodiversity conservation</t>
  </si>
  <si>
    <t>BOGONG HIGH-PLAINS; CLIMATE-CHANGE; ENVIRONMENTAL-MANAGEMENT; ADAPTIVE GOVERNANCE; CAPACITY; VULNERABILITY; ADAPTATION; RESILIENCE; ALPINE; FUTURE</t>
  </si>
  <si>
    <t>Current policy interventions are having limited success in addressing the ongoing decline in global biodiversity. In part, this is attributable to insufficient attention being paid to the social and governance processes that drive decisions and can undermine their implementation. Scenario planning that draws on social-ecological systems (SES) analysis provides a useful means to systematically explore and anticipate future uncertainties regarding the interaction between humans and biodiversity outcomes. However, the effective application of SES models has been limited by the insufficient attention given to governance influences. Understanding the influence governance attributes have on the future trajectory of SES is likely to assist choice of effective interventions, as well as needs and opportunities for governance reform. In a case study in the Australian Alps, we explore the potential of joint SES and scenario analyses to identify how governance influences landscape-scale biodiversity outcomes. Novel aspects of our application of these methods were the specification of the focal system's governance attributes according to requirements for adaptive capacity, and constraining scenarios according to the current governance settings while varying key social and biophysical drivers. This approach allowed us to identify how current governance arrangements influence landscape-scale biodiversity outcomes, and establishes a baseline from which the potential benefits of governance reform can be assessed. (C) 2014 Elsevier Ltd. All rights reserved.</t>
  </si>
  <si>
    <t>[Mitchell, Michael; Lockwood, Michael] Univ Tasmania, Sch Land &amp; Food, Hobart, Tas 7001, Australia; [Moore, Susan A.; Clement, Sarah] Murdoch Univ, Sch Vet &amp; Life Sci, Murdoch, WA 6150, Australia</t>
  </si>
  <si>
    <t>University of Tasmania; Murdoch University</t>
  </si>
  <si>
    <t>Mitchell, M (corresponding author), Univ Tasmania, Sch Land &amp; Food, Private Bag 78, Hobart, Tas 7001, Australia.</t>
  </si>
  <si>
    <t>Michael.Mitchell@utas.edu.au; Michael.Locicwood@utas.edu.au; S.Moore@murdoch.edu.au; S.Clement@murdoch.edu.au</t>
  </si>
  <si>
    <t>Clement, Sarah/O-9997-2016; Mitchell, Michael/C-2382-2014</t>
  </si>
  <si>
    <t>Clement, Sarah/0000-0002-5422-622X; Mitchell, Michael/0000-0002-1082-3073</t>
  </si>
  <si>
    <t>Australian Government's National Environmental Research Program</t>
  </si>
  <si>
    <t>The report is an output from the Landscapes and Policy Research Hub. The hub is supported through funding from the Australian Government's National Environmental Research Program and involves researchers from the University of Tasmania, The Australian National University, Murdoch University, the Antarctic Climate and Ecosystems Cooperative Research Centre, Griffith University and Charles Sturt University. We thank the workshop participants who contributed their time and expertise to our research, and in particular Gillian Anderson for her contributions and support.</t>
  </si>
  <si>
    <t>0301-4797</t>
  </si>
  <si>
    <t>1095-8630</t>
  </si>
  <si>
    <t>J ENVIRON MANAGE</t>
  </si>
  <si>
    <t>J. Environ. Manage.</t>
  </si>
  <si>
    <t>10.1016/j.jenvman.2014.11.013</t>
  </si>
  <si>
    <t>CB3BX</t>
  </si>
  <si>
    <t>WOS:000349504300008</t>
  </si>
  <si>
    <t>Karanovic, T; Eberhard, S; Cooper, SJB; Guzik, MT</t>
  </si>
  <si>
    <t>Karanovic, Tomislav; Eberhard, Stefan; Cooper, Steven J. B.; Guzik, Michelle T.</t>
  </si>
  <si>
    <t>Morphological and molecular study of the genus Nitokra (Crustacea, Copepoda, Harpacticoida) in a small palaeochannel in Western Australia</t>
  </si>
  <si>
    <t>ORGANISMS DIVERSITY &amp; EVOLUTION</t>
  </si>
  <si>
    <t>Barcoding; Conservation; Stygofauna; Taxonomy; Yeelirrie; Zoogeography</t>
  </si>
  <si>
    <t>MITOCHONDRIAL-DNA PHYLOGEOGRAPHY; GENERA LIMBODESSUS GUIGNOT; CRYPTIC SPECIATION; SUBTERRANEAN ARCHIPELAGO; BEETLES COLEOPTERA; UNDERGROUND WATERS; GROUNDWATER FAUNA; CALCRETE AQUIFER; SPECIES COMPLEX; YILGARN REGION</t>
  </si>
  <si>
    <t>A combined approach was used to study the diversity, distribution and variability of the ameirid genus Nitokra in the uppermost reaches of the Carey palaeochannel, as very little is known about habitat invasions of stygofauna in general and inland dispersal of this predominantly marine genus in particular. A 70-km-long stretch of several disconnected calcrete subterranean habitats, known as Yeelirrie, has previously shown to harbour up to ten sympatric and parapatric congeners of the miraciid genus Schizopera and six allopatric congeners of the parastenocaridid genus Kinnecaris, in addition to 11 other species of copepods. The diversity of the genus Nitokra is much smaller, with only two allopatric species in the entire area. Nitokra esbe sp. nov. is a short-range endemic, recorded in a single bore in the most downstream part of Yeelirrie. In contrast, both molecular and morphological data indicate that Nitokra yeelirrie sp. nov. is widespread here, showing one of the largest distribution ranges of any subterranean copepod in Yeelirrie. Phylogenetic analysis of Nitokra populations based on the COI gene shows N. esbe as a sister clade to other Nitokra sequences, which does not exclude the possibility of an 'active upstream' dispersal model, proposed for other copepods of marine origin here. High levels of COI sequence divergence (similar to 10 %) among specimens of N. yeelirrie collected 8 km apart suggest the potential for considerable population differentiation or restricted gene flow within an apparently single large calcrete body. A table of the most important morphological characters for all 79 valid world species of Nitokra is presented, and replacement names are provided for four junior homonyms. An overview of the conservation status of the entire Yeelirrie stygofauna was also provided.</t>
  </si>
  <si>
    <t>[Karanovic, Tomislav] Hanyang Univ, Dept Life Sci, Seoul 133791, South Korea; [Karanovic, Tomislav] Univ Tasmania, Inst Marine &amp; Antarctic Studies, Hobart, Tas 7001, Australia; [Eberhard, Stefan] Subterranean Ecol, Sci Environm Serv, Stirling, WA 6021, Australia; [Cooper, Steven J. B.; Guzik, Michelle T.] S Australian Museum, Evolutionary Biol Unit, Adelaide, SA 5000, Australia; [Cooper, Steven J. B.; Guzik, Michelle T.] Univ Adelaide, Australian Ctr Evolutionary Biol &amp; Biodivers, Adelaide, SA 5005, Australia</t>
  </si>
  <si>
    <t>Hanyang University; University of Tasmania; University of Adelaide</t>
  </si>
  <si>
    <t>Karanovic, T (corresponding author), Hanyang Univ, Dept Life Sci, Seoul 133791, South Korea.</t>
  </si>
  <si>
    <t>tomislav.karanovic@utas.edu.au</t>
  </si>
  <si>
    <t>Guzik, Michelle/AAV-8196-2021; Cooper, Steven JB/I-6291-2012</t>
  </si>
  <si>
    <t>1439-6092</t>
  </si>
  <si>
    <t>1618-1077</t>
  </si>
  <si>
    <t>ORG DIVERS EVOL</t>
  </si>
  <si>
    <t>Org. Divers. Evol.</t>
  </si>
  <si>
    <t>10.1007/s13127-014-0193-3</t>
  </si>
  <si>
    <t>CB0PO</t>
  </si>
  <si>
    <t>WOS:000349329000004</t>
  </si>
  <si>
    <t>Mukhopadhyay, A; Dasgupta, AK; Chakrabarti, K</t>
  </si>
  <si>
    <t>Mukhopadhyay, Arka; Dasgupta, Anjan Kr; Chakrabarti, Krishanu</t>
  </si>
  <si>
    <t>Enhanced functionality and stabilization of a cold active laccase using nanotechnology based activation-immobilization</t>
  </si>
  <si>
    <t>BIORESOURCE TECHNOLOGY</t>
  </si>
  <si>
    <t>Enzyme stability; Single wall carbon nanotubes; Immobilisation; Reusability; Kinetics determinants</t>
  </si>
  <si>
    <t>ANTARCTIC BACTERIUM; LOW-TEMPERATURES; REDUCING SUGARS; PECTATE LYASE; ENZYMES; THERMOSTABILITY; PURIFICATION; CELLULASE; XYLANASE; CLONING</t>
  </si>
  <si>
    <t>A simple nanotechnology based immobilization technique for imparting psychrostability and enhanced activity to a psychrophilic laccase has been described here. Laccase from a psychrophile was supplemented with Copper oxide nanoparticles (NP) corresponding to copper (NP-laccase), the cationic activator of this enzyme and entrapped in single walled nanotube (SWNT). The activity and stability of laccase was enhanced both at temperatures as low as 4 degrees C and as high as 80 degrees C in presence of NP and SWNT. The enzyme could be released and re-trapped (in SWNT) multiple times while retaining significant activity. Laccase, immobilized in SWNT, retained its activity after repeated freezing and thawing. This unique capability of SWNT to activate and stabilize cold active enzymes at temperatures much lower or higher than their optimal range may be utilized for processes that require bio-conversion at low temperatures while allowing for shifts to higher temperature if so required. (C) 2014 Elsevier Ltd. All rights reserved.</t>
  </si>
  <si>
    <t>[Mukhopadhyay, Arka; Dasgupta, Anjan Kr; Chakrabarti, Krishanu] Univ Calcutta, Dept Biochem, Kolkata 700073, W Bengal, India</t>
  </si>
  <si>
    <t>University of Calcutta</t>
  </si>
  <si>
    <t>Chakrabarti, K (corresponding author), Univ Calcutta, Dept Biochem, Kolkata 700073, W Bengal, India.</t>
  </si>
  <si>
    <t>kcbioc@gmail.com</t>
  </si>
  <si>
    <t>Dasgupta, Anjan/T-5634-2019; Mukhopadhyay, Arka/K-4326-2015</t>
  </si>
  <si>
    <t>Mukhopadhyay, Arka/0000-0002-9090-9386</t>
  </si>
  <si>
    <t>Centre for Research on Nanoscience and Nanotechnology (CRNN) under University of Calcutta; West Bengal DST</t>
  </si>
  <si>
    <t>This study was supported by the grant from Centre for Research on Nanoscience and Nanotechnology (CRNN) under University of Calcutta and West Bengal DST. The authors are grateful to Dr. Tamoghna Bhattacharya, Dept. of Biochemistry, University of Calcutta, Dr. Soumen Basak, Saha Institute of Nuclear Physics, Kolkata for the use of CD equipment. The authors are also grateful to the CAS programme of Department of Biochemistry of University of Calcutta, UGC, FIST.</t>
  </si>
  <si>
    <t>0960-8524</t>
  </si>
  <si>
    <t>1873-2976</t>
  </si>
  <si>
    <t>BIORESOURCE TECHNOL</t>
  </si>
  <si>
    <t>Bioresour. Technol.</t>
  </si>
  <si>
    <t>10.1016/j.biortech.2014.12.070</t>
  </si>
  <si>
    <t>Agricultural Engineering; Biotechnology &amp; Applied Microbiology; Energy &amp; Fuels</t>
  </si>
  <si>
    <t>Agriculture; Biotechnology &amp; Applied Microbiology; Energy &amp; Fuels</t>
  </si>
  <si>
    <t>AZ2CG</t>
  </si>
  <si>
    <t>WOS:000348041600076</t>
  </si>
  <si>
    <t>Raga, G; Pichler, HA; Zaleski, T; da Silva, FBV; Machado, C; Rodrigues, E; Kawall, HG; Rios, FS; Donatti, L</t>
  </si>
  <si>
    <t>Raga, Gabriela; Pichler, Helen Audrey; Zaleski, Tania; Vaz da Silva, Flavia Baduy; Machado, Cintia; Rodrigues, Edson; Kawall, Helena Goncalves; Rios, Flavia Sant'Anna; Donatti, Lucelia</t>
  </si>
  <si>
    <t>Ecological and physiological aspects of the antarctic fishes Notothenia rossii and Notothenia coriiceps in Admiralty Bay, Antarctic Peninsula</t>
  </si>
  <si>
    <t>ENVIRONMENTAL BIOLOGY OF FISHES</t>
  </si>
  <si>
    <t>Energy metabolism; Notothenioids; Population structure; Biochemistry; Plasma</t>
  </si>
  <si>
    <t>KING GEORGE ISLAND; SOUTH-SHETLAND ISLANDS; BIOCHEMICAL-COMPOSITION; FOOD-WEB; POTTER COVE; SERUM; TISSUES; RICHARDSON; OCEAN; ZOOPLANKTON</t>
  </si>
  <si>
    <t>The well-being, feeding habits and energetic and plasmatic parameters of the notothenioids Notothenia rossii and Notothenia coriiceps were assessed in specimens collected at a depth of up to 25 m in the Admiralty Bay region, King George Island, Antarctic Peninsula. The population structure of N. rossii (n = 221) was composed of juveniles, and that of N. coriiceps (n = 151) was composed of adults. The greatest mean length and weight measurements of N. coriiceps may be related to warming waters in the Antarctic Peninsula region. Salps were the dominant item in the diet of both species responsible for high protein quantity item found in muscle tissues and liver. The krill and amphipods were an important food item and related to lipid reserves. Among the indices evaluated, greater variation was observed in the hepatosomatic index of N. coriiceps and was related to the greater sizes and ages attained by this species. The liver and muscle energetic components showed great variability between different months may be related by the variability in diet. The plasma components did not exhibit seasonal patterns but displayed large monthly variation. Long-term analysis of the biological parameters evaluated in this study should be continued to monitor the species present in Admiralty Bay, a region with great biological diversity.</t>
  </si>
  <si>
    <t>[Raga, Gabriela; Pichler, Helen Audrey; Zaleski, Tania; Vaz da Silva, Flavia Baduy; Machado, Cintia; Rios, Flavia Sant'Anna; Donatti, Lucelia] Univ Fed Parana, Dept Cell Biol, Adapt Biol Lab, BR-80060000 Curitiba, Parana, Brazil; [Rodrigues, Edson] Univ Taubate, Basic Biosci Inst, Sao Paulo, Brazil; [Kawall, Helena Goncalves] Univ Sao Paulo, Oceanog Inst, Sao Paulo, Brazil</t>
  </si>
  <si>
    <t>Universidade Federal do Parana; Universidade de Taubate; Universidade de Sao Paulo</t>
  </si>
  <si>
    <t>Donatti, L (corresponding author), Univ Fed Parana, Dept Cell Biol, Adapt Biol Lab, BR-80060000 Curitiba, Parana, Brazil.</t>
  </si>
  <si>
    <t>donatti@ufpr.br</t>
  </si>
  <si>
    <t>Pichler, Helen Audrey/I-9293-2012; Donatti, Lucelia/E-1930-2013; Rodrigues, Edson/C-6792-2015</t>
  </si>
  <si>
    <t>Pichler, Helen Audrey/0000-0003-3149-7278; Donatti, Lucelia/0000-0002-9023-2483; Rodrigues, Edson/0000-0003-3968-6882; machado, cintia/0000-0002-3570-1611; ZALESKI, TANIA/0000-0001-7426-7312</t>
  </si>
  <si>
    <t>Brazilian Ministry of Environment (MMA); Ministry of Science, Technology and Innovation (MCTI); National Council for the Development of Scientific and Technological Research (CNPq); Brazilian Federal Agency for Support and Evaluation of Graduate Education (CAPES); Secretariat of the Interministerial Commission for the Resources of the Sea (SeCIRM); CAPES; CNPq; FAPERJ [2443/2011, 2985/2010]; EBA [52.0125/2008-8]</t>
  </si>
  <si>
    <t>Brazilian Ministry of Environment (MMA); Ministry of Science, Technology and Innovation (MCTI); National Council for the Development of Scientific and Technological Research (CNPq)(Conselho Nacional de Desenvolvimento Cientifico e Tecnologico (CNPQ)); Brazilian Federal Agency for Support and Evaluation of Graduate Education (CAPES)(Coordenacao de Aperfeicoamento de Pessoal de Nivel Superior (CAPES)); Secretariat of the Interministerial Commission for the Resources of the Sea (SeCIRM); CAPES(Coordenacao de Aperfeicoamento de Pessoal de Nivel Superior (CAPES)); CNPq(Conselho Nacional de Desenvolvimento Cientifico e Tecnologico (CNPQ)); FAPERJ(Fundacao Carlos Chagas Filho de Amparo a Pesquisa do Estado do Rio De Janeiro (FAPERJ)); EBA</t>
  </si>
  <si>
    <t>We are grateful to the following for their support: Brazilian Ministry of Environment (MMA), Ministry of Science, Technology and Innovation (MCTI), National Council for the Development of Scientific and Technological Research (CNPq), Brazilian Federal Agency for Support and Evaluation of Graduate Education (CAPES) and the Secretariat of the Interministerial Commission for the Resources of the Sea (SeCIRM). The authors would like to thank Edith Susana Elisabeth Fanta (in memoriam), coordinator of the projects Evolution and Biodiversity in the Antarctic: The response of life to change (EBA), and Yocie Yoneshigue Valentin, coordinator of the National Institute of Antarctic Science and Technology of Environmental Research (INCTAPA), for all the help and incentive given during execution of the present work. The study was supported by CAPES, CNPq and FAPERJ through the projects PNPD (CAPES Process Auxpe No. 2443/2011 and 2985/2010), EBA (MCTI/CNPq Process No. 52.0125/2008-8, International Polar Year), Productivity in Research granted to L. Donatti (CNPq. Process No. 305562/2009-6 and 305969/2012-9) and INCT-APA (CNPq Process No. 574018/2008-5, FAPERJ E-26/170.023/2008).</t>
  </si>
  <si>
    <t>0378-1909</t>
  </si>
  <si>
    <t>1573-5133</t>
  </si>
  <si>
    <t>ENVIRON BIOL FISH</t>
  </si>
  <si>
    <t>Environ. Biol. Fishes</t>
  </si>
  <si>
    <t>10.1007/s10641-014-0311-2</t>
  </si>
  <si>
    <t>CA6NA</t>
  </si>
  <si>
    <t>WOS:000349029800003</t>
  </si>
  <si>
    <t>Kim, S; Yoon, J; Park, MG</t>
  </si>
  <si>
    <t>Kim, Sunju; Yoon, Jihae; Park, Myung Gil</t>
  </si>
  <si>
    <t>Obligate mixotrophy of the pigmented dinoflagellate Polykrikos lebourae (Dinophyceae, Dinoflagellata)</t>
  </si>
  <si>
    <t>ALGAE</t>
  </si>
  <si>
    <t>benthic cryptophytes; gross growth efficiency; growth response; obligate mixotrophy; Polykrikos lebourae; sand-dwelling dinoflagellate</t>
  </si>
  <si>
    <t>MARINE DINOFLAGELLATE; GRAZING RESPONSES; ANTARCTIC DINOFLAGELLATE; PREY CONCENTRATION; FEEDING MECHANISM; PLASTID RETENTION; GROWTH-RATES; PHYLOGENY; MORPHOLOGY; TINTINNIDS</t>
  </si>
  <si>
    <t>The marine sand-dwelling dinoflagellate Polykrikos lebourae possesses obvious gold-brown pigmented plastids as well as taeniocyst-nematocyst complex structures. Despite of the presence of the visible plastids, previous attempts to establish this species in culture all failed and thus the unavailability of cultures of this species has posed a major obstacle to further detailed exploration of ecophysiology of the dinoflagellate. Here, we isolated P. lebourae from sandy sediment of an intertidal flat on Korean western coast, successfully established it in culture, and have been maintaining the stock culture over the past 3 years. Using this stock culture, we explored phagotrophy and potential prey resources of P. lebourae, growth and grazing responses of P. lebourae to different prey organisms, the effect of prey concentration on growth and grazing rates and gross growth efficiency (GGE) of P. lebourae when fed three different prey organisms, and the growth kinetics of P lebourae under different light regimes. P. lebourae captured prey cells using a tow filament and then phagocytized them through the posterior end. The dinoflagellate was capable of ingesting a broad range of prey species varying in size, but not all prey species tested in this study supported its sustained growth. GGE of P lebourae was extremely high at low prey concentration and moderate or low at high prey concentrations, indicating that P. lebourae grows heterotrophically at high prey concentrations but its growth seems to be more dependent on a certain growth factor or photosynthesis of plastids derived from the prey. In the presence of prey in excess, P. lebourae grew well at moderate light intensity of 40 mu mol photons m(-2) s(-1), but did not grow at dim and high (10 or 120 mu mol photons m(-2) s(-1)) light intensities. Our results suggest that the benthic dinoflagellate P. lebourae is an obligate mixotroph, requiring both prey and light for sustained growth and survival.</t>
  </si>
  <si>
    <t>[Kim, Sunju] Chonnam Natl Univ, Res Inst Basic Sci, Kwangju 500757, South Korea; [Yoon, Jihae; Park, Myung Gil] Chonnam Natl Univ, Dept Oceanog, Kwangju 500757, South Korea</t>
  </si>
  <si>
    <t>Chonnam National University; Chonnam National University</t>
  </si>
  <si>
    <t>Park, MG (corresponding author), Chonnam Natl Univ, Dept Oceanog, Kwangju 500757, South Korea.</t>
  </si>
  <si>
    <t>mpark@chonnam.ac.kr</t>
  </si>
  <si>
    <t>Kim, Sunju/IXN-3072-2023</t>
  </si>
  <si>
    <t>National Research Foundation of Korea (NRF) - Korea government (MSIP) [2012R1A1A3013725, 2014R1A2A1A11053911, 2014R1A2A2A01004586]; Chonnam National University</t>
  </si>
  <si>
    <t>National Research Foundation of Korea (NRF) - Korea government (MSIP); Chonnam National University</t>
  </si>
  <si>
    <t>We would like to thank Dr. D. Wayne Coats and the two reviewers for critical comments and suggestions that greatly helped to improve the manuscript. This research was supported by the National Research Foundation of Korea (NRF) grant funded by the Korea government (MSIP) (Nos. 2012R1A1A3013725 and 2014R1A2A1A11053911) to SK and (No. 2014R1A2A2A01004586) and Chonnam National University, 2013 to MGP.</t>
  </si>
  <si>
    <t>KOREAN SOC PHYCOLOGY</t>
  </si>
  <si>
    <t>SEOUL</t>
  </si>
  <si>
    <t>B1F, TRUST TOWER, 275-7 YANGJAE-DONG, SEOCHO-KU, SEOUL, 137-739, SOUTH KOREA</t>
  </si>
  <si>
    <t>1226-2617</t>
  </si>
  <si>
    <t>2093-0860</t>
  </si>
  <si>
    <t>ALGAE-SEOUL</t>
  </si>
  <si>
    <t>Algae</t>
  </si>
  <si>
    <t>10.4490/algae.2015.30.1.035</t>
  </si>
  <si>
    <t>CE9RH</t>
  </si>
  <si>
    <t>WOS:000352180600003</t>
  </si>
  <si>
    <t>Sromek, L; Lasota, R; Szymelfenig, M; Wolowicz, M</t>
  </si>
  <si>
    <t>Sromek, Ludmila; Lasota, Rafal; Szymelfenig, Maria; Wolowicz, Maciej</t>
  </si>
  <si>
    <t>Genetic evidence for the existence of two species of the bipolar pelagic mollusk Clione limacina</t>
  </si>
  <si>
    <t>AMERICAN MALACOLOGICAL BULLETIN</t>
  </si>
  <si>
    <t>pteropods; Arctic; Antarctic; COI mtDNA sequences; genetic distance</t>
  </si>
  <si>
    <t>Clione limacina (Phipps, 1774) has a broad bipolar distribution up to latitudes of 40 degrees N and 40 degrees S. So far southern populations have been described as a subspecies and even a separate species based on morphological and physiological characters. In this study we found a 23.17% (+/- 0.59%) difference in cytochrome c oxidase subunit I (COI) gene sequences between C. limacina collected from the Arctic and Antarctic oceans. Our work indicates that Clione limacina from the Southern and Northern Hemisphere are not genetically similar enough to represent a single bipolar species and confirms their separate taxonomic status on molecular level.</t>
  </si>
  <si>
    <t>[Sromek, Ludmila; Lasota, Rafal; Szymelfenig, Maria; Wolowicz, Maciej] Univ Gdansk, Inst Oceanog, PL-81378 Gdynia, Poland</t>
  </si>
  <si>
    <t>Lasota, R (corresponding author), Univ Gdansk, Inst Oceanog, Al Marszalka Pilsudskiego 46, PL-81378 Gdynia, Poland.</t>
  </si>
  <si>
    <t>Sromek, Ludmiła/0000-0002-3260-8032; Lasota, Rafal/0000-0002-2745-3515; Szymelfenig, Maria/0000-0001-8628-9957</t>
  </si>
  <si>
    <t>Polish Ministry of Science and Higher Education [N N306 445638]</t>
  </si>
  <si>
    <t>We wish to thank Luiza Bielecka, Anna Panasiuk-Chodnicka, and Marta Gluchowska for their help in collection of pteropods. We are also very grateful to two anonymous reviewers for very valuable remarks on the first manuscript. This study was made possible by Program of comprehensive research of the South Ocean, including Drake Passage of Russian Academy of Sciences (30 cruise of R/V Academic Ioffe), and research grant N N306 445638 from the Polish Ministry of Science and Higher Education.</t>
  </si>
  <si>
    <t>AMER MALACOLOGICAL SOC, INC</t>
  </si>
  <si>
    <t>WILMINGTON</t>
  </si>
  <si>
    <t>DELAWARE MUSEUM NATURAL HISTORY, BOX 3937, WILMINGTON, DE 19807-0937 USA</t>
  </si>
  <si>
    <t>0740-2783</t>
  </si>
  <si>
    <t>2162-2698</t>
  </si>
  <si>
    <t>AM MALACOL BULL</t>
  </si>
  <si>
    <t>Am. Malacol. Bull.</t>
  </si>
  <si>
    <t>10.4003/006.033.0108</t>
  </si>
  <si>
    <t>CD9KK</t>
  </si>
  <si>
    <t>WOS:000351417000013</t>
  </si>
  <si>
    <t>Alves, N; Meirelles, PM; Santos, ED; Dutilh, B; Silva, GGZ; Paranhos, R; Cabral, AS; Rezende, C; Iida, T; de Moura, RL; Kruger, RH; Pereira, RC; Valle, R; Sawabe, T; Thompson, C; Thompson, F</t>
  </si>
  <si>
    <t>Alves Junior, Nelson; Meirelles, Pedro Milet; Santos, Eidy de Oliveira; Dutilh, Bas; Silva, Genivaldo G. Z.; Paranhos, Rodolfo; Cabral, Anderson S.; Rezende, Carlos; Iida, Tetsuya; de Moura, Rodrigo L.; Kruger, Ricardo Henrique; Pereira, Renato C.; Valle, Rogerio; Sawabe, Tomoo; Thompson, Cristiane; Thompson, Fabiano</t>
  </si>
  <si>
    <t>Microbial community diversity and physical-chemical features of the Southwestern Atlantic Ocean</t>
  </si>
  <si>
    <t>ARCHIVES OF MICROBIOLOGY</t>
  </si>
  <si>
    <t>Metagenomics; South Atlantic Ocean; Microbial diversity; Water mass</t>
  </si>
  <si>
    <t>WATER MASSES; ALTEROMONAS-MACLEODII; VIRAL ABUNDANCE; ORGANIC-MATTER; DEEP; OCEANOGRAPHY; BACTERIOPLANKTON; GENOMICS; SURFACE; CARBON</t>
  </si>
  <si>
    <t>Microbial oceanography studies have demonstrated the central role of microbes in functioning and nutrient cycling of the global ocean. Most of these former studies including at Southwestern Atlantic Ocean (SAO) focused on surface seawater and benthic organisms (e.g., coral reefs and sponges). This is the first metagenomic study of the SAO. The SAO harbors a great microbial diversity and marine life (e.g., coral reefs and rhodolith beds). The aim of this study was to characterize the microbial community diversity of the SAO along the depth continuum and different water masses by means of metagenomic, physical-chemical and biological analyses. The microbial community abundance and diversity appear to be strongly influenced by the temperature, dissolved organic carbon, and depth, and three groups were defined [1. surface waters; 2. sub-superficial chlorophyll maximum (SCM) (48-82 m) and 3. deep waters (236-1,200 m)] according to the microbial composition. The microbial communities of deep water masses [South Atlantic Central water, Antarctic Intermediate water and Upper Circumpolar Deep water] are highly similar. Of the 421,418 predicted genes for SAO metagenomes, 36.7 % had no homologous hits against 17,451,486 sequences from the North Atlantic, South Atlantic, North Pacific, South Pacific and Indian Oceans. From these unique genes from the SAO, only 6.64 % had hits against the NCBI non-redundant protein database. SAO microbial communities share genes with the global ocean in at least 70 cellular functions; however, more than a third of predicted SAO genes represent a unique gene pool in global ocean. This study was the first attempt to characterize the taxonomic and functional community diversity of different water masses at SAO and compare it with the microbial community diversity of the global ocean, and SAO had a significant portion of endemic gene diversity. Microbial communities of deep water masses (236-1,200 m) are highly similar, suggesting that these water masses have very similar microbiological attributes, despite the common knowledge that water masses determine prokaryotic community and are barriers to microbial dispersal. The present study also shows that SCM is a clearly differentiated layer within Tropical waters with higher abundance of phototrophic microbes and microbial diversity.</t>
  </si>
  <si>
    <t>[Alves Junior, Nelson; Meirelles, Pedro Milet; Santos, Eidy de Oliveira; Dutilh, Bas; Paranhos, Rodolfo; Cabral, Anderson S.; de Moura, Rodrigo L.; Thompson, Cristiane; Thompson, Fabiano] Univ Fed Rio de Janeiro, Inst Biol, Rio De Janeiro, Brazil; [Santos, Eidy de Oliveira] INMETRO, Rio De Janeiro, Brazil; [Silva, Genivaldo G. Z.] San Diego State Univ, Computat Sci Res Ctr, San Diego, CA 92182 USA; [Rezende, Carlos] Univ Estadual N Fluminen, Lab Environm Sci, Campos dos Goytacazes, Brazil; [Iida, Tetsuya] Osaka Univ, Osaka, Japan; [Kruger, Ricardo Henrique] Univ Brasilia, Enzymol Lab, Dept Cellular Biol, Inst Biol, Brasilia, DF, Brazil; [Pereira, Renato C.] Univ Fed Fluminense, Inst Biol, Niteroi, RJ, Brazil; [Valle, Rogerio; Thompson, Fabiano] SAGE COPPE, Rio De Janeiro, Brazil; [Sawabe, Tomoo] Hokkaido Univ, Microbiol Lab, Hakodate, Hokkaido, Japan</t>
  </si>
  <si>
    <t>Universidade Federal do Rio de Janeiro; California State University System; San Diego State University; Osaka University; Universidade de Brasilia; Universidade Federal Fluminense; Hokkaido University</t>
  </si>
  <si>
    <t>Thompson, F (corresponding author), Univ Fed Rio de Janeiro, Inst Biol, Rio De Janeiro, Brazil.</t>
  </si>
  <si>
    <t>fabiano.thompson@biologia.ufrj.br</t>
  </si>
  <si>
    <t>Dutilh, Bas E./B-9719-2011; Thompson, Cristiane C/I-5783-2016; Meirelles, Pedro/GRY-0806-2022; Kruger, Ricardo/Y-9595-2019; Meirelles, Pedro/AAL-4542-2020; Pereira, Renato/AAA-7832-2020; de Moura, Rodrigo Leao/AAL-5781-2020; de Rezende, Carlos Eduardo/I-1893-2015; Meirelles, Pedro/AAK-5942-2021</t>
  </si>
  <si>
    <t>Dutilh, Bas E./0000-0003-2329-7890; de Moura, Rodrigo Leao/0000-0002-5597-6196; de Rezende, Carlos Eduardo/0000-0003-2804-8930; Meirelles, Pedro/0000-0002-1306-0331; Thompson, Fabiano/0000-0002-7562-1683; Kruger, Ricardo/0000-0002-8443-9402; Cabral, Anderson/0000-0002-8997-8309</t>
  </si>
  <si>
    <t>CNPq; CAPES; FAPERJ</t>
  </si>
  <si>
    <t>CNPq(Conselho Nacional de Desenvolvimento Cientifico e Tecnologico (CNPQ)); CAPES(Coordenacao de Aperfeicoamento de Pessoal de Nivel Superior (CAPES)); FAPERJ(Fundacao Carlos Chagas Filho de Amparo a Pesquisa do Estado do Rio De Janeiro (FAPERJ))</t>
  </si>
  <si>
    <t>We thank the PIRATA project and the Seward Johnson crew for handling the CTD data, CENPES-PETROBRAS for providing sampling and analysis at Bacia de Campos study. We thank CNPq, CAPES, FAPERJ for funding. The present study is part of the PhD thesis of NAJ and PMM.</t>
  </si>
  <si>
    <t>0302-8933</t>
  </si>
  <si>
    <t>1432-072X</t>
  </si>
  <si>
    <t>ARCH MICROBIOL</t>
  </si>
  <si>
    <t>Arch. Microbiol.</t>
  </si>
  <si>
    <t>10.1007/s00203-014-1035-6</t>
  </si>
  <si>
    <t>CB1MI</t>
  </si>
  <si>
    <t>WOS:000349391400005</t>
  </si>
  <si>
    <t>Wei, JJ; Wu, XF; Melia, F; Maier, RS</t>
  </si>
  <si>
    <t>Wei, Jun-Jie; Wu, Xue-Feng; Melia, Fulvio; Maier, Robert S.</t>
  </si>
  <si>
    <t>A COMPARATIVE ANALYSIS OF THE SUPERNOVA LEGACY SURVEY SAMPLE WITH ΛCDM AND THE Rh = ct UNIVERSE</t>
  </si>
  <si>
    <t>HUBBLE-SPACE-TELESCOPE; SUPERMASSIVE BLACK-HOLES; GAMMA-RAY BURSTS; IA SUPERNOVAE; COSMIC CHRONOMETERS; PEAK LUMINOSITY; EVOLUTION; ENERGY; MODEL; GALAXIES</t>
  </si>
  <si>
    <t>The use of Type Ia supernovae (SNe Ia) has thus far produced the most reliable measurement of the expansion history of the universe, suggesting that Lambda CDM offers the best explanation for the redshift-luminosity distribution observed in these events. However, analysis of other kinds of sources, such as cosmic chronometers, gamma-ray bursts, and high-z quasars, conflicts with this conclusion, indicating instead that the constant expansion rate implied by the R-h = ct universe is a better fit to the data. The central difficulty with the use of SNe Ia as standard candles is that one must optimize three or four nuisance parameters characterizing supernova (SN) luminosities simultaneously with the parameters of an expansion model. Hence, in comparing competing models, one must reduce the data independently for each. We carry out such a comparison of Lambda CDM and the R-h = ct universe using the SN Legacy Survey sample of 252 SN events, and show that each model fits its individually reduced data very well. However, since R-h = ct has only one free parameter (the Hubble constant), it follows from a standard model selection technique that it is to be preferred over Lambda CDM, the minimalist version of which has three (the Hubble constant, the scaled matter density, and either the spatial curvature constant or the dark energy equation-of-state parameter). We estimate using the Bayes Information Criterion that in a pairwise comparison, the likelihood of R-h = ct is similar to 90%, compared with only similar to 10% for a minimalist form of Lambda CDM, in which dark energy is simply a cosmological constant. Compared to R-h = ct, versions of the standard model with more elaborate parametrizations of dark energy are judged to be even less likely.</t>
  </si>
  <si>
    <t>[Wei, Jun-Jie; Wu, Xue-Feng; Melia, Fulvio] Chinese Acad Sci, Purple Mt Observ, Nanjing 210008, Jiangsu, Peoples R China; [Melia, Fulvio] Univ Arizona, Dept Phys, Program Appl Math, Tucson, AZ 85721 USA; [Melia, Fulvio] Univ Arizona, Dept Astron, Tucson, AZ 85721 USA; [Wei, Jun-Jie] Univ Chinese Acad Sci, Beijing 100049, Peoples R China; [Wu, Xue-Feng] Chinese Ctr Antarctic Astron, Nanjing 210008, Jiangsu, Peoples R China; [Wu, Xue-Feng] Nanjing Univ, Purple Mt Observ, Joint Ctr Particle Nucl Phys &amp; Cosmol, Nanjing 210008, Jiangsu, Peoples R China; [Maier, Robert S.] Univ Arizona, Dept Math, Stat Program, Tucson, AZ 85721 USA; [Maier, Robert S.] Univ Arizona, Dept Phys, Tucson, AZ 85721 USA</t>
  </si>
  <si>
    <t>Purple Mountain Observatory, CAS; Chinese Academy of Sciences; Nanjing Institute of Astronomical Optics &amp; Technology, NAOC, CAS; University of Arizona; University of Arizona; Chinese Academy of Sciences; University of Chinese Academy of Sciences, CAS; Purple Mountain Observatory, CAS; Chinese Academy of Sciences; Nanjing Institute of Astronomical Optics &amp; Technology, NAOC, CAS; Nanjing University; University of Arizona; University of Arizona</t>
  </si>
  <si>
    <t>jjwei@pmo.ac.cn; xfwu@pmo.ac.cn; fmelia@email.arizona.edu; rsm@math.arizona.edu</t>
  </si>
  <si>
    <t>Melia, Fulvio/V-4197-2018; Maier, Robert S./C-4802-2014; Wu, Xuefeng/G-5316-2015</t>
  </si>
  <si>
    <t>Melia, Fulvio/0000-0002-8014-0593; Maier, Robert S./0000-0002-1259-1341; Wei, Jun-Jie/0000-0003-0162-2488; Wu, Xuefeng/0000-0002-6299-1263</t>
  </si>
  <si>
    <t>National Basic Research Program (973 Program) of China [2014CB845800, 2013CB834900]; National Natural Science Foundation of China [11322328, 11373068]; One-Hundred-Talents Program; Youth Innovation Promotion Association; Strategic Priority Research Program The Emergence of Cosmological Structures of the Chinese Academy of Sciences [XDB09000000]; Natural Science Foundation of Jiangsu Province [BK2012890]; Amherst College; Chinese Academy of Sciences Visiting Professorships for Senior International Scientists [2012T1J0011]; Chinese State Administration of Foreign Experts Affairs [GDJ20120491013]</t>
  </si>
  <si>
    <t>We are very grateful to the anonymous referee for carefully reading the manuscript and making several important suggestions that have improved it significantly. We appreciate the use of the public data from the Supernova Legacy Survey. We also thank Bo Yu and Fa-Yin Wang for helpful discussions. X.F.W. acknowledges the National Basic Research Program (973 Program) of China (grants 2014CB845800 and 2013CB834900), the National Natural Science Foundation of China (grant Nos. 11322328 and 11373068), the One-Hundred-Talents Program, the Youth Innovation Promotion Association, and the Strategic Priority Research Program The Emergence of Cosmological Structures (grant No. XDB09000000) of the Chinese Academy of Sciences, and the Natural Science Foundation of Jiangsu Province (grant No. BK2012890). F.M. is grateful to Amherst College for its support through a John Woodruff Simpson Lectureship, and to Purple Mountain Observatory in Nanjing, China, for its hospitality while this work was being carried out. This work was partially supported by grant 2012T1J0011 from The Chinese Academy of Sciences Visiting Professorships for Senior International Scientists, and grant GDJ20120491013 from the Chinese State Administration of Foreign Experts Affairs.</t>
  </si>
  <si>
    <t>10.1088/0004-6256/149/3/102</t>
  </si>
  <si>
    <t>CF1KM</t>
  </si>
  <si>
    <t>WOS:000352304000013</t>
  </si>
  <si>
    <t>Barwick, SW; Berg, EC; Besson, DZ; Duffin, T; Hanson, JC; Klein, SR; Kleinfelder, SA; Piasecki, M; Ratzlaff, K; Reed, C; Roumi, M; Stezelberger, T; Tatar, J; Walker, J; Young, R; Zou, L</t>
  </si>
  <si>
    <t>Barwick, S. W.; Berg, E. C.; Besson, D. Z.; Duffin, T.; Hanson, J. C.; Klein, S. R.; Kleinfelder, S. A.; Piasecki, M.; Ratzlaff, K.; Reed, C.; Roumi, M.; Stezelberger, T.; Tatar, J.; Walker, J.; Young, R.; Zou, L.</t>
  </si>
  <si>
    <t>Time-domain response of the ARIANNA detector</t>
  </si>
  <si>
    <t>ASTROPARTICLE PHYSICS</t>
  </si>
  <si>
    <t>GZK neutrinos; Askaryan effect; Radio detector</t>
  </si>
  <si>
    <t>NEUTRINO DETECTION; COSMIC RAYS; EMISSION; SPECTRUM; ANTENNAS; PULSES; CHARGE</t>
  </si>
  <si>
    <t>The Antarctic Ross Ice Shelf Antenna Neutrino Array (ARIANNA) is a high-energy neutrino detector designed to record the Askaryan electric field signature of cosmogenic neutrino interactions in ice. To understand the inherent radio-frequency (RF) neutrino signature, the time-domain response of the ARIANNA RF receiver must be measured. ARIANNA uses Create CLP5130-2N log-periodic dipole arrays (LPDAs). The associated effective height operator converts incident electric fields to voltage waveforms at the LDPA terminals. The effective height versus time and incident angle was measured, along with the associated response of the ARIANNA RE amplifier. The results are verified by correlating to field measurements in air and ice, using oscilloscopes. Finally, theoretical models for the Askaryan electric field are combined with the detector response to predict the neutrino signature. (C) 2014 Elsevier B.V. All rights reserved.</t>
  </si>
  <si>
    <t>[Barwick, S. W.; Berg, E. C.; Duffin, T.; Hanson, J. C.; Reed, C.; Tatar, J.; Walker, J.] Univ Calif Irvine, Dept Phys &amp; Astron, Irvine, CA USA; [Besson, D. Z.; Hanson, J. C.] Univ Kansas, Dept Phys &amp; Astron, Lawrence, KS 66045 USA; [Kleinfelder, S. A.; Roumi, M.; Zou, L.] Univ Calif Irvine, Dept Elect Engn &amp; Comp Sci, Irvine, CA USA; [Klein, S. R.; Stezelberger, T.] Lawrence Berkeley Natl Lab, Berkeley, CA USA; [Piasecki, M.; Ratzlaff, K.; Young, R.] Univ Kansas, Instrumentat Design Lab, Lawrence, KS 66045 USA; [Besson, D. Z.] Moscow Phys &amp; Engn Inst, Los Alamos, NM USA; [Tatar, J.] Univ Washington, Dept Phys, Seattle, WA 98195 USA</t>
  </si>
  <si>
    <t>University of California System; University of California Irvine; University of Kansas; University of California System; University of California Irvine; United States Department of Energy (DOE); Lawrence Berkeley National Laboratory; University of Kansas; University of Washington; University of Washington Seattle</t>
  </si>
  <si>
    <t>Hanson, JC (corresponding author), Univ Kansas, Lawrence, KS 66045 USA.</t>
  </si>
  <si>
    <t>j529h838@ku.edu</t>
  </si>
  <si>
    <t>Ratzlaff, Kenneth/G-6221-2017</t>
  </si>
  <si>
    <t>Klein, Spencer/0000-0003-2841-6553; Hanson, Jordan/0000-0003-4055-4553; Dfffin, Thorin/0000-0002-0216-6827</t>
  </si>
  <si>
    <t>Office of Polar Programs and Physics Division of the US National Science Foundation [ANT-08339133, NSF-0970175, NSF-1126672]; Directorate For Geosciences [1126672, 1413661] Funding Source: National Science Foundation; Office of Polar Programs (OPP) [1126672, 1413661] Funding Source: National Science Foundation</t>
  </si>
  <si>
    <t>Office of Polar Programs and Physics Division of the US National Science Foundation; Directorate For Geosciences(National Science Foundation (NSF)NSF - Directorate for Geosciences (GEO)); Office of Polar Programs (OPP)(National Science Foundation (NSF)NSF - Directorate for Geosciences (GEO))</t>
  </si>
  <si>
    <t>We wish to thank the staff of Antarctic Support Contractors, Raytheon Polar Services and Lockheed Martin, and the entire crew at McMurdo Station for excellent logistical support. We would like to acknowledge and thank the CReSIS project and the Anechoic Chamber facility management for the use of the world class anechoic chamber at the University of Kansas. This work was supported by generous funding from the Office of Polar Programs and Physics Division of the US National Science Foundation, grant awards ANT-08339133, NSF-0970175, and NSF-1126672.</t>
  </si>
  <si>
    <t>0927-6505</t>
  </si>
  <si>
    <t>1873-2852</t>
  </si>
  <si>
    <t>ASTROPART PHYS</t>
  </si>
  <si>
    <t>Astropart Phys.</t>
  </si>
  <si>
    <t>10.1016/j.astropartphys.2014.09.002</t>
  </si>
  <si>
    <t>Astronomy &amp; Astrophysics; Physics, Particles &amp; Fields</t>
  </si>
  <si>
    <t>Astronomy &amp; Astrophysics; Physics</t>
  </si>
  <si>
    <t>AW8ZR</t>
  </si>
  <si>
    <t>WOS:000346548200017</t>
  </si>
  <si>
    <t>Renaud, S; Rodrigues, HG; Ledevin, R; Pisanu, B; Chapuis, JL; Hardouin, EA</t>
  </si>
  <si>
    <t>Renaud, Sabrina; Rodrigues, Helder Gomes; Ledevin, Ronan; Pisanu, Benoit; Chapuis, Jean-Louis; Hardouin, Emilie A.</t>
  </si>
  <si>
    <t>Fast evolutionary response of house mice to anthropogenic disturbance on a Sub-Antarctic island</t>
  </si>
  <si>
    <t>geometric morphometrics; invasive species; island evolution; morphology; Mus musculus domesticus; phenotypic plasticity; rapid adaptation; rodent mandible</t>
  </si>
  <si>
    <t>COMPLEX MORPHOLOGICAL STRUCTURES; PHENOTYPIC PLASTICITY; KERGUELEN ARCHIPELAGO; DENTAL MICROWEAR; GUILLOU ISLAND; MANDIBLE SHAPE; MOUSE; POPULATIONS; ADAPTATION; DIET</t>
  </si>
  <si>
    <t>Invasions and anthropogenic disturbances challenge species with rapid environmental changes. Understanding how organisms respond to these changes is of major concern for the future of biodiversity. The house mouse on a Sub-Antarctic island (Guillou Island, Kerguelen Archipelago) had to face such challenges twice: first when invading the island two centuries ago; and nowadays when coping with an in-depth remodeling of its habitat due to a cohort of anthropogenic changes. Morphometric and biomechanical results show that the initial invasion triggered the evolution of a jaw shape adapted to the local food resources. Contemporary changes are also associated to changes in jaw morphology, but are not directly functionally relevant. Here, a complex response integrating feeding behaviour, investment in feeding structure, and degree of mineralization, may provide the mice with a better tool to benefit of wider resources utilization and/or better cope with intra-specific competition in a changing habitat. These Sub-Antarctic mice exemplify that success of invasive species rely on the capacity of facing rapidly varying environments through integrated, multi-faceted responses involving behaviour to morphology through life-history traits.(c) 2015 The Linnean Society of London, Biological Journal of the Linnean Society, 2015, 114, 513-526.</t>
  </si>
  <si>
    <t>[Renaud, Sabrina; Ledevin, Ronan] Univ Lyon 1, CNRS, Lab Biometrie &amp; Biol Evolut, UMR 5558, F-69622 Villeurbanne, France; [Rodrigues, Helder Gomes] Univ Lyon 1, F-69622 Villeurbanne, France; [Pisanu, Benoit; Chapuis, Jean-Louis] Museum Natl Hist Nat, Ctr Ecol &amp; Sci Conservat, UMR 7204, F-75005 Paris, France; [Hardouin, Emilie A.] Max Planck Inst Evolutionary Biol, Dept Evolutionary Genet, D-24306 Plon, Germany; [Hardouin, Emilie A.] Bournemouth Univ, Fac Sci &amp; Technol, Dept Life &amp; Environm Sci, Poole BH12 5BB, Dorset, England</t>
  </si>
  <si>
    <t>Centre National de la Recherche Scientifique (CNRS); CNRS - Institute of Ecology &amp; Environment (INEE); Universite Claude Bernard Lyon 1; VetAgro Sup; Universite Claude Bernard Lyon 1; Centre National de la Recherche Scientifique (CNRS); CNRS - Institute of Ecology &amp; Environment (INEE); Museum National d'Histoire Naturelle (MNHN); Sorbonne Universite; Max Planck Society; Bournemouth University</t>
  </si>
  <si>
    <t>Renaud, S (corresponding author), Univ Lyon 1, CNRS, Lab Biometrie &amp; Biol Evolut, UMR 5558, Campus Doua, F-69622 Villeurbanne, France.</t>
  </si>
  <si>
    <t>sabrina.renaud@univ-lyon1.fr</t>
  </si>
  <si>
    <t>Renaud, Sabrina/AAV-3141-2020</t>
  </si>
  <si>
    <t>Renaud, Sabrina/0000-0002-8730-3113</t>
  </si>
  <si>
    <t>French Polar Institute (IPEV programme) [136]; CNRS (Zone Atelier de Recherches sur l'Environnement Antarctique et Subantarctique); Fondation des Treilles; ANR Bigtooth [ANR-11-BSV7-008]</t>
  </si>
  <si>
    <t>French Polar Institute (IPEV programme); CNRS (Zone Atelier de Recherches sur l'Environnement Antarctique et Subantarctique)(Centre National de la Recherche Scientifique (CNRS)); Fondation des Treilles; ANR Bigtooth(Agence Nationale de la Recherche (ANR))</t>
  </si>
  <si>
    <t>J.-P. Quere (CBGP, Baillarguet, France) and J. R. Michaux (University of Liege, Belgium) are thanked for long-lasting discussions and access to their collection, A. Lena and J. Clavel (LGLTPE, UCB Lyon 1) for technical support during dental casts, R. Lebrun (ISEM, Montpellier) for its contribution in managing CT-scans, J. Stewart and D. Fletcher (Bournemouth University) for feedback on the manuscript. The manuscript benefited from the constructive comments of two anonymous reviewers. This study was supported by the French Polar Institute (IPEV programme 136), by the CNRS (Zone Atelier de Recherches sur l'Environnement Antarctique et Subantarctique), by the Fondation des Treilles (funds to HGR) and by the ANR Bigtooth (ANR-11-BSV7-008).</t>
  </si>
  <si>
    <t>10.1111/bij.12454</t>
  </si>
  <si>
    <t>CB6PN</t>
  </si>
  <si>
    <t>WOS:000349749100003</t>
  </si>
  <si>
    <t>Plant, B</t>
  </si>
  <si>
    <t>Plant, Brendan</t>
  </si>
  <si>
    <t>SOVEREIGNTY, SCIENCE, AND CETACEANS: THE WHALING IN THE ANTARCTIC CASE</t>
  </si>
  <si>
    <t>CAMBRIDGE LAW JOURNAL</t>
  </si>
  <si>
    <t>Univ Cambridge Downing Coll, Cambridge CB2 1DQ, England</t>
  </si>
  <si>
    <t>Plant, B (corresponding author), Univ Cambridge Downing Coll, Regent St, Cambridge CB2 1DQ, England.</t>
  </si>
  <si>
    <t>bcp35@cam.ac.uk</t>
  </si>
  <si>
    <t>Plant, Brendan/JZT-7051-2024</t>
  </si>
  <si>
    <t>0008-1973</t>
  </si>
  <si>
    <t>1469-2139</t>
  </si>
  <si>
    <t>CAMB LAW J</t>
  </si>
  <si>
    <t>Camb. Law J.</t>
  </si>
  <si>
    <t>10.1017/S0008197315000227</t>
  </si>
  <si>
    <t>CE5ZM</t>
  </si>
  <si>
    <t>WOS:000351915000013</t>
  </si>
  <si>
    <t>Anderies, JM; Kaper, HG; Shuckburgh, EF; Zagaris, A</t>
  </si>
  <si>
    <t>Anderies, John M.; Kaper, Hans G.; Shuckburgh, Emily F.; Zagaris, Antonios</t>
  </si>
  <si>
    <t>Introduction to Focus Issue: Nonlinear Dynamics for Planet Earth</t>
  </si>
  <si>
    <t>CHAOS</t>
  </si>
  <si>
    <t>[Anderies, John M.] Arizona State Univ, Sch Human Evolut &amp; Social Change, Tempe, AZ 85287 USA; [Anderies, John M.] Arizona State Univ, Sch Sustainabil, Tempe, AZ 85287 USA; [Kaper, Hans G.] Georgetown Univ, Dept Math &amp; Stat, Washington, DC 20057 USA; [Kaper, Hans G.] Math &amp; Climate Res Network, Washington, DC 20007 USA; [Shuckburgh, Emily F.] British Antarctic Survey, Cambridge CB3 0ET, England; [Shuckburgh, Emily F.] Dept Energy &amp; Climate, London SW1A 2HD, England; [Zagaris, Antonios] Univ Twente, Dept Appl Math, NL-7522 NB Enschede, Netherlands</t>
  </si>
  <si>
    <t>Arizona State University; Arizona State University-Tempe; Arizona State University; Arizona State University-Tempe; Georgetown University; UK Research &amp; Innovation (UKRI); Natural Environment Research Council (NERC); NERC British Antarctic Survey; University of Twente</t>
  </si>
  <si>
    <t>Anderies, JM (corresponding author), Arizona State Univ, Sch Human Evolut &amp; Social Change, POB 872402, Tempe, AZ 85287 USA.</t>
  </si>
  <si>
    <t>m.anderies@asu.edu; hans.kaper@georgetown.edu; emily.shuckburgh@bas.ac.uk; a.zagaris@utwente.nl</t>
  </si>
  <si>
    <t>Zagaris, Antonios/0000-0001-6646-0390; Shuckburgh, Emily/0000-0001-9206-3444</t>
  </si>
  <si>
    <t>NERC [bas0100033, bas0100028] Funding Source: UKRI; Natural Environment Research Council [bas0100033, bas0100028] Funding Source: researchfish</t>
  </si>
  <si>
    <t>1054-1500</t>
  </si>
  <si>
    <t>1089-7682</t>
  </si>
  <si>
    <t>Chaos</t>
  </si>
  <si>
    <t>10.1063/1.4915260</t>
  </si>
  <si>
    <t>Mathematics, Applied; Physics, Mathematical</t>
  </si>
  <si>
    <t>Mathematics; Physics</t>
  </si>
  <si>
    <t>CF1OB</t>
  </si>
  <si>
    <t>WOS:000352314600017</t>
  </si>
  <si>
    <t>Ancapichún, S; Garcés-Vargas, J</t>
  </si>
  <si>
    <t>Ancapichun, Santiago; Garces-Vargas, Jose</t>
  </si>
  <si>
    <t>Variability of the Southeast Pacific Subtropical Anticyclone and its impact on sea surface temperature off north-central Chile</t>
  </si>
  <si>
    <t>CIENCIAS MARINAS</t>
  </si>
  <si>
    <t>Southeast Pacific Subtropical Anticyclone; coastal jet; ENSO-like variability; Antarctic oscillation; upwelling</t>
  </si>
  <si>
    <t>ENSO; CIRCULATION; TRENDS; COAST; LINKS</t>
  </si>
  <si>
    <t>The Southeast Pacific Subtropical Anticyclone (SPSA) extends over the entire South Pacific Basin and it is the dominant forcing of the Humboldt Current System. The SPSA has seasonal, interannual, and decadal (interdecadal) variability. The latter variability has been associated with the Pacific Decadal Oscillation (PDO), recognized as a Pan-Pacific mode. However, most of the ocean atmosphere studies on interdecadal scales have been conducted in the Northern Hemisphere, and very few in the Southern Hemisphere. Thus, through reanalysis model outputs and satellite data, this research mainly establishes the relationship between SPSA and PDO in the period 1949-2012 and its impact on sea surface temperature along the north-central coast of Chile between 2000 and 2012. For this purpose we first analyzed the seasonal and interannual variability of the SPSA. An analysis of correlation between air pressure at sea level and the PDO and Southern Annular Mode (SAM) indices established that, at the interdecadal scale, these oscillations explained 49% and 40% of the variance, respectively; however, SAM had a time lag of six years to explain this variance. The PDO, in the air pressure field, produced similar changes to El Nino Southern Oscillation. Over the past 13 years, the SPSA has intensified and shifted toward the southwest, increasing the offshore Elcman transport and Ekman suction, which would explain much of the observed coastal cooling south of 33 S (central Chile).</t>
  </si>
  <si>
    <t>[Ancapichun, Santiago; Garces-Vargas, Jose] Univ Austral Chile, Fac Ciencias, Inst Ciencias Marinas Limnol, Valdivia 5090000, Chile</t>
  </si>
  <si>
    <t>Garcés-Vargas, J (corresponding author), Univ Austral Chile, Fac Ciencias, Inst Ciencias Marinas Limnol, Valdivia 5090000, Chile.</t>
  </si>
  <si>
    <t>jgarces@docentes.uach.cl</t>
  </si>
  <si>
    <t>Garces-Vargas, Jose JGV/F-8219-2013</t>
  </si>
  <si>
    <t>Garces-Vargas, Jose/0000-0002-6542-9348; ancapichun, santiago/0000-0001-7054-9531</t>
  </si>
  <si>
    <t>Direccion de Investigacion y Desarrollo de la Universidad Austral de Chile</t>
  </si>
  <si>
    <t>This study was financed by the Direccion de Investigacion y Desarrollo de la Universidad Austral de Chile. We thank the anonymous reviewer for the constructive criticisms that helped to considerably improve the paper.</t>
  </si>
  <si>
    <t>INST INVESTIGACIONES OCEANOLOGICAS, U A B C</t>
  </si>
  <si>
    <t>BAJA CALIFORNIA</t>
  </si>
  <si>
    <t>APARTADO POSTAL 423, ENSENADA, BAJA CALIFORNIA 22800, MEXICO</t>
  </si>
  <si>
    <t>0185-3880</t>
  </si>
  <si>
    <t>CIENC MAR</t>
  </si>
  <si>
    <t>Cienc. Mar.</t>
  </si>
  <si>
    <t>10.7773/cm.v41i1.2338</t>
  </si>
  <si>
    <t>CI2PC</t>
  </si>
  <si>
    <t>WOS:000354588500001</t>
  </si>
  <si>
    <t>Mestre, NC; Cottin, D; Bettencourt, R; Colaço, A; Correia, SPC; Shillito, B; Thatje, S; Ravaux, J</t>
  </si>
  <si>
    <t>Mestre, Nelia C.; Cottin, Delphine; Bettencourt, Raul; Colaco, Ana; Correia, Sergio P. C.; Shillito, Bruce; Thatje, Sven; Ravaux, Juliette</t>
  </si>
  <si>
    <t>Is the deep-sea crab Chaceon affinis able to induce a thermal stress response?</t>
  </si>
  <si>
    <t>Crustacea; CTmax; Heat-shock response; High pressure; hsp70; Stenothermy</t>
  </si>
  <si>
    <t>SHRIMP PALAEMONETES-VARIANS; HEAT-SHOCK RESPONSE; MID-ATLANTIC RIDGE; RIMICARIS-EXOCULATA; ANTARCTIC FISH; CLIMATE-CHANGE; THERMOREGULATORY BEHAVIOR; TEMPERATURE RESISTANCE; BYTHOGRAEA-THERMYDRON; TREMATOMUS-BERNACCHII</t>
  </si>
  <si>
    <t>Fluctuations in the stress level of an organism are expressed in behavioural and molecular changes that can affect its ecology and survival. Our knowledge of thermal adaptations in deep-sea organisms is very limited, and this study investigates the critical thermal maximum (CTmax) and the heat-shock response (HSR) in the deep-sea crab Chaceon affinis commonly found in waters of the North East Atlantic. A mild but significant HSR in C. affinis was noted and one of the lowest CTmax known amongst Crustacea was revealed (27.5 degrees C at 0.1 MPa; 28.5 degrees C at 10 MPa). The thermal sensitivity of this species appears to be reduced at in situ pressure (10 MPa), given the slightly higher CTmax and the significant 3-fold induction of stress genes hsp70 form 1 and hsp70 form 2. Although C. affinis deep-sea habitat is characterized by overall low temperature this species appears to have retained its ability to induce a HSR. This capability may be linked with C affinis' occasional exploitation of warmer and thermally instable hydrothermal vent fields, where it has been found foraging for food. (C) 2014 Elsevier Inc. All rights reserved.</t>
  </si>
  <si>
    <t>[Mestre, Nelia C.; Shillito, Bruce; Ravaux, Juliette] Univ Paris 06, Equipe Adaptat Milieux Extremes, UMR SAE 7138, F-75252 Paris 5, France; [Cottin, Delphine; Thatje, Sven] Univ Southampton, Southampton SO14 3ZH, Hants, England; [Bettencourt, Raul; Colaco, Ana] Univ Azores, Ctr IMAR, Dept Oceanog &amp; Fisheries, UAz LARSyS Assoc Lab, P-9901862 Horta, Portugal; [Bettencourt, Raul; Colaco, Ana] Univ Azores, MARE Marine &amp; Environm Sci Ctr, P-9901862 Horta, Azores, Portugal</t>
  </si>
  <si>
    <t>Sorbonne Universite; University of Southampton; Universidade dos Acores; Universidade dos Acores</t>
  </si>
  <si>
    <t>Mestre, NC (corresponding author), Univ Algarve, Ctr Marine &amp; Environm Res CIMA, Campus Univ Gambelas, P-8005139 Faro, Portugal.</t>
  </si>
  <si>
    <t>neliamestre@gmail.com</t>
  </si>
  <si>
    <t>Bettencourt, Raul/A-4511-2009; Colaço, Ana/A-3862-2009; Colaço, Ana/H-4572-2019; Bettencourt, Raul/B-4755-2017; Mestre, Nelia/C-1943-2009</t>
  </si>
  <si>
    <t>Bettencourt, Raul/0000-0001-6866-7029; Colaço, Ana/0000-0002-6462-5670; Colaço, Ana/0000-0002-6462-5670; Mestre, Nelia/0000-0001-6871-9984</t>
  </si>
  <si>
    <t>TOTAL Foundation [Abyss2100]; FRC, Azores, Portugal [M3.1.7/F/029/2011]; Portuguese Foundation for Science and Technology (FCT) [POCI2001]; PEst project [Pest/OE/EEI/LA0009/2011-2014]; DRCTC-Regional Government of the Azores [M1.1.1/I/002/2011, M.1.1.a/I/002/2012]</t>
  </si>
  <si>
    <t>TOTAL Foundation(Total SA); FRC, Azores, Portugal; Portuguese Foundation for Science and Technology (FCT)(Fundacao para a Ciencia e a Tecnologia (FCT)); PEst project; DRCTC-Regional Government of the Azores</t>
  </si>
  <si>
    <t>We would like to thank the support from Dr Ricardo Serrao Santos, director of the IMAR centre of the Department of Oceanography and Fisheries, University of the Azores, for the use of IPOCAMP and LabHorta. We thank the Captain Griff Alker and crew of the fishing vessel Douglas Thomas for valuable assistance during the collection of C. affinis specimens. We also thank Monica Inacio and Valentina Costa for support in the Azores; Nelly Leger for participating in the molecular work; Philippe Lopez and Samuel Bornens for support at the University Pierre et Marie Curie. This research was funded by a grant (Abyss2100) from the TOTAL Foundation to Sven Thatje. NM was also supported by a grant from the FRC, Azores, Portugal (M3.1.7/F/029/2011). IMAR-DOP/UAc is Research and Development Unit #531 and LARSyS-Associated Laboratory # 9 funded by the Portuguese Foundation for Science and Technology (FCT) through pluri-annual and programmatic funding programmes (OE, FEDER, POCI2001, FSE) and through PEst project (Pest/OE/EEI/LA0009/2011-2014), and by DRCTC-Regional Government of the Azores through a pluri-annual funding scheme (M1.1.1/I/002/2011 and M.1.1.a/I/002/2012). The authors declare that they have no conflict of interests.</t>
  </si>
  <si>
    <t>360 PARK AVE SOUTH, NEW YORK, NY 10010-1710 USA</t>
  </si>
  <si>
    <t>10.1016/j.cbpa.2014.11.015</t>
  </si>
  <si>
    <t>WOS:000350081400007</t>
  </si>
  <si>
    <t>Vacquié-Garcia, J; Guinet, C; Laurent, C; Bailleul, F</t>
  </si>
  <si>
    <t>Vacquie-Garcia, Jade; Guinet, Christophe; Laurent, Cecile; Bailleul, Frederic</t>
  </si>
  <si>
    <t>Delineation of the southern elephant seal's main foraging environments defined by temperature and light conditions</t>
  </si>
  <si>
    <t>Predator-prey interaction; Habitats; Prey capture attempts; Myctophidae; Elephants seals</t>
  </si>
  <si>
    <t>MIROUNGA-LEONINA; SPATIAL-DISTRIBUTION; FRONTAL STRUCTURE; OCEAN; FISH; DIET; SUCCESS; PREY; ZOOPLANKTON; TILETAMINE</t>
  </si>
  <si>
    <t>Changes in marine environments, induced by the global warming, are likely to influence the prey field distribution and consequently the foraging behaviour and the distribution of top marine predators. Thanks to bio-logging, the simultaneous measurements of fine-scale foraging behaviors and oceanographic parameters by predators allow characterizing their foraging environments and provide insights into their prey distribution. In this context, we propose to delimit and to characterize the foraging environments of a marine predator, the Southern Elephant Seal (SES). To do so, the relationship between oceanographic factors and prey encounter events (PEE) was investigated in 12 females SES from Kerguelen Island simultaneously equipped with accelerometers and with a range of physical sensors (temperature, light and depth). PEEs were assessed from the accelerometer data at high spatio-temporal precision while the physical sensors allowed the continuous monitoring of environmental conditions encountered by the SES when diving. First, visited and foraging environments were distinguished according to the oceanographic conditions encountered in the absence and in presence of PEE. Then, a hierarchical classification of the physical parameters recorded during PEEs led to the distinction of five different foraging environments. These foraging environments were structured according to the main frontal systems of the SO. One was located north to the subantarctic front (SAF) and characterized by high temperature and depth, and low light levels. Another, characterized by intermediate levels of temperature, light and depth, was located between the SAF and the polar front (PF). And finally, the last three environments were all found south to the PF and, characterized by low temperature but highly variable depth and light levels. The large physical and/or spatial differences found between these environments suggest that, depending on the location, different prey communities are targeted by SES over a broad range of water temperature, light level and depth conditions. This result highlights the versatility of this marine predator. In addition, in most cases, PEEs were found deeper during the day than during the night, which is indicative of mesopelagic prey performing nycthemeral migration, a behaviour consistent with myctophids species thought to represent the bulk of Kerguelen SES female diets. (C) 2014 The Authors. Published by Elsevier Ltd.</t>
  </si>
  <si>
    <t>[Vacquie-Garcia, Jade; Guinet, Christophe; Laurent, Cecile; Bailleul, Frederic] Ctr Etud Biol Chize, CNRS UPR 1934, Villiers En Bois, France</t>
  </si>
  <si>
    <t>Centre National de la Recherche Scientifique (CNRS)</t>
  </si>
  <si>
    <t>Vacquié-Garcia, J (corresponding author), CEBC CNRS, F-79360 Villiers En Bois, France.</t>
  </si>
  <si>
    <t>jadevacquiegarcia@gmail.com</t>
  </si>
  <si>
    <t>Bailleul, Frederic/0000-0002-4186-4708; VACQUIE GARCIA, Jade/0000-0002-3126-3423</t>
  </si>
  <si>
    <t>ANR Topp-Patches; ANR Mycto- 3D-Map; CNES-TOSCA; Total Foundation; IPEV (Institut Polaire Francais)</t>
  </si>
  <si>
    <t>ANR Topp-Patches(Agence Nationale de la Recherche (ANR)); ANR Mycto- 3D-Map(Agence Nationale de la Recherche (ANR)); CNES-TOSCA; Total Foundation(Total SA); IPEV (Institut Polaire Francais)</t>
  </si>
  <si>
    <t>The authors would like to thank all the colleagues and volunteers involved in the field work on southern elephant seals at Kerguelen Island, with the special acknowledgment of the invaluable field contribution of N. El Ksaby, G. Bessigneul and A. Chaigne. This work was supported by the ANR Topp-Patches, ANR Mycto- 3D-Map, the CNES-TOSCA and the Total Foundation. We are indebted to IPEV (Institut Polaire Francais), for financial and logistical support of Antarctic research program 109 (Seabirds and Marine Mammal Ecology lead by H. Weimerskirch). Special thanks also go to Pascal Monestiez (INRA Avignon), Kevin Le Rest and David Pinaud (CEBC CNRS) for their helpful advice at the different stages of the manuscript. Finally authors also thank Tiphaine Jeanniard Du Dot, Samantha Patrick and Malcolm O'Toole for their help with English editing.</t>
  </si>
  <si>
    <t>10.1016/j.dsr2.2014.10.029</t>
  </si>
  <si>
    <t>WOS:000351978700012</t>
  </si>
  <si>
    <t>Bradley, SL; Hindmarsh, RCA; Whitehouse, PL; Bentley, MJ; King, MA</t>
  </si>
  <si>
    <t>Bradley, Sarah L.; Hindmarsh, Richard C. A.; Whitehouse, Pippa L.; Bentley, Michael J.; King, Matt A.</t>
  </si>
  <si>
    <t>Low post-glacial rebound rates in the Weddell Sea due to Late Holocene ice-sheet readvance</t>
  </si>
  <si>
    <t>grounding line stability; Antarctic Ice sheet; glacial isostatic adjustment; uplift rate; Weddell Sea; deglaciation</t>
  </si>
  <si>
    <t>GLACIAL ISOSTATIC-ADJUSTMENT; WEST ANTARCTICA; LEVEL CHANGE; MARINE ICE; MANTLE VISCOSITY; GROUNDING-LINE; ROTATING EARTH; AGE EARTH; MODEL; SURFACE</t>
  </si>
  <si>
    <t>Many ice-sheet reconstructions assume monotonic Holocene retreat for the West Antarctic Ice Sheet, but an increasing number of glaciological observations infer that some portions of the ice sheet may be readvancing, following retreat behind the present-day margin. A readvance in the Weddell Sea region can reconcile two outstanding problems: (i) the present-day widespread occurrence of seemingly stable ice streams grounded on beds that deepen inland; and (ii) the inability of models of glacial isostatic adjustment to match present-day uplift rates. By combining a suite of ice loading histories that include a readvance with a model of glacial isostatic adjustment we report substantial improvements to predictions of present-day uplift rates, including reconciling one problematic observation of land sinking. We suggest retreat behind present grounding lines occurred when the bed was lower, and isostatic recovery has since led to shallowing, ice sheet re-grounding and readvance. The paradoxical existence of grounding lines in apparently unstable configurations on reverse bed slopes may be resolved by invoking the process of unstable advance, in accordance with our load modelling. (C) 2014 The Authors. Published by Elsevier B.V.</t>
  </si>
  <si>
    <t>[Bradley, Sarah L.; Hindmarsh, Richard C. A.] British Antarctic Survey, Cambridge CB3 0ET, England; [Bradley, Sarah L.] Univ Utrecht, Inst Marine &amp; Atmospher Res, Utrecht, Netherlands; [Whitehouse, Pippa L.; Bentley, Michael J.] Univ Durham, Dept Geog, Durham, England; [King, Matt A.] Univ Tasmania, Sch Land &amp; Food, Hobart, Tas, Australia</t>
  </si>
  <si>
    <t>UK Research &amp; Innovation (UKRI); Natural Environment Research Council (NERC); NERC British Antarctic Survey; Utrecht University; Durham University; University of Tasmania</t>
  </si>
  <si>
    <t>Bradley, SL (corresponding author), Univ Utrecht, Inst Marine &amp; Atmospher Res, Utrecht, Netherlands.</t>
  </si>
  <si>
    <t>d80ngv@gmail.com</t>
  </si>
  <si>
    <t>King, Matt/B-4622-2008; Bentley, Michael J/F-7386-2011; Hindmarsh, Richard/N-1195-2019</t>
  </si>
  <si>
    <t>King, Matt/0000-0001-5611-9498; Bentley, Michael J/0000-0002-2048-0019; Hindmarsh, Richard/0000-0003-1633-2416; Whitehouse, Pippa/0000-0002-9092-3444</t>
  </si>
  <si>
    <t>European Union's Seventh Framework Programme (FP7) [243908]; UK NERC awards [NE/F014260/1, NE/F01466X/1, NE/J088176/1, NE/J008087/1]; Australian Research Council Future Fellowship [FT110100207]; NERC Independent Research Fellowship [NE/K009958/1]; NERC [NE/J008176/1, bas0100027, NE/K003674/1, NE/F015526/1, NE/J005673/1, NE/J008095/1, NE/F01550X/1, NE/K009958/1, NE/F014260/1, NE/J008087/1, NE/F01466X/1, NE/F01452X/1] Funding Source: UKRI; Natural Environment Research Council [NE/J008095/1, NE/J005673/1, NE/F01466X/1, bas0100027, NE/J008176/1, NE/F014260/1, NE/F01452X/1, NE/J008087/1, NE/F01550X/1, NER/G/S/2003/00141, NE/K003674/1, NE/K009958/1, NE/F015526/1] Funding Source: researchfish</t>
  </si>
  <si>
    <t>European Union's Seventh Framework Programme (FP7)(European Union (EU)); UK NERC awards; Australian Research Council Future Fellowship(Australian Research Council); NERC Independent Research Fellowship(UK Research &amp; Innovation (UKRI)Natural Environment Research Council (NERC)); NERC(UK Research &amp; Innovation (UKRI)Natural Environment Research Council (NERC)); Natural Environment Research Council(UK Research &amp; Innovation (UKRI)Natural Environment Research Council (NERC))</t>
  </si>
  <si>
    <t>This is a Past4future contribution no. 60. The research leading to these results has received funding from the European Union's Seventh Framework Programme (FP7/2007-2013) under grant agreement no. 243908, PAST4FUTURE. Climate change learning from the past climate, and from the UK NERC awards: NE/F014260/1, NE/F01466X/1, NE/J088176/1 and NE/J008087/1. M.A.K. is a recipient of an Australian Research Council Future Fellowship (project number FT110100207). P.L.W. is a recipient of a NERC Independent Research Fellowship (grant ref.: NE/K009958/1). S.B., R.H. and P.L.W. designed the modelling study and S.B. carried out the modelling. All authors contributed to the writing of the paper. We thank E. Ivins for providing the IJ05_R2 predicted present-day uplift rates.</t>
  </si>
  <si>
    <t>10.1016/j.epsl.2014.12.039</t>
  </si>
  <si>
    <t>Green Published, Green Accepted, hybrid</t>
  </si>
  <si>
    <t>WOS:000349875300008</t>
  </si>
  <si>
    <t>Furlani, S; Ninfo, A</t>
  </si>
  <si>
    <t>Furlani, Stefano; Ninfo, Andrea</t>
  </si>
  <si>
    <t>Is the present the key to the future?</t>
  </si>
  <si>
    <t>Theoretical geomorphology; Epistemology; Climate change; Forecasting; Predictions; Uncertainty</t>
  </si>
  <si>
    <t>CLIMATE-CHANGE; PHYSICAL-GEOGRAPHY; WEST ANTARCTICA; ICE CORE; GEOMORPHOLOGY; SCIENCE; UNIFORMITARIANISM; LIMITATIONS; GEOLOGY; ROOTS</t>
  </si>
  <si>
    <t>The empirical and conceptual relationships between Earth surface processes and global changes are very complex. The concept that the present is the key of the future implies that we know enough the present to be able to extend our knowledge forward to focus on the future. Field and remote observations on the present-day Earth surface processes represent the methodological instruments for the forecasting. At the end of the 1980s, the scientific community predicted a significant increase of global warming followed by changes in the trends of related surface processes. Some processes, such as the Arctic and Antarctic snow melting are now accelerating and even irreversible; thus these trends show that we are now in an 'out of scale' discontinuity moment. Present-day measures and observations could be scarcely significant and may add uncertainty in the prediction of future trends. The 'out-of-scale' trend raises a fundamental question regarding the present, since it may provide a new angle of thought for contemporary theoretical approaches. The need for reducing the uncertainty in the trends of future processes requires a deep rethinking of the current paradigms in order to consider also the 'out of scale' trends. (C) 2014 Elsevier B.V. All rights reserved.</t>
  </si>
  <si>
    <t>[Furlani, Stefano] Univ Trieste, Dept Math &amp; Geosci, I-34127 Trieste, Italy; [Ninfo, Andrea] Univ Padua, Dept Geosci, I-35100 Padua, Italy</t>
  </si>
  <si>
    <t>University of Trieste; University of Padua</t>
  </si>
  <si>
    <t>Furlani, S (corresponding author), Univ Trieste, Dept Math &amp; Geosci, I-34127 Trieste, Italy.</t>
  </si>
  <si>
    <t>sfurlani@units.it</t>
  </si>
  <si>
    <t>; Furlani, Stefano/N-7058-2017</t>
  </si>
  <si>
    <t>Ninfo, Andrea/0000-0001-7405-4114; Furlani, Stefano/0000-0001-8677-9526</t>
  </si>
  <si>
    <t>10.1016/j.earscirev.2014.12.005</t>
  </si>
  <si>
    <t>CE2MI</t>
  </si>
  <si>
    <t>WOS:000351649300003</t>
  </si>
  <si>
    <t>McMahon, KW; Polito, MJ; Abel, S; McCarthy, MD; Thorrold, SR</t>
  </si>
  <si>
    <t>McMahon, Kelton W.; Polito, Michael J.; Abel, Stephanie; McCarthy, Matthew D.; Thorrold, Simon R.</t>
  </si>
  <si>
    <t>Carbon and nitrogen isotope fractionation of amino acids in an avian marine predator, the gentoo penguin (Pygoscelis papua)</t>
  </si>
  <si>
    <t>ECOLOGY AND EVOLUTION</t>
  </si>
  <si>
    <t>Amino acid; avian; compound-specific stable isotope analysis; diet; fractionation; penguin; trophic position</t>
  </si>
  <si>
    <t>FOOD-CHAIN LENGTH; STABLE-ISOTOPES; TROPHIC POSITION; FISH MUSCLE; DIET; BIOSYNTHESIS; ECOGEOCHEMISTRY; SPECIALIZATION; TURNOVER; BEHAVIOR</t>
  </si>
  <si>
    <t>Compound-specific stable isotope analysis (CSIA) of amino acids (AA) has rapidly become a powerful tool in studies of food web architecture, resource use, and biogeochemical cycling. However, applications to avian ecology have been limited because no controlled studies have examined the patterns in AA isotope fractionation in birds. We conducted a controlled CSIA feeding experiment on an avian species, the gentoo penguin (Pygoscelis papua), to examine patterns in individual AA carbon and nitrogen stable isotope fractionation between diet (D) and consumer (C) (C-13(C-D) and N-15(C-D), respectively). We found that essential AA C-13 values and source AA N-15 values in feathers showed minimal trophic fractionation between diet and consumer, providing independent but complimentary archival proxies for primary producers and nitrogen sources respectively, at the base of food webs supporting penguins. Variations in nonessential AA C-13(C-D) values reflected differences in macromolecule sources used for biosynthesis (e.g., protein vs. lipids) and provided a metric to assess resource utilization. The avian-specific nitrogen trophic discrimination factor (TDFGlu-Phe = 3.5 +/- 0.4 parts per thousand) that we calculated from the difference in trophic fractionation (N-15(C-D)) of glutamic acid and phenylalanine was significantly lower than the conventional literature value of 7.6 parts per thousand. Trophic positions of five species of wild penguins calculated using a multi-TDFGlu-Phe equation with the avian-specific TDFGlu-Phe value from our experiment provided estimates that were more ecologically realistic than estimates using a single TDFGlu-Phe of 7.6 parts per thousand from the previous literature. Our results provide a quantitative, mechanistic framework for the use of CSIA in nonlethal, archival feathers to study the movement and foraging ecology of avian consumers.</t>
  </si>
  <si>
    <t>[McMahon, Kelton W.; McCarthy, Matthew D.] Univ Calif Santa Cruz, Ocean Sci Dept, Santa Cruz, CA 95064 USA; [McMahon, Kelton W.; Thorrold, Simon R.] Woods Hole Oceanog Inst, Dept Biol, Woods Hole, MA 02543 USA; [Polito, Michael J.] Louisiana State Univ, Dept Oceanog &amp; Coastal Sci, Baton Rouge, LA 70803 USA; [Abel, Stephanie] Omahas Henry Doorly Zoo &amp; Aquarium, Omaha, NE 68107 USA</t>
  </si>
  <si>
    <t>University of California System; University of California Santa Cruz; Woods Hole Oceanographic Institution; Louisiana State University System; Louisiana State University</t>
  </si>
  <si>
    <t>McMahon, KW (corresponding author), Univ Calif Santa Cruz, Ocean Sci Dept, Santa Cruz, CA 95064 USA.</t>
  </si>
  <si>
    <t>kemcmaho@ucsc.edu</t>
  </si>
  <si>
    <t>Thorrold, Simon R/B-7565-2012; Polito, Michael/G-9118-2012</t>
  </si>
  <si>
    <t>Polito, Michael/0000-0001-8639-4431; McMahon, Kelton/0000-0002-9648-4614</t>
  </si>
  <si>
    <t>National Science Foundation Office of Polar Programs [ANT-0125098, ANT-0739575]; Antarctic Science Bursaries</t>
  </si>
  <si>
    <t>National Science Foundation Office of Polar Programs(National Science Foundation (NSF)NSF - Directorate for Geosciences (GEO)); Antarctic Science Bursaries</t>
  </si>
  <si>
    <t>This research was funded by National Science Foundation Office of Polar Programs [grants ANT-0125098, ANT-0739575] and the 2013 Antarctic Science Bursaries.</t>
  </si>
  <si>
    <t>2045-7758</t>
  </si>
  <si>
    <t>ECOL EVOL</t>
  </si>
  <si>
    <t>Ecol. Evol.</t>
  </si>
  <si>
    <t>10.1002/ece3.1437</t>
  </si>
  <si>
    <t>Ecology; Evolutionary Biology</t>
  </si>
  <si>
    <t>Environmental Sciences &amp; Ecology; Evolutionary Biology</t>
  </si>
  <si>
    <t>CD9YT</t>
  </si>
  <si>
    <t>WOS:000351458500014</t>
  </si>
  <si>
    <t>Kohler, TJ; Stanish, LF; Crisp, SW; Koch, JC; Liptzin, D; Baeseman, JL; McKnight, DM</t>
  </si>
  <si>
    <t>Kohler, Tyler J.; Stanish, Lee F.; Crisp, Steven W.; Koch, Joshua C.; Liptzin, Daniel; Baeseman, Jenny L.; McKnight, Diane M.</t>
  </si>
  <si>
    <t>Life in the Main Channel: Long-Term Hydrologic Control of Microbial Mat Abundance in McMurdo Dry Valley Streams, Antarctica</t>
  </si>
  <si>
    <t>ECOSYSTEMS</t>
  </si>
  <si>
    <t>algae; cyanobacteria; climate change; resilience; ecology; polar region</t>
  </si>
  <si>
    <t>WATER VELOCITY; TAYLOR VALLEY; PERIPHYTON; COMMUNITIES; ECOSYSTEMS; BIODIVERSITY; DYNAMICS; ECOLOGY; DIDYMOSPHENIA; HETEROGENEITY</t>
  </si>
  <si>
    <t>Given alterations in global hydrologic regime, we examine the role of hydrology in regulating stream microbial mat abundance in the McMurdo Dry Valleys, Antarctica. Here, perennial mats persist as a desiccated crust until revived by summer streamflow, which varies inter-annually, and has increased since the 1990s. We predicted high flows to scour mats, and intra-seasonal drying to slow growth. Responses were hypothesized to differ based on mat location within streams, along with geomorphology, which may promote (high coverage) or discourage (low coverage) accrual. We compared hydrologic trends with the biomass of green and orange mats, which grow in the channel, and black mats growing at stream margins for 16 diverse stream transects over two decades. We found mat biomass collectively decreased during first decade coinciding with low flows, and increased following elevated discharges. Green mat biomass showed the greatest correlations with hydrology and was stimulated by discharge in high coverage transects, but negatively correlated in low coverage due to habitat scour. In contrast, orange mat biomass was negatively related to flow in high coverage transects, but positively correlated in low coverage because of side-channel expansion. Black mats were weakly correlated with all hydrologic variables regardless of coverage. Lastly, model selection indicated the best combination of predictive hydrologic variables for biomass differed between mat types, but also high and low coverage transects. These results demonstrate the importance of geomorphology and species composition to modeling primary production, and will be useful in predicting ecological responses of benthic habitats to altered hydrologic regimes.</t>
  </si>
  <si>
    <t>[Kohler, Tyler J.; Stanish, Lee F.; Crisp, Steven W.; Koch, Joshua C.; Liptzin, Daniel; Baeseman, Jenny L.; McKnight, Diane M.] Univ Colorado, Inst Arctic &amp; Alpine Res, Boulder, CO 80303 USA; [Stanish, Lee F.] Univ Colorado, Mol Cellular &amp; Dev Biol, Boulder, CO 80309 USA; [Koch, Joshua C.] US Geol Survey, Alaska Sci Ctr, Anchorage, AK 99508 USA; [Baeseman, Jenny L.] Norwegian Polar Res Inst, Fram Ctr, Climate &amp; Cryosphere, N-9296 Tromso, Norway; [Baeseman, Jenny L.] Univ Alaska, Int Arctic Res Ctr, Fairbanks, AK 99775 USA</t>
  </si>
  <si>
    <t>University of Colorado System; University of Colorado Boulder; University of Colorado System; University of Colorado Boulder; United States Department of the Interior; United States Geological Survey; Norwegian Polar Institute; University of Alaska System; University of Alaska Fairbanks</t>
  </si>
  <si>
    <t>Kohler, TJ (corresponding author), Univ Colorado, Inst Arctic &amp; Alpine Res, 1560 30th St, Boulder, CO 80303 USA.</t>
  </si>
  <si>
    <t>Kohler, Tyler Joe/IUO-5352-2023; Kohler, Tyler J/I-5472-2016</t>
  </si>
  <si>
    <t>Kohler, Tyler Joe/0000-0001-5137-4844; LIPTZIN, DANIEL/0000-0002-8243-267X; Koch, Joshua/0000-0001-7180-6982</t>
  </si>
  <si>
    <t>MCMLTER [OPP-921 1773, OPP-9810219, OPP-0096250, OPP-1115245]; National Science Foundation Antarctic Organisms and Ecosystems Program Award [0839020]; Office of Polar Programs (OPP); Directorate For Geosciences [1115245] Funding Source: National Science Foundation</t>
  </si>
  <si>
    <t>MCMLTER; National Science Foundation Antarctic Organisms and Ecosystems Program Award(National Science Foundation (NSF)NSF - Directorate for Geosciences (GEO)); Office of Polar Programs (OPP); Directorate For Geosciences(National Science Foundation (NSF)NSF - Directorate for Geosciences (GEO))</t>
  </si>
  <si>
    <t>Funding was provided by the MCMLTER (OPP-921 1773, OPP-9810219, OPP-0096250, OPP-1115245) and National Science Foundation Antarctic Organisms and Ecosystems Program Award #0839020. PHI Helicopters provided essential logistic support during field campaigns. We additionally thank Chris Jaros, Kathy Welch, Hilary Dugan, Eric Parrish, the Teachers Experiencing Antarctica Program, the McKnight lab group, Crary Laboratory personnel, and Asgard Rangers past and present for data collection, project assistance, and helpful suggestions. Comments from the editors and two anonymous reviewers substantially improved the manuscript.</t>
  </si>
  <si>
    <t>1432-9840</t>
  </si>
  <si>
    <t>1435-0629</t>
  </si>
  <si>
    <t>Ecosystems</t>
  </si>
  <si>
    <t>10.1007/s10021-014-9829-6</t>
  </si>
  <si>
    <t>CD2CC</t>
  </si>
  <si>
    <t>WOS:000350880400010</t>
  </si>
  <si>
    <t>Fondi, M; Maida, I; Perrin, E; Mellera, A; Mocali, S; Parrilli, E; Tutino, ML; Liò, P; Fani, R</t>
  </si>
  <si>
    <t>Fondi, Marco; Maida, Isabel; Perrin, Elena; Mellera, Alessandra; Mocali, Stefano; Parrilli, Ermenegilda; Tutino, Maria Luisa; Lio, Pietro; Fani, Renato</t>
  </si>
  <si>
    <t>Genome-scale metabolic reconstruction and constraint-based modelling of the Antarctic bacterium Pseudoalteromonas haloplanktis TAC125.</t>
  </si>
  <si>
    <t>COLD SHOCK RESPONSE; ESCHERICHIA-COLI; LOW-TEMPERATURE; MARINE BACTERIUM; PROTEOMIC ANALYSIS; CELL-GROWTH; ADAPTATION; EXPRESSION; NETWORK; DATABASE</t>
  </si>
  <si>
    <t>The Antarctic strain Pseudoalteromonas haloplanktisTAC125 is one of the model organisms of cold-adapted bacteria and is currently exploited as a new alternative expression host for numerous biotechnological applications. Here, we investigated several metabolic features of this strain through in silico modelling and functional integration of -omics data. A genome-scale metabolic model of P.haloplanktisTAC125 was reconstructed, encompassing information on 721 genes, 1133 metabolites and 1322 reactions. The predictive potential of this model was validated against a set of experimentally determined growth rates and a large dataset of growth phenotypic data. Furthermore, evidence synthesis from proteomics, phenomics, physiology and metabolic modelling data revealed possible drawbacks of cold-dependent changes in gene expression on the overall metabolic network of P.haloplanktisTAC125. These included, for example, variations in its central metabolism, amino acid degradation and fatty acid biosynthesis. The genome-scale metabolic model described here is the first one reconstructed so far for an Antarctic microbial strain. It allowed a system-level investigation of variations in cellular metabolic fluxes following a temperature downshift. It represents a valuable platform for further investigations on P.haloplanktisTAC125 cellular functional states and for the design of more focused strategies for its possible biotechnological exploitation.</t>
  </si>
  <si>
    <t>[Fondi, Marco; Maida, Isabel; Perrin, Elena; Mellera, Alessandra; Fani, Renato] Univ Florence, Dept Biol, Lab Microbial &amp; Mol Evolut, I-50019 Florence, Italy; [Fondi, Marco; Mellera, Alessandra; Fani, Renato] Univ Florence, ComBo, Florence Computat Biol Grp, I-50019 Florence, Italy; [Mocali, Stefano] Ctr Ric Agrobiol &amp; Pedol CRA ABP, Consiglio Ric Sperimentaz Agr, Florence, Italy; [Parrilli, Ermenegilda; Tutino, Maria Luisa] Univ Naples Federico II, Dept Chem Sci, Naples, Italy; [Lio, Pietro] Univ Cambridge, Comp Lab, Cambridge CB2 3QG, England</t>
  </si>
  <si>
    <t>University of Florence; University of Florence; Consiglio per la Ricerca in Agricoltura e L'analisi Dell'economia Agraria (CREA); University of Naples Federico II; University of Cambridge</t>
  </si>
  <si>
    <t>Fondi, M (corresponding author), Univ Florence, Dept Biol, Lab Microbial &amp; Mol Evolut, Via Madonna Piano 6, I-50019 Florence, Italy.</t>
  </si>
  <si>
    <t>marco.fondi@unifi.it</t>
  </si>
  <si>
    <t>parrilli, ermenegilda/K-4616-2016; TUTINO, MARIA LUISA/L-1834-2013; Perrin, Elena/AAX-2762-2020; Mocali, Stefano/ABE-2918-2020; parrilli, ermenegilda/JAZ-0586-2023; P. Lió, Pietro Lio/AAV-3358-2021</t>
  </si>
  <si>
    <t>parrilli, ermenegilda/0000-0002-9002-5409; Perrin, Elena/0000-0001-5148-3178; P. Lió, Pietro Lio/0000-0002-0540-5053; Mocali, Stefano/0000-0002-1173-7206; Fondi, Marco/0000-0001-9291-5467; Tutino, Maria Luisa/0000-0002-4978-6839</t>
  </si>
  <si>
    <t>FEMS advanced fellowship [FAF2012]; PNRA (Piano Nazionale per la Ricerca in Antartide) [PNRA 2013/B4.02, PNRA 2013/AZ1.04]</t>
  </si>
  <si>
    <t>FEMS advanced fellowship; PNRA (Piano Nazionale per la Ricerca in Antartide)</t>
  </si>
  <si>
    <t>During the realization of this work Marco Fondi was financially supported by a FEMS advanced fellowship (FAF2012). The work described in this publication was financially supported by two PNRA (Piano Nazionale per la Ricerca in Antartide) grants (PNRA 2013/B4.02 and PNRA 2013/AZ1.04).</t>
  </si>
  <si>
    <t>10.1111/1462-2920.12513</t>
  </si>
  <si>
    <t>CD9RK</t>
  </si>
  <si>
    <t>WOS:000351435600020</t>
  </si>
  <si>
    <t>Hahn, MW; Koll, U; Jezberova, J; Camacho, A</t>
  </si>
  <si>
    <t>Hahn, Martin W.; Koll, Ulrike; Jezberova, Jitka; Camacho, Antonio</t>
  </si>
  <si>
    <t>Global phylogeography of pelagic Polynucleobacter bacteria: Restricted geographic distribution of subgroups, isolation by distance and influence of climate</t>
  </si>
  <si>
    <t>FRESH-WATER HABITATS; BACTERIOPLANKTON COMMUNITY; LIVINGSTON ISLAND; BYERS PENINSULA; NECESSARIUS; ASYMBIOTICUS; POPULATION; DYNAMICS; GRADIENT; LAKES</t>
  </si>
  <si>
    <t>The free-living planktonic freshwater bacterium Polynucleobacter necessarius subspecies asymbioticus (&gt;99% 16S rRNA similarity) represents a taxon with a cosmopolitan distribution and apparently ubiquitous occurrence in lentic freshwater habitats. We tested for intra-taxon biogeographic patterns by combining cultivation-independent and cultivation methods. A culture collection of 204 strains isolated from globally distributed freshwater habitats (Arctic to Antarctica) was investigated for phylogeographic patterns based on sequences of two markers, the 16S-23S internal transcribed spacers and the glutamine synthetase gene (glnA). Genetic distance between isolates showed significant geographic distance-decay patterns for both markers, suggesting that an isolation-by-distance mechanism influences the global phylogeography. Furthermore, a couple of subgroups showed restricted geographic distributions. Strains of one subgroup were exclusively obtained from tropical sites on four continents (pantropical subgroup). Cultivation-independent methods were used to confirm the restricted geographic distributions of two subgroups. The pantropical taxon could be detected in 63% of investigated tropical habitats but not in any of 121 European freshwater samples. Physiological tests indicated that almost all strains of the pantropical subgroup failed to grow at temperatures of 4 degrees C, while strains affiliated with other subgroups showed good growth at this temperature. This suggests that thermal adaptation is involved in phylogeographic structuring of the global Polynucleobacter population.</t>
  </si>
  <si>
    <t>[Hahn, Martin W.; Koll, Ulrike; Jezberova, Jitka] Univ Innsbruck, Res Inst Limnol, A-5310 Mondsee, Austria; [Jezberova, Jitka] ASCR, Inst Hydrobiol, Ctr Biol, Vvi, Ceske Budejovice, Czech Republic; [Camacho, Antonio] Univ Valencia, Cavanilles Inst Biodivers &amp; Evolutionary Biol, E-46100 Burjassot, Spain</t>
  </si>
  <si>
    <t>University of Innsbruck; Czech Academy of Sciences; Biology Centre of the Czech Academy of Sciences; University of Valencia</t>
  </si>
  <si>
    <t>Hahn, MW (corresponding author), Univ Innsbruck, Res Inst Limnol, Mondseestr 9, A-5310 Mondsee, Austria.</t>
  </si>
  <si>
    <t>martin.hahn@uibk.ac.at</t>
  </si>
  <si>
    <t>Jezberova, Jitka/G-1024-2014; Hahn, Martin W./B-9998-2008; Camacho, Antonio/I-3417-2015</t>
  </si>
  <si>
    <t>Jezberova, Jitka/0000-0001-5000-9319; Hahn, Martin W./0000-0003-0501-2556; Camacho, Antonio/0000-0003-0841-2010</t>
  </si>
  <si>
    <t>Austrian Science Fund [I482-B09]; Grant Agency of the Czech Republic [EEF/10/E011]; Spanish Ministry of Education and Science [CGL2005-06549-C02-02/ANT]; Spanish Ministry of Economy and Competitiveness [CGL2012-38909]; European FEDER funds; Austrian Science Fund (FWF) [I 482] Funding Source: researchfish; Austrian Science Fund (FWF) [I482] Funding Source: Austrian Science Fund (FWF)</t>
  </si>
  <si>
    <t>Austrian Science Fund(Austrian Science Fund (FWF)); Grant Agency of the Czech Republic(Grant Agency of the Czech RepublicNorwegian Agency for Development Cooperation - NORAD); Spanish Ministry of Education and Science(Spanish Government); Spanish Ministry of Economy and Competitiveness(Spanish Government); European FEDER funds(European Union (EU)); Austrian Science Fund (FWF)(Austrian Science Fund (FWF)); Austrian Science Fund (FWF)(Austrian Science Fund (FWF))</t>
  </si>
  <si>
    <t>We are grateful to many colleagues for providing water samples, especially to Ondrej Komarek and Karel Simek, to Martha Kaddumukasa for organizing and participating in sampling of habitats in Uganda, to Maria Gadermaier for excellent technical assistance and to Anton Baer for English text corrections. This study was largely supported by the Austrian Science Fund (project I482-B09 granted to MWH), as well as by the Grant Agency of the Czech Republic (project EEF/10/E011 granted to J. Jezbera). Antarctic work and some other sampling and sample-processing were supported by grants CGL2005-06549-C02-02/ANT from the Spanish Ministry of Education and Science and CGL2012-38909 (ECOLAKE) from the Spanish Ministry of Economy and Competitiveness, both given to AC and co-financed by European FEDER funds. We are indebted to colleagues from LIMNOPOLAR project for their help in Antarctic sampling.</t>
  </si>
  <si>
    <t>10.1111/1462-2920.12532</t>
  </si>
  <si>
    <t>WOS:000351435600025</t>
  </si>
  <si>
    <t>Muangchinda, C; Chavanich, S; Viyakarn, V; Watanabe, K; Imura, S; Vangnai, AS; Pinyakong, O</t>
  </si>
  <si>
    <t>Muangchinda, C.; Chavanich, S.; Viyakarn, V.; Watanabe, K.; Imura, S.; Vangnai, A. S.; Pinyakong, O.</t>
  </si>
  <si>
    <t>Abundance and diversity of functional genes involved in the degradation of aromatic hydrocarbons in Antarctic soils and sediments around Syowa Station</t>
  </si>
  <si>
    <t>ENVIRONMENTAL SCIENCE AND POLLUTION RESEARCH</t>
  </si>
  <si>
    <t>Antarctica; Syowa; PAHs; PCR-DGGE; Real-time PCR; Dioxygenase; Diversity</t>
  </si>
  <si>
    <t>DEGRADING BACTERIA; DIOXYGENASE GENES; MICROBIAL COMMUNITIES; SP NOV.; BIODEGRADATION; BIOSTIMULATION; BIOREMEDIATION; IDENTIFICATION; EXPRESSION; PRISTINE</t>
  </si>
  <si>
    <t>Hydrocarbon catabolic genes were investigated in soils and sediments in nine different locations around Syowa Station, Antarctica, using conventional PCR, real-time PCR, cloning, and sequencing analysis. Polycyclic aromatic hydrocarbon ring-hydroxylating dioxygenase (PAH-RHD)-coding genes from both Gram-positive and Gram-negative bacteria were observed. Clone libraries of Gram-positive RHD genes were related to (i) nidA3 of Mycobacterium sp. py146, (ii) pdoA of Terrabacter sp. HH4, (iii) nidA of Diaphorobacter sp. KOTLB, and (iv) pdoA2 of Mycobacterium sp. CH-2, with 95-99 % similarity. Clone libraries of Gram-negative RHD genes were related to the following: (i) naphthalene dioxygenase of Burkholderia glathei, (ii) phnAc of Burkholderia sartisoli, and (iii) RHD alpha subunit of uncultured bacterium, with 41-46 % similarity. Interestingly, the diversity of the Gram-positive RHD genes found around this area was higher than those of the Gram-negative RHD genes. Real-time PCR showed different abundance of dioxygenase genes between locations. Moreover, the PCR-denaturing gradient gel electrophoresis (DGGE) profile demonstrated diverse bacterial populations, according to their location. Forty dominant fragments in the DGGE profiles were excised and sequenced. All of the sequences belonged to ten bacterial phyla: Proteobacteria, Actinobacteria, Verrucomicrobia, Bacteroidetes, Firmicutes, Chloroflexi, Gemmatimonadetes, Cyanobacteria, Chlorobium, and Acidobacteria. In addition, the bacterial genus Sphingomonas, which has been suggested to be one of the major PAH degraders in the environment, was observed in some locations. The results demonstrated that indigenous bacteria have the potential ability to degrade PAHs and provided information to support the conclusion that bioremediation processes can occur in the Antarctic soils and sediments studied here.</t>
  </si>
  <si>
    <t>[Muangchinda, C.; Pinyakong, O.] Chulalongkorn Univ, Fac Sci, Dept Microbiol, Bioremediat Res Unit, Bangkok 10330, Thailand; [Chavanich, S.; Viyakarn, V.] Chulalongkorn Univ, Fac Sci, Dept Marine Sci, Reef Biol Res Grp, Bangkok 10330, Thailand; [Watanabe, K.; Imura, S.] Natl Inst Polar Res, Tokyo 1908518, Japan; [Vangnai, A. S.] Chulalongkorn Univ, Fac Sci, Dept Biochem, Bangkok 10330, Thailand; [Vangnai, A. S.; Pinyakong, O.] Ctr Excellence Hazardous Substance Management HSM, Bangkok 10330, Thailand</t>
  </si>
  <si>
    <t>Chulalongkorn University; Chulalongkorn University; Research Organization of Information &amp; Systems (ROIS); National Institute of Polar Research (NIPR) - Japan; Chulalongkorn University</t>
  </si>
  <si>
    <t>Pinyakong, O (corresponding author), Chulalongkorn Univ, Fac Sci, Dept Microbiol, Bioremediat Res Unit, Bangkok 10330, Thailand.</t>
  </si>
  <si>
    <t>onruthai@gmail.com</t>
  </si>
  <si>
    <t>Viyakarn, Voranop/Q-9182-2019; Muangchinda, Chanokporn/IUP-9976-2023; Vangnai, Alisa S/R-3576-2016; Chavanich, Suchana/AAU-8266-2020</t>
  </si>
  <si>
    <t>Watanabe, Kentaro/0000-0002-5177-0086; Pinyakong, Onruthai/0000-0003-0014-1690</t>
  </si>
  <si>
    <t>National Institute of Polar Research (Japan); L'Oreal (Thailand) Ltd.; Faculty of Science, Chulalongkorn University; National Research University Project of the Office of Commission for Higher Education and Ratchadaphiseksomphot Endowment Fund; Chulalongkorn University-Climate Change Cluster [CC1043A]</t>
  </si>
  <si>
    <t>National Institute of Polar Research (Japan); L'Oreal (Thailand) Ltd.(L'Oreal Group); Faculty of Science, Chulalongkorn University(Chulalongkorn University); National Research University Project of the Office of Commission for Higher Education and Ratchadaphiseksomphot Endowment Fund; Chulalongkorn University-Climate Change Cluster</t>
  </si>
  <si>
    <t>This work was supported by the National Institute of Polar Research (Japan); L'Oreal (Thailand) Ltd.; Faculty of Science, Chulalongkorn University; and National Research University Project of the Office of Commission for Higher Education and Ratchadaphiseksomphot Endowment Fund, Chulalongkorn University-Climate Change Cluster (CC1043A). We also would like to thank all the members of the 51st Japanese Antarctic Research Expedition (JARE-51) for their field support and assistance.</t>
  </si>
  <si>
    <t>0944-1344</t>
  </si>
  <si>
    <t>1614-7499</t>
  </si>
  <si>
    <t>ENVIRON SCI POLLUT R</t>
  </si>
  <si>
    <t>Environ. Sci. Pollut. Res.</t>
  </si>
  <si>
    <t>10.1007/s11356-014-3721-y</t>
  </si>
  <si>
    <t>CC7TY</t>
  </si>
  <si>
    <t>WOS:000350572500063</t>
  </si>
  <si>
    <t>Maiangwa, J; Ali, MSM; Salleh, B; Abd Rahman, RNZR; Shariff, FM; Leow, TC</t>
  </si>
  <si>
    <t>Maiangwa, Jonathan; Ali, Mohd Shukuri Mohamad; Salleh, Abu Bakar; Abd Rahman, Raja Noor Zaliha Raja; Shariff, Fairolniza Mohd; Leow, Thean Chor</t>
  </si>
  <si>
    <t>Adaptational properties and applications of cold-active lipases from psychrophilic bacteria</t>
  </si>
  <si>
    <t>Psychrophilic bacteria; Extreme adaptation; Cold-active lipase and applications</t>
  </si>
  <si>
    <t>SOLVENT-TOLERANT LIPASE; SEA PSYCHROTROPHIC BACTERIUM; X-RAY DIFFRACTION; SP-NOV.; ADAPTED LIPASE; CANDIDA-ANTARCTICA; ESCHERICHIA-COLI; GENE CLONING; BIOTECHNOLOGICAL APPLICATIONS; LIPOLYTIC-ACTIVITY</t>
  </si>
  <si>
    <t>Psychrophilic microorganisms are cold-adapted with distinct properties from other thermal classes thriving in cold conditions in large areas of the earth's cold environment. Maintenance of functional membranes, evolving cold-adapted enzymes and synthesizing a range of structural features are basic adaptive strategies of psychrophiles. Among the cold-evolved enzymes are the cold-active lipases, a group of microbial lipases with inherent stability-activity-flexibility property that have engaged the interest of researchers over the years. Current knowledge regarding these cold-evolved enzymes in psychrophilic bacteria proves a display of high catalytic efficiency with low thermal stability, which is a differentiating feature with that of their mesophilic and thermophilic counterparts. Improvement strategies of their adaptive structural features have significantly benefited the enzyme industry. Based on their homogeneity and purity, molecular characterizations of these enzymes have been successful and their properties make them unique biocatalysts for various industrial and biotechnological applications. Although, strong association of lipopolysaccharides from Antarctic microorganisms with lipid hydrolases pose a challenge in their purification, heterologous expression of the cold-adapted lipases with affinity tags simplifies purification with higher yield. The review discusses these cold-evolved lipases from bacteria and their peculiar properties, in addition to their potential biotechnological and industrial applications.</t>
  </si>
  <si>
    <t>[Maiangwa, Jonathan; Leow, Thean Chor] Univ Putra Malaysia, Dept Cell &amp; Mol Biol, Fac Biotechnol &amp; Biomol Sci, Enzyme &amp; Microbial Technol Res Ctr, Serdang 43400, Selangor, Malaysia; [Ali, Mohd Shukuri Mohamad; Salleh, Abu Bakar] Univ Putra Malaysia, Dept Biochem, Fac Biotechnol &amp; Biomol Sci, Enzyme &amp; Microbial Technol Res Ctr, Serdang 43400, Selangor, Malaysia; [Abd Rahman, Raja Noor Zaliha Raja; Shariff, Fairolniza Mohd] Univ Putra Malaysia, Dept Microbiol, Fac Biotechnol &amp; Biomol Sci, Enzyme &amp; Microbial Technol Res Ctr, Serdang 43400, Selangor, Malaysia</t>
  </si>
  <si>
    <t>Universiti Putra Malaysia; Universiti Putra Malaysia; Universiti Putra Malaysia</t>
  </si>
  <si>
    <t>Leow, TC (corresponding author), Univ Putra Malaysia, Dept Cell &amp; Mol Biol, Fac Biotechnol &amp; Biomol Sci, Enzyme &amp; Microbial Technol Res Ctr, Serdang 43400, Selangor, Malaysia.</t>
  </si>
  <si>
    <t>adamleow@upm.edu.my</t>
  </si>
  <si>
    <t>Shariff, Fairolniza Mohd/AAL-2880-2020; Rahman, Raja Noor Zaliha Raja Abd/I-5556-2019; ALI, MOHD/IUM-6916-2023; Shariff, Fairolniza Mohd/IYJ-2362-2023; Ali, Mohd Shukuri Mohamad/AAG-5453-2021</t>
  </si>
  <si>
    <t>Rahman, Raja Noor Zaliha Raja Abd/0000-0002-6316-6177; Ali, Mohd Shukuri Mohamad/0000-0003-2751-9649; Leow, Adam [Thean Chor]/0000-0002-0280-7735; Mohd Shariff, Fairolniza/0000-0001-7586-4784</t>
  </si>
  <si>
    <t>FRGS under the Ministry of Higher Education, Malaysia [03-10-10-965FR]</t>
  </si>
  <si>
    <t>FRGS under the Ministry of Higher Education, Malaysia</t>
  </si>
  <si>
    <t>This research was supported by the FRGS (03-10-10-965FR) under the Ministry of Higher Education, Malaysia.</t>
  </si>
  <si>
    <t>10.1007/s00792-014-0710-5</t>
  </si>
  <si>
    <t>WOS:000350306200002</t>
  </si>
  <si>
    <t>Pereira, JQ; Ambrosini, A; Sant'Anna, FH; Tadra-Sfeir, M; Faoro, H; Pedrosa, FO; Souza, EM; Brandelli, A; Passaglia, LMP</t>
  </si>
  <si>
    <t>Pereira, Jamile Queiroz; Ambrosini, Adriana; Sant'Anna, Fernando Hayashi; Tadra-Sfeir, Michele; Faoro, Helisson; Pedrosa, Fabio Oliveira; Souza, Emanuel Maltempi; Brandelli, Adriano; Passaglia, Luciane M. P.</t>
  </si>
  <si>
    <t>Whole-Genome Shotgun Sequence of the Keratinolytic Bacterium Lysobacter sp. A03, Isolated from the Antarctic Environment</t>
  </si>
  <si>
    <t>Lysobacter sp. strain A03 is a protease-producing bacterium isolated from decomposing-penguin feathers collected in the Antarctic environment. This strain has the ability to degrade keratin at low temperatures. The A03 genome sequence provides the possibility of finding new genes with biotechnological potential to better understand its cold-adaptation mechanism and survival in cold environments.</t>
  </si>
  <si>
    <t>[Pereira, Jamile Queiroz; Ambrosini, Adriana; Sant'Anna, Fernando Hayashi; Passaglia, Luciane M. P.] Univ Fed Rio Grande do Sul, Inst Biociencias, Dept Genet, Porto Alegre, RS, Brazil; [Pereira, Jamile Queiroz; Brandelli, Adriano] Univ Fed Rio Grande do Sul, ICTA, Porto Alegre, RS, Brazil; [Tadra-Sfeir, Michele; Faoro, Helisson; Pedrosa, Fabio Oliveira; Souza, Emanuel Maltempi] Univ Fed Parana UFPR, Dept Bioquim &amp; Biol Mol, Curitiba, PR, Brazil</t>
  </si>
  <si>
    <t>Universidade Federal do Rio Grande do Sul; Universidade Federal do Rio Grande do Sul; Universidade Federal do Parana</t>
  </si>
  <si>
    <t>Passaglia, LMP (corresponding author), Univ Fed Rio Grande do Sul, Inst Biociencias, Dept Genet, Porto Alegre, RS, Brazil.</t>
  </si>
  <si>
    <t>luciane.passaglia@ufrgs.br</t>
  </si>
  <si>
    <t>Faoro, Helisson/F-7163-2012; Ambrosini, Adriana/I-9140-2016; Hayashi Sant'Anna, Fernando/I-9129-2016; Souza, Emanuel/C-1920-2013</t>
  </si>
  <si>
    <t>Faoro, Helisson/0000-0002-0146-8639; Hayashi Sant'Anna, Fernando/0000-0001-7767-8168; Souza, Emanuel/0000-0003-1546-9218</t>
  </si>
  <si>
    <t>Coordenacao de Aperfeicoamento de Pessoal de Nivel Superior, Brazil [42001013068D3]; Conselho Nacional de Desenvolvimento Cientifico e Tecnologico-Instituto Nacional de Ciencia e Tecnologia de Fixacao Biologica do Nitrogenio, Brazil [573828/2008-3]</t>
  </si>
  <si>
    <t>Coordenacao de Aperfeicoamento de Pessoal de Nivel Superior, Brazil(Coordenacao de Aperfeicoamento de Pessoal de Nivel Superior (CAPES)); Conselho Nacional de Desenvolvimento Cientifico e Tecnologico-Instituto Nacional de Ciencia e Tecnologia de Fixacao Biologica do Nitrogenio, Brazil</t>
  </si>
  <si>
    <t>This work was supported by the Coordenacao de Aperfeicoamento de Pessoal de Nivel Superior (grant 42001013068D3) and Conselho Nacional de Desenvolvimento Cientifico e Tecnologico-Instituto Nacional de Ciencia e Tecnologia de Fixacao Biologica do Nitrogenio (project 573828/2008-3), Brazil.</t>
  </si>
  <si>
    <t>e00246-15</t>
  </si>
  <si>
    <t>10.1128/genomeA.00246-15</t>
  </si>
  <si>
    <t>VI1DG</t>
  </si>
  <si>
    <t>WOS:000460623100172</t>
  </si>
  <si>
    <t>Patton, H; Swift, DA; Clark, CD; Livingstone, SJ; Cook, SJ; Hubbard, A</t>
  </si>
  <si>
    <t>Patton, Henry; Swift, Darrel A.; Clark, Chris D.; Livingstone, Stephen J.; Cook, Simon J.; Hubbard, Alun</t>
  </si>
  <si>
    <t>Automated mapping of glacial overdeepenings beneath contemporary ice sheets: Approaches and potential applications</t>
  </si>
  <si>
    <t>GEOMORPHOLOGY</t>
  </si>
  <si>
    <t>Overdeepenings; Automated landform mapping; Glacial erosion; Landscape evolution; Antarctica; Greenland</t>
  </si>
  <si>
    <t>LANDSCAPE EVOLUTION; FLOW; GREENLAND; EROSION; VALLEYS; STREAM; ORIGIN; BED; ANTARCTICA; LINEATIONS</t>
  </si>
  <si>
    <t>Awareness is growing on the significance of overdeepenings in ice sheet systems. However, a complete understanding of overdeepening formation is lacking, meaning observations of overdeepening location and morphometry are urgently required to motivate process understanding. Subject to the development of appropriate mapping approaches, high resolution subglacial topography data sets covering the whole of Antarctica and Greenland offer significant potential to acquire such observations and to relate overdeepening characteristics to ice sheet parameters. We explore a possible method for mapping overdeepenings beneath the Antarctic and Greenland ice sheets and illustrate a potential application of this approach by testing a possible relationship between overdeepening elongation ratio and ice sheet flow velocity. We find that hydrological and terrain filtering approaches are unsuited to mapping overdeepenings and develop a novel rule-based GIS methodology that delineates overdeepening perimeters by analysis of closed-contour properties. We then develop GIS procedures that provide information on overdeepening morphology and topographic context. Limitations in the accuracy and resolution of bed-topography data sets mean that application to glaciological problems requires consideration of quality-control criteria to (a) remove potentially spurious depressions and (b) reduce uncertainties that arise from the inclusion of depressions of nonglacial origin, or those in regions where empirical data are sparse. To address the problem of overdeepening elongation, potential quality control criteria are introduced; and discussion of this example serves to highlight the limitations that mapping approaches - and applications of such approaches must confront. We predict that improvements in bed-data quality will reduce the need for quality control procedures and facilitate increasingly robust insights from empirical data. (C) 2015 Elsevier B.V. All rights reserved.</t>
  </si>
  <si>
    <t>[Patton, Henry; Swift, Darrel A.; Clark, Chris D.; Livingstone, Stephen J.] Univ Sheffield, Dept Geog, Sheffield S10 2TN, S Yorkshire, England; [Patton, Henry; Hubbard, Alun] UiT Arctic Univ Norway, Dept Geol, CAGE Ctr Arctic Gas Hydrate Environm &amp; Climate, N-9037 Tromso, Norway; [Cook, Simon J.] Manchester Metropolitan Univ, Sch Sci &amp; Environm, Manchester M1 5GD, Lancs, England</t>
  </si>
  <si>
    <t>University of Sheffield; UiT The Arctic University of Tromso; Manchester Metropolitan University</t>
  </si>
  <si>
    <t>Swift, DA (corresponding author), Univ Sheffield, Dept Geog, Winter St, Sheffield S10 2TN, S Yorkshire, England.</t>
  </si>
  <si>
    <t>d.a.swift@sheffield.ac.uk</t>
  </si>
  <si>
    <t>Cook, Simon/J-2393-2012; Swift, Darrel A/A-3476-2009; Cook, Simon/AAP-9358-2021; Patton, Henry/H-7525-2019; Hubbard, Alun/R-5085-2017; clark, chris/C-3830-2009</t>
  </si>
  <si>
    <t>Cook, Simon/0000-0003-1532-6532; Swift, Darrel A/0000-0001-5320-5104; Cook, Simon/0000-0003-1532-6532; Patton, Henry/0000-0001-9670-611X; Hubbard, Alun/0000-0002-0503-3915; Livingstone, Stephen/0000-0002-7240-5037; clark, chris/0000-0002-1021-6679</t>
  </si>
  <si>
    <t>Nagra; NSF [ANT-0424589]; NASA Operation Ice Bridge grant [NNX13AD53A]; Research Council of Norway through its Centres of Excellence funding scheme [223259]; NASA [475386, NNX13AD53A] Funding Source: Federal RePORTER</t>
  </si>
  <si>
    <t>Nagra; NSF(National Science Foundation (NSF)); NASA Operation Ice Bridge grant; Research Council of Norway through its Centres of Excellence funding scheme(Research Council of Norway); NASA(National Aeronautics &amp; Space Administration (NASA))</t>
  </si>
  <si>
    <t>DAS would like to thank the National Cooperative for the Disposal of Radioactive Waste (Nagra), Switzerland, for their role in stimulatingnew research on the topic of focused glacial erosion, and DAS, HP, SJCand CDC express further thanks to Nagra for funding the quantitativestudy of overdeepening location and morphology on which thispaper is based. CReSIS data used in this study was generated with support from NSF grant ANT-0424589 and NASA Operation Ice Bridge grant NNX13AD53A. HP and AH also acknowledge support by the Research Council of Norway through its Centres of Excellence funding scheme, project number 223259. Discussions with Andrew Sole and Jeremy Ely helped to advance ideas produced in this study and their input is gratefully acknowledged. We also acknowledge the constructive reviews provided by three anonymous reviewers, which resulted in significant improvements to our manuscript, and the work of the editor, Professor Richard A. Marston.</t>
  </si>
  <si>
    <t>0169-555X</t>
  </si>
  <si>
    <t>1872-695X</t>
  </si>
  <si>
    <t>Geomorphology</t>
  </si>
  <si>
    <t>10.1016/j.geomorph.2015.01.003</t>
  </si>
  <si>
    <t>CC2OL</t>
  </si>
  <si>
    <t>WOS:000350184400015</t>
  </si>
  <si>
    <t>Ishihara, Y; Kanao, M; Yamamoto, M; Toda, S; Matsushima, T; Murayama, T</t>
  </si>
  <si>
    <t>Ishihara, Yoshiaki; Kanao, Masaki; Yamamoto, Masa-yuki; Toda, Shigeru; Matsushima, Takeshi; Murayama, Takahiko</t>
  </si>
  <si>
    <t>Infrasound observations at Syowa Station, East Antarctica: Implications for detecting the surface environmental variations in the polar regions</t>
  </si>
  <si>
    <t>GEOSCIENCE FRONTIERS</t>
  </si>
  <si>
    <t>Characteristic infrasound waves observed at Antarctic stations demonstrate physical interaction involving environmental changes in the Antarctic continent and the surrounding oceans. A Chaparral-type infrasound sensor was installed at Syowa Station (SYO; 39 degrees E, 69 degrees S), East Antarctica, as one of the projects of the International Polar Year (IPY2007-2008). Data continuously recorded during the three seasons in 2008-2010 clearly indicate a contamination of the background oceanic signals (microbaroms) with peaks between 4 and 10 s observed during a whole season. The peak amplitudes of the microbaroms have relatively lower values during austral winters, caused by a larger amount of sea-ice extending around the Lutzow-Holm Bay near SYO, with decreasing ocean wave loading effects. Microbaroms measurements are useful tool for characterizing ocean wave climate, complementing other oceanographic and geophysical data. A continuous monitoring by infrasound sensors in the Antarctic firmly contributes to the Comprehensive Nuclear-Test-Ban Treaty (CTBT) in the southern high latitude, together with the Pan-Antarctic Observations System (PAntOS) under the Scientific Committee on Antarctic Research (SCAR). Detailed measurements of the infrasound waves in Antarctica, consequently, could be a new proxy for monitoring regional environmental change as well as the temporal climate variations in the polar regions. (c) 2015, China University of Geosciences (Beijing) and Peking University. Production and hosting by Elsevier B.V. All rights reserved.</t>
  </si>
  <si>
    <t>[Ishihara, Yoshiaki] Natl Inst Adv Ind Sci &amp; Technol, Tsukuba, Ibaraki 3058568, Japan; [Kanao, Masaki] Res Org Informat &amp; Syst, Natl Inst Polar Res, Tachikawa, Tokyo 1908518, Japan; [Yamamoto, Masa-yuki] Kochi Univ Technol, Kami, Kochi 7828502, Japan; [Toda, Shigeru] Aichi Univ Educ, Fac Educ, Kariya, Aichi 4488542, Japan; [Matsushima, Takeshi] Kyushu Univ, Fac Sci, Shimabara, Nagasaki 8550843, Japan; [Murayama, Takahiko] Japan Weather Assoc, Toshima Ku, Tokyo 1706055, Japan</t>
  </si>
  <si>
    <t>National Institute of Advanced Industrial Science &amp; Technology (AIST); Research Organization of Information &amp; Systems (ROIS); National Institute of Polar Research (NIPR) - Japan; Kochi University Technology; Aichi University Education; Kyushu University</t>
  </si>
  <si>
    <t>Ishihara, Y (corresponding author), Japan Aerosp Explorat Agcy, Lunar &amp; Planetary Explorat Program Grp, Chuo Ku, Yoshinodai 3-1-1, Sagamihara, Kanagawa 2525210, Japan.</t>
  </si>
  <si>
    <t>ishihara.yoshiaki@jaxa.jp; kanao@nipr.ac.jp; yamamoto.masa-yuki@kochi-tech.ac.jp; shigeru@auecc.aichi-edu.ac.jp; mat@sevo.kyushu-u.ac.jp; murayama@jwa.or.jp</t>
  </si>
  <si>
    <t>Ishihara, Yoshiaki/A-8499-2011</t>
  </si>
  <si>
    <t>Ishihara, Yoshiaki/0000-0002-0375-6300</t>
  </si>
  <si>
    <t>Grants-in-Aid for Scientific Research [26241010] Funding Source: KAKEN</t>
  </si>
  <si>
    <t>CHINA UNIV GEOSCIENCES, BEIJING</t>
  </si>
  <si>
    <t>HAIDIAN DISTRICT</t>
  </si>
  <si>
    <t>29 XUEYUAN RD, HAIDIAN DISTRICT, 100083, PEOPLES R CHINA</t>
  </si>
  <si>
    <t>1674-9871</t>
  </si>
  <si>
    <t>GEOSCI FRONT</t>
  </si>
  <si>
    <t>Geosci. Front.</t>
  </si>
  <si>
    <t>10.1016/j.gsf.2013.12.012</t>
  </si>
  <si>
    <t>CE9RD</t>
  </si>
  <si>
    <t>WOS:000352180200011</t>
  </si>
  <si>
    <t>Illingworth, SM; Roop, HA</t>
  </si>
  <si>
    <t>Illingworth, Samuel M.; Roop, Heidi A.</t>
  </si>
  <si>
    <t>Developing Key Skills as a Science Communicator: Case Studies of Two Scientist-Led Outreach Programmes</t>
  </si>
  <si>
    <t>GEOSCIENCES</t>
  </si>
  <si>
    <t>education; outreach; classroom; scientific training; learning experience</t>
  </si>
  <si>
    <t>Outreach by scientific researchers in school classrooms often results in widespread benefit for learners, classroom teachers and researchers. This paper presents a consideration of these benefits using two case studies in the Geography, Earth and Environmental Sciences (GEES). In each case, different school classroom-based activities were designed by scientists, but were improved by input from educational professionals, which helped to maximize the mutual learning experiences and to ensure the quality of the content and its delivery. Each case study suggests an improvement in scientist's working knowledge of best practices for classroom-based outreach activities, which can translate to improved practices for University-level teaching, among other tangible career-relevant benefits. Despite these benefits, these projects highlight the well-established need for improved training for researchers in effective outreach practices, increased value on programme evaluation, and the growing need for meaningful professional recognition for researchers involved in these important, and ever-growing, outreach activities.</t>
  </si>
  <si>
    <t>[Illingworth, Samuel M.] Manchester Metropolitan Univ, Sch Res Enterprise &amp; Innovat, Chester St, Manchester M1 5GD, Lancs, England; [Roop, Heidi A.] Victoria Univ Wellington, Antarctic Res Ctr, Wellington 6140, New Zealand; [Roop, Heidi A.] GNS Sci, Lower Hutt 5011, New Zealand; [Roop, Heidi A.] Victoria Univ Wellington, Sci Context, Wellington 6140, New Zealand</t>
  </si>
  <si>
    <t>Manchester Metropolitan University; Victoria University Wellington; GNS Science - New Zealand; Victoria University Wellington</t>
  </si>
  <si>
    <t>Illingworth, SM (corresponding author), Manchester Metropolitan Univ, Sch Res Enterprise &amp; Innovat, Chester St, Manchester M1 5GD, Lancs, England.</t>
  </si>
  <si>
    <t>sam.illingworth@gmail.com; h.roop@gns.cri.nz</t>
  </si>
  <si>
    <t>Illingworth, Sam/A-4899-2015</t>
  </si>
  <si>
    <t>Illingworth, Sam/0000-0003-2551-0675</t>
  </si>
  <si>
    <t>2076-3263</t>
  </si>
  <si>
    <t>Geosciences</t>
  </si>
  <si>
    <t>10.3390/geosciences5010002</t>
  </si>
  <si>
    <t>VA1GU</t>
  </si>
  <si>
    <t>WOS:000409657000001</t>
  </si>
  <si>
    <t>Brown, PJ; Jullion, L; Landschützer, P; Bakker, DCE; Garabato, ACN; Meredith, MP; Torres-Valdés, S; Watson, AJ; Hoppema, M; Loose, B; Jones, E; Telszewski, M; Jones, SD; Wanninkhof, R</t>
  </si>
  <si>
    <t>Brown, Peter J.; Jullion, Loic; Landschuetzer, Peter; Bakker, Dorothee C. E.; Garabato, Alberto C. Naveira; Meredith, Michael P.; Torres-Valdes, Sinhue; Watson, Andrew J.; Hoppema, Mario; Loose, Brice; Jones, ElizabethM.; Telszewski, Maciej; Jones, Steve D.; Wanninkhof, Rik</t>
  </si>
  <si>
    <t>Carbon dynamics of the Weddell Gyre, Southern Ocean</t>
  </si>
  <si>
    <t>ANTARCTIC BOTTOM WATER; ATMOSPHERIC CO2; ORGANIC-CARBON; SEA; DIOXIDE; DEEP; VARIABILITY; TRANSPORT; SINK; STORAGE</t>
  </si>
  <si>
    <t>The accumulation of carbon within the Weddell Gyre and its exchanges across the gyre boundaries are investigated with three recent full-depth oceanographic sections enclosing this climatically important region. The combination of carbon measurements with ocean circulation transport estimates from a box inverse analysis reveals that deepwater transports associated with Warm Deep Water (WDW) and Weddell Sea Deep Water dominate the gyre's carbon budget, while a dual-cell vertical overturning circulation leads to both upwelling and the delivery of large quantities of carbon to the deep ocean. Historical sea surface pCO(2) observations, interpolated using a neural network technique, confirm the net summertime sink of 0.044 to 0.058 +/- 0.010 Pg C yr(-1) derived from the inversion. However, a wintertime outgassing signal similar in size results in a statistically insignificant annual air-to-sea CO2 flux of 0.002 +/- 0.007 Pg C yr(-1) (mean 1998-2011) to 0.012 +/- 0.024 Pg C yr(-1) (mean 2008-2010) to be diagnosed for the Weddell Gyre. A surface layer carbon balance, independently derived from in situ biogeochemical measurements, reveals that freshwater inputs and biological drawdown decrease surface ocean inorganic carbon levels more than they are increased by WDW entrainment, resulting in an estimated annual carbon sink of 0.033 +/- 0.021 Pg C yr(-1). Although relatively less efficient for carbon uptake than the global oceans, the summertime Weddell Gyre suppresses the winter outgassing signal, while its biological pump and deepwater formation act as key conduits for transporting natural and anthropogenic carbon to the deep ocean where they can reside for long time scales.</t>
  </si>
  <si>
    <t>[Brown, Peter J.; Landschuetzer, Peter; Bakker, Dorothee C. E.] Univ E Anglia, Sch Environm Sci, Ctr Ocean &amp; Atmospher Sci, Norwich NR4 7TJ, Norfolk, England; [Brown, Peter J.; Meredith, Michael P.] British Antarctic Survey, Cambridge CB3 0ET, England; [Brown, Peter J.; Torres-Valdes, Sinhue] Natl Oceanog Ctr, Southampton, Hants, England; [Jullion, Loic; Garabato, Alberto C. Naveira] Univ Southampton, Natl Oceanog Ctr, Southampton, Hants, England; [Jullion, Loic] Aix Marseille Univ, Mediterranean Inst Oceanog, CNRS INSU, IRD,MIO,110, Marseille, France; [Landschuetzer, Peter] ETH, Inst Biogeochem &amp; Pollutant Dynam, Zurich, Switzerland; [Meredith, Michael P.] Scottish Assoc Marine Sci, Oban, Argyll, Scotland; [Watson, Andrew J.] Univ Exeter, Coll Life &amp; Environm Sci, Exeter, Devon, England; [Hoppema, Mario] Helmholtz Ctr Polar &amp; Marine Res, Alfred Wegener Inst, Bremerhaven, Germany; [Loose, Brice] Univ Rhode Isl, Grad Sch Oceanog, Narragansett, RI 02882 USA; [Jones, ElizabethM.] Royal Netherlands Inst Sea Res NIOZ, Texel, Netherlands; [Jones, ElizabethM.] Univ Groningen, Ctr Energy &amp; Environm Sci, Energy &amp; Sustainabil Res Inst Groningen, Groningen, Netherlands; [Telszewski, Maciej] Polish Acad Sci, Inst Oceanol, Int Ocean Carbon Coordinat Project, Sopot, Poland; [Jones, Steve D.] Univ E Anglia, Tyndall Ctr Climate Change Res, Norwich NR4 7TJ, Norfolk, England; [Wanninkhof, Rik] NOAA, Atlantic Oceanog &amp; Meteorol Lab, Ocean Chem Div, Miami, FL 33149 USA</t>
  </si>
  <si>
    <t>University of East Anglia; UK Research &amp; Innovation (UKRI); Natural Environment Research Council (NERC); NERC British Antarctic Survey; NERC National Oceanography Centre; NERC National Oceanography Centre; University of Southampton; Aix-Marseille Universite; Institut de Recherche pour le Developpement (IRD); Centre National de la Recherche Scientifique (CNRS); CNRS - National Institute for Earth Sciences &amp; Astronomy (INSU); Swiss Federal Institutes of Technology Domain; ETH Zurich; UHI Millennium Institute; University of Exeter; Helmholtz Association; Alfred Wegener Institute, Helmholtz Centre for Polar &amp; Marine Research; University of Rhode Island; Utrecht University; Royal Netherlands Institute for Sea Research (NIOZ); University of Groningen; Polish Academy of Sciences; Institute of Oceanology of the Polish Academy of Sciences; University of East Anglia; National Oceanic Atmospheric Admin (NOAA) - USA; Atlantic Oceanographic &amp; Meteorological Laboratory (AOML)</t>
  </si>
  <si>
    <t>Brown, PJ (corresponding author), Univ E Anglia, Sch Environm Sci, Ctr Ocean &amp; Atmospher Sci, Norwich NR4 7TJ, Norfolk, England.</t>
  </si>
  <si>
    <t>brown.pj@gmail.com</t>
  </si>
  <si>
    <t>Garabato, Alberto Naveira/AAQ-1114-2020; Torres-Valdés, Sinhué/O-6436-2019; Torres Valdés, Sinhué/A-1435-2013; Brown, Peter/AAN-4372-2020; Landschützer, Peter/IQU-3835-2023; Jullion, Loic/B-3304-2011; Hoppema, Mario/I-6286-2013; Bakker, Dorothee/E-4951-2015</t>
  </si>
  <si>
    <t>Garabato, Alberto Naveira/0000-0001-6071-605X; Torres-Valdés, Sinhué/0000-0003-2749-4170; Torres Valdés, Sinhué/0000-0003-2749-4170; Brown, Peter/0000-0002-1152-1114; Landschützer, Peter/0000-0002-7398-3293; Jullion, Loic/0000-0001-6269-6750; Meredith, Michael/0000-0002-7342-7756; Hoppema, Mario/0000-0002-2326-619X; Bakker, Dorothee/0000-0001-9234-5337; Watson, Andrew/0000-0002-9654-8147; Jones, Steve/0000-0003-0522-9851; Telszewski, Maciej/0000-0002-9139-226X</t>
  </si>
  <si>
    <t>International Ocean Carbon Coordination Project; Surface Ocean Lower Atmosphere Study; Integrated Marine Biogeochemistry and Ecosystem Research program; SOCAT; UK Natural Environment Research Council [NE/E013368/1, NE/E013538/1]; European Union CarboOcean project [GOCE-511176-1]; European Union CarboChange project [FP7 264879]; NERC [bas0100033, NE/F01242X/1, NE/E01366X/1, NE/E013341/1, NE/E013368/1, NE/K012843/1, NE/E013538/1, bas0100028, noc010009] Funding Source: UKRI; Natural Environment Research Council [NE/E01366X/1, NE/E013341/1, bas0100033, noc010012, NE/E013538/1, bas0100028, NE/F01242X/1, NE/E013368/1, NE/K012843/1, noc010009] Funding Source: researchfish</t>
  </si>
  <si>
    <t>International Ocean Carbon Coordination Project; Surface Ocean Lower Atmosphere Study; Integrated Marine Biogeochemistry and Ecosystem Research program; SOCAT; UK Natural Environment Research Council(UK Research &amp; Innovation (UKRI)Natural Environment Research Council (NERC)); European Union CarboOcean project(European Union (EU)); European Union CarboChange project; NERC(UK Research &amp; Innovation (UKRI)Natural Environment Research Council (NERC)); Natural Environment Research Council(UK Research &amp; Innovation (UKRI)Natural Environment Research Council (NERC))</t>
  </si>
  <si>
    <t>Hydrographic cruise data are available from the CLIVAR and Carbon Hydrographic Data Office (http://cchdo.ucsd.edu/). Neural network maps of pCO2 are available from the Carbon Dioxide Information Analysis Center (http://cdiac.ornl.gov) [Landschutzer et al., 2014b]. The authors are grateful to all scientists and support staff involved in the collection and analysis of samples, both at sea and on shore, especially Kevin Speer, chief scientist of the I06S line occupied as part of the U.S. CLIVAR repeat hydrography program, and Sheldon Bacon, chief scientist of the first ANDREX cruise. The Surface Ocean CO2 Atlas (SOCAT) is an international effort, supported by the International Ocean Carbon Coordination Project, the Surface Ocean Lower Atmosphere Study, and the Integrated Marine Biogeochemistry and Ecosystem Research program, to deliver a uniformly quality-controlled surface ocean CO2 database. The many researchers and funding agencies responsible for the collection of data and quality control are thanked for their contributions to SOCAT. This work is a contribution of the Antarctic Deep Water Rates of Export (ANDREX) programme-funded by the UK Natural Environment Research Council via awards NE/E013368/1 and NE/E013538/1-and the European Union CarboOcean (GOCE-511176-1) and CarboChange (FP7 264879) projects.</t>
  </si>
  <si>
    <t>10.1002/2014GB005006</t>
  </si>
  <si>
    <t>WOS:000354382600002</t>
  </si>
  <si>
    <t>Grand, MM; Measures, CI; Hatta, M; Hiscock, WT; Landing, WM; Morton, PL; Buck, CS; Barrett, PM; Resing, JA</t>
  </si>
  <si>
    <t>Grand, Maxime M.; Measures, Christopher I.; Hatta, Mariko; Hiscock, William T.; Landing, William M.; Morton, Peter L.; Buck, Clifton S.; Barrett, Pamela M.; Resing, Joseph A.</t>
  </si>
  <si>
    <t>Dissolved Fe and Al in the upper 1000m of the eastern Indian Ocean: A high-resolution transect along 95°E from the Antarctic margin to the Bay of Bengal</t>
  </si>
  <si>
    <t>RARE-EARTH-ELEMENTS; SOUTHERN-OCEAN; IRON-FERTILIZATION; DRAKE PASSAGE; THERMOCLINE CIRCULATION; SEASONAL-VARIATIONS; INTERMEDIATE WATER; PARTICULATE MATTER; KERGUELEN PLATEAU; SUMMER MONSOON</t>
  </si>
  <si>
    <t>A high-resolution section of dissolved iron (dFe) and aluminum (dAl) was obtained along similar to 95 degrees E in the upper 1000m of the eastern Indian Ocean from the Antarctic margin (66 degrees S) to the Bay of Bengal (18 degrees N) during the U.S. Climate Variability and Predictability (CLIVAR) CO2 Repeat Hydrography I08S and I09N sections (February-April 2007). In the Southern Ocean, low concentrations of dAl (&lt;1 nM) reflect the negligible dust inputs impacting the water masses subducted in the circumpolar domain. The low dAl concentrations characterizing the Southern Ocean terminate near 45 degrees S, probably because of the advection of subtropical water masses that received dust and sedimentary inputs in their formation region. Our subsurface dFe data near the southern Kerguelen Plateau were significantly higher than historical observations in other Indian sectors of the Southern Ocean. We surmise that the offshore advection of dFe-rich waters along the western flank of the southern Kerguelen plateau and enhanced vertical mixing could contribute to this elevated subsurface dFe inventory. Elevated subsurface particulate and dFe levels downstream of the northern Kerguelen Plateaumay reflect long-range lateral transport from the plateau's sediments and/or remineralization inputs. At the northern edge of the south Indian subtropical gyre, the deposition of Australian dust, possibly combined with the advection of dAl-enriched waters from the Indonesian Throughflow, creates a region of elevated dAl in the upper 400m but without a corresponding enrichment in dFe. In the northern Indian Ocean, the South Equatorial Current constitutes a remarkable biogeochemical front separating the oxygen-rich and dFe-poor subtropical gyre waters from the dFe-rich and oxygen-depleted waters of the northern Indian Ocean. By tracing the accumulation of macronutrients and dFe along the advective pathway of Indian Central Water, we show that the central waters of the northern Indian Ocean receive excess dFe in addition to that produced by remineralization inputs. The resuspension of shelf sediments and release of pore waters probably contribute to the elevated dFe and dAl levels observed below the highly stratified upper layers of the Bay of Bengal.</t>
  </si>
  <si>
    <t>[Grand, Maxime M.; Measures, Christopher I.; Hatta, Mariko] Univ Hawaii, Dept Oceanog, Honolulu, HI 96822 USA; [Hiscock, William T.] Thermo Fisher Sci, N Ryde, NSW, Australia; [Landing, William M.; Morton, Peter L.] Florida State Univ, Dept Earth Ocean &amp; Atmospher Sci, Tallahassee, FL 32306 USA; [Buck, Clifton S.] Univ Georgia, Skidaway Inst Oceanog, Savannah, GA USA; [Barrett, Pamela M.; Resing, Joseph A.] Univ Washington, Joint Inst Study Atmosphere &amp; Ocean, Seattle, WA 98195 USA; [Barrett, Pamela M.; Resing, Joseph A.] NOAA, Pacific Marine Environm Lab, Seattle, WA 98115 USA</t>
  </si>
  <si>
    <t>University of Hawaii System; Thermo Fisher Scientific; State University System of Florida; Florida State University; University System of Georgia; University of Georgia; Skidaway Institute of Oceanography; University of Washington; University of Washington Seattle; National Oceanic Atmospheric Admin (NOAA) - USA</t>
  </si>
  <si>
    <t>Morton, Peter L/C-5078-2014; Buck, Clifton/F-5820-2010; Landing, William/KBA-8522-2024; Grand, Maxime/S-1898-2019; Resing, Joseph A/J-6110-2017; Barrett, Pamela Louise/JEZ-8259-2023</t>
  </si>
  <si>
    <t>Buck, Clifton/0000-0002-5691-9636; Landing, William/0000-0002-7514-3247; Grand, Maxime/0000-0001-9338-694X; Resing, Joseph A/0000-0002-7334-4176; Hatta, Mariko/0000-0002-4892-7708; Morton, Peter/0000-0002-4248-2357; Barrett, Pamela/0000-0003-3405-5328</t>
  </si>
  <si>
    <t>NSF [OCE-0649584, NSF-OCE-0649639, OCE-61-4962, 62-5889]; Directorate For Geosciences [0962393] Funding Source: National Science Foundation; Directorate For Geosciences; Division Of Ocean Sciences [1260376] Funding Source: National Science Foundation; Division Of Ocean Sciences [0962393] Funding Source: National Science Foundation</t>
  </si>
  <si>
    <t>NSF(National Science Foundation (NSF)); Directorate For Geosciences(National Science Foundation (NSF)NSF - Directorate for Geosciences (GEO)); Directorate For Geosciences; Division Of Ocean Sciences(National Science Foundation (NSF)NSF - Directorate for Geosciences (GEO)); Division Of Ocean Sciences(National Science Foundation (NSF)NSF - Directorate for Geosciences (GEO))</t>
  </si>
  <si>
    <t>All data used in this paper are publicly available on the CLIVAR &amp; Carbon Hydrographic Data Office website (CCHDO) using ExpoCodes 33RR20070204 and 33RR20070322 for I08S and I09N, respectively (http://cchdo.ucsd.edu). We thank the captain and crew of the R/V Revelle, chief scientists Jim Swift (I08S) and Janet Sprintall (I09N) and Kati Gosnell for their tremendous help and support during the seagoing part of this project. Thanks are due to Francois Ascani for his assistance with the preparation of Figure 4, Yoshiki Sohrin for sharing the data of the GEOTRACES-Japan expedition and to A. Tagliabue, and an anonymous reviewer for helpful comments. This work was funded by NSF OCE-0649584 to C.I.M., NSF-OCE-0649639 to W.M.L., and NSF OCE-61-4962 and 62-5889 to J.A.R. This is SOEST publication 9280, PMEL publication 4141, and JISAO publication 2223.</t>
  </si>
  <si>
    <t>10.1002/2014GB004920</t>
  </si>
  <si>
    <t>Bronze, Green Published, Green Accepted</t>
  </si>
  <si>
    <t>WOS:000354382600007</t>
  </si>
  <si>
    <t>Royles, J; Griffiths, H</t>
  </si>
  <si>
    <t>Royles, Jessica; Griffiths, Howard</t>
  </si>
  <si>
    <t>Invited review: climate change impacts in polar regions: lessons from Antarctic moss bank archives</t>
  </si>
  <si>
    <t>Antarctic moss; assimilation; climate change; peat accumulation; radiocarbon dating; stable isotopes</t>
  </si>
  <si>
    <t>CARBON-ISOTOPE DISCRIMINATION; STABLE-ISOTOPES; WATER-CONTENT; PHOTOSYNTHETIC PARAMETERS; CHLOROPHYLL FLUORESCENCE; TERRESTRIAL ECOSYSTEMS; TEMPORAL VARIABILITY; PEAT ACCUMULATION; CO2 ASSIMILATION; ACTIVE LAYER</t>
  </si>
  <si>
    <t>Mosses are the dominant plants in polar and boreal regions, areas which are experiencing rapid impacts of regional warming. Long-term monitoring programmes provide some records of the rate of recent climate change, but moss peat banks contain an unrivalled temporal record of past climate change on terrestrial plant Antarctic systems. We summarise the current understanding of climatic proxies and determinants of moss growth for contrasting continental and maritime Antarctic regions, as informed by 13C and 18O signals in organic material. Rates of moss accumulation are more than three times higher in the maritime Antarctic than continental Antarctica with growing season length being a critical determinant of growth rate, and high carbon isotope discrimination values reflecting optimal hydration conditions. Correlation plots of 13C and 18O values show that species (Chorisodontium aciphyllum / Polytrichum strictum) and growth form (hummock / bank) are the major determinants of measured isotope ratios. The interplay between moss growth form, photosynthetic physiology, water status and isotope composition are compared with developments of secondary proxies, such as chlorophyll fluorescence. These approaches provide a framework to consider the potential impact of climate change on terrestrial Antarctic habitats as well as having implications for future studies of temperate, boreal and Arctic peatlands. There are many urgent ecological and environmental problems in the Arctic related to mosses in a changing climate, but the geographical ranges of species and life-forms are difficult to track individually. Our goal was to translate what we have learned from the more simple systems in Antarctica, for application to Arctic habitats.</t>
  </si>
  <si>
    <t>[Royles, Jessica] British Antarctic Survey, Cambridge CB3 0ET, England; [Royles, Jessica; Griffiths, Howard] Univ Cambridge, Dept Plant Sci, Cambridge CB2 3EA, England</t>
  </si>
  <si>
    <t>UK Research &amp; Innovation (UKRI); Natural Environment Research Council (NERC); NERC British Antarctic Survey; University of Cambridge</t>
  </si>
  <si>
    <t>Royles, J (corresponding author), British Antarctic Survey, Madingley Rd, Cambridge CB3 0ET, England.</t>
  </si>
  <si>
    <t>jr328@cam.ac.uk</t>
  </si>
  <si>
    <t>Natural Environment Research Council [NE/H014896/1]; NERC [NE/H014632/1, NE/H014810/1, NE/M001946/1, bas0100030, NE/H014896/1, bas0100024] Funding Source: UKRI; Natural Environment Research Council [NE/M001946/1, NE/H014896/1, bas0100030, NE/H014810/1, NE/H014632/1, bas0100024] Funding Source: researchfish</t>
  </si>
  <si>
    <t>Thanks to Harriet Jenkins and Arabella Sturgess for their assistance in the laboratory, and to Peter Convey and three anonymous reviewers for comments on the manuscript. JR is funded by Natural Environment Research Council grant NE/H014896/1.</t>
  </si>
  <si>
    <t>10.1111/gcb.12774</t>
  </si>
  <si>
    <t>CB8QS</t>
  </si>
  <si>
    <t>WOS:000349896400004</t>
  </si>
  <si>
    <t>Robinson, LM; Gledhill, DC; Moltschaniwskyj, NA; Hobday, AJ; Frusher, S; Barrett, N; Stuart-Smith, J; Pecl, GT</t>
  </si>
  <si>
    <t>Robinson, L. M.; Gledhill, D. C.; Moltschaniwskyj, N. A.; Hobday, A. J.; Frusher, S.; Barrett, N.; Stuart-Smith, J.; Pecl, G. T.</t>
  </si>
  <si>
    <t>Rapid assessment of an ocean warming hotspot reveals high confidence in potential species' range extensions</t>
  </si>
  <si>
    <t>CLIMATE-CHANGE; MARINE; SHIFTS; MANAGEMENT; ADAPTATION; FISHES</t>
  </si>
  <si>
    <t>Shifts in species' ranges are one of the most frequently reported and globally ubiquitous impacts of climate change, with rates of movement being particularly high in the sea. The arrival of multiple range extending species can cause serious issues for natural resource managers; some species threaten ecosystem function while others present social and/or economic opportunities. An early indication of which species are potentially extending their ranges can provide useful guidance for managers regarding future investments in impact assessment, monitoring or potential management intervention. Given that scientific monitoring data on potential range shifting species are often sparse in the marine environment a rapid assessment that utilises and assimilates disparate data sources that vary in quality, quantity and collection methods is needed. Off the east coast of Tasmania surface waters have been warming at almost four times the global average and dozens of species range shifts have already been documented. Building on existing methods used in the early detection of invasive species, we developed a cost-effective and rapid screening assessment tool that uses monitoring data from a variety of sources, particularly from the citizen science program Redmap, to classify levels of confidence in potential range extensions over a three year time period (2009-2012) for a variety of marine species. From our assessment of 47 species, eight were classified with high confidence as potentially extending their ranges. The high confidence classification of these species suggests they should be a priority when investigating potential ecosystem and socio-economic impacts. (C) 2014 The Authors. Published by Elsevier Ltd.</t>
  </si>
  <si>
    <t>[Robinson, L. M.; Moltschaniwskyj, N. A.; Frusher, S.; Barrett, N.; Stuart-Smith, J.; Pecl, G. T.] Univ Tasmania, Inst Marine &amp; Antarctic Studies, Fisheries Aquaculture &amp; Coasts, Hobart, Tas 7001, Australia; [Gledhill, D. C.; Hobday, A. J.] CSIRO Marine &amp; Atmospher Res, CSIRO Wealth Oceans and Climate Adaptat Flagships, Hobart, Tas 7001, Australia; [Moltschaniwskyj, N. A.] Univ Newcastle, Sch Environm &amp; Life Sci, Ourimbah, NSW 2258, Australia</t>
  </si>
  <si>
    <t>University of Tasmania; Commonwealth Scientific &amp; Industrial Research Organisation (CSIRO); University of Newcastle</t>
  </si>
  <si>
    <t>Robinson, LM (corresponding author), Commiss Conservat Antarctic Marine Living Resourc, 181 Macquarie St, Hobart, Tas 7000, Australia.</t>
  </si>
  <si>
    <t>Hobday, Alistair/A-1460-2012; Pecl, Gretta/D-7267-2011; Moltschaniwskyj, Natalie/AAB-7236-2019; Barrett, Neville/J-7593-2014</t>
  </si>
  <si>
    <t>Pecl, Gretta/0000-0003-0192-4339; Barrett, Neville/0000-0002-6167-1356; Moltschaniwskyj, Natalie/0000-0001-9709-9876; Robinson, Lucy/0000-0001-9324-401X</t>
  </si>
  <si>
    <t>Tasmanian Climate Change Office; James Cook University; University of Tasmania; University of Western Australia</t>
  </si>
  <si>
    <t>The Tasmanian Climate Change Office provided funding for workshops and some salary costs. The Australian National Network in Marine Science, a collaborative funding initiative between James Cook University, the University of Tasmania, and the University of Western Australia, provided additional salary support. Rick Stuart-Smith and Graham Edgar provided expert knowledge on species traits, comments on the analysis and the provision of Reef Life Survey data. Amanda Bates made valuable comments on the analysis and an earlier version of the manuscript. Peter Walsh, Carolina Zagal, Elsa Gartner, Justin Hulls and Craig Mundy and other workshop participants (Gary Jackson, Rod Peam and Julian Harrington) provided valuable input. Most importantly, for their generous donation of time and their ongoing interest, we thank the volunteer fishers and divers of Tasmania who provided much of the data underpinning this manuscript.</t>
  </si>
  <si>
    <t>10.1016/j.gloenvcha.2014.12.003</t>
  </si>
  <si>
    <t>CJ3BU</t>
  </si>
  <si>
    <t>WOS:000355359200004</t>
  </si>
  <si>
    <t>Lee, C; Oh, J; Hong, C; Youn, J</t>
  </si>
  <si>
    <t>Lee, Changno; Oh, Jaehong; Hong, Changhee; Youn, Junhee</t>
  </si>
  <si>
    <t>Automated Generation of a Digital Elevation Model Over Steep Terrain in Antarctica From High-Resolution Satellite Imagery</t>
  </si>
  <si>
    <t>Antarctic; digital elevation model (DEM); epipolar; image patch; stereo matching</t>
  </si>
  <si>
    <t>ICE; ACCURACY; LAND; DEM</t>
  </si>
  <si>
    <t>The automated generation of a digital elevation model over the Antarctic using stereo matching high-resolution satellite images is a challenging task. Moreover, the homogeneous radiometry in the icy environment and the strong geometric dissimilarity between stereo pairs over the steep terrain limit the use of area-based matching techniques. To overcome this issue, we propose template matching with image transformation in order to reduce the geometric dissimilarity. First, we generated epipolar resampled images to ensure the ease of estimation and handling of image dissimilarities from various viewing directions. We then utilized the normalized cross-correlation (NCC) and transformed the image patches within the matching window along the sample, line, and diagonal directions in order to improve the match rates within the steep areas. Furthermore, we tested the proposed method using Antarctic IKONOS stereo images and found that the overall matching success rate improved from 93.5% to 97.0% for all image pixels. We then computed the success rates over an area in which the NCC produced a low elevation point density and observed a more significant improvement from 58.7% to 79.26%. When compared to the manually generated elevation, the maximum vertical difference improved from 11.4 to 4.7 m. With these improvements, we can build a 1-m resolution elevation model over the glaciated high relief terrain.</t>
  </si>
  <si>
    <t>[Lee, Changno] Seoul Natl Univ Sci &amp; Technol, Seoul 139743, South Korea; [Oh, Jaehong] Chonnam Natl Univ, Kwangju 500757, South Korea; [Hong, Changhee] Korea Inst Construct Technol, Informat &amp; Commun Technol Convergence &amp; Integrat, Goyang Si 411712, South Korea; [Youn, Junhee] Korea Inst Construct Technol, Goyang Si 411712, South Korea</t>
  </si>
  <si>
    <t>Seoul National University of Science &amp; Technology; Chonnam National University</t>
  </si>
  <si>
    <t>Lee, C (corresponding author), Seoul Natl Univ Sci &amp; Technol, Seoul 139743, South Korea.</t>
  </si>
  <si>
    <t>changno@seoultech.ac.kr; ojh@chonnam.ac.kr; chhong@kict.re.kr; younj@kict.re.kr</t>
  </si>
  <si>
    <t>Lee, Changno/GQH-6348-2022</t>
  </si>
  <si>
    <t>Oh, Jaehong/0000-0002-7426-6878; lee, changno/0000-0002-4986-3339</t>
  </si>
  <si>
    <t>strategic research project (Development of Extreme Cold Region Site Investigation and Monitoring System) - Korea Institute of Construction Technology</t>
  </si>
  <si>
    <t>This work was supported by a grant from a strategic research project (Development of Extreme Cold Region Site Investigation and Monitoring System) funded by the Korea Institute of Construction Technology.</t>
  </si>
  <si>
    <t>10.1109/TGRS.2014.2335773</t>
  </si>
  <si>
    <t>AR9MZ</t>
  </si>
  <si>
    <t>WOS:000343900600005</t>
  </si>
  <si>
    <t>Balaram, V; Roy, P; Subramanyam, KSV; Durai, L; Mohan, MR; Satyanarayanan, M; Sawant, SS; Kamal, SSK; Vani, K</t>
  </si>
  <si>
    <t>Balaram, V; Roy, Parijat; Subramanyam, K. S., V; Durai, L.; Mohan, Ram M.; Satyanarayanan, M.; Sawant, S. S.; Kamal, Kalyan S. S.; Vani, K.</t>
  </si>
  <si>
    <t>REE geochemistry of seawater from Afanasy-Nikitin Seamount in North Central Indian Ocean by high resolution inductively coupled plasma mass spectrometry</t>
  </si>
  <si>
    <t>INDIAN JOURNAL OF GEO-MARINE SCIENCES</t>
  </si>
  <si>
    <t>Sea water; rare earth elements; Afanasy-Nikitin Seamount; Indian Ocean; HR-ICP-MS; HDEHP; Ce-anomaly</t>
  </si>
  <si>
    <t>RARE-EARTH-ELEMENTS; TRACE-ELEMENTS; PRECONCENTRATION; SEPARATION; METALS; CRUST</t>
  </si>
  <si>
    <t>REE (Rare Earth Elements) and yttrium in sea water samples, from the Afanasy-Nikitin Seamount (ANS) located around 3 degrees South latitude and 83 degrees East longitude in the north central Indian Ocean were precisely determined by high resolution inductively coupled plasma mass spectrometry (HR-ICP-MS) method. A modified procedure has been designed for determination of REE and yttrium wherein the water samples were subjected to a pre-concentration step using bis-2-ethylhexyl phosphoric acid (HDEHP) complexing agent. Sea water reference materials such as NASS-5 and SLEW-3 were used for calibration as well as to check the accuracy of the procedure adopted. Samples were analyzed for REE and yttrium by HR-ICP-MS. Precisions achieved for various rare earths and yttrium is better than 8% RSD with comparable accuracies. Limit of detection (3 sigma) were generally in the range of 0.02-1.2 pg/ml range for all these elements. This method facilitates rapid and interference-free determination of REE and yttrium from relatively small volume of sea water (10 ml). Recoveries for different REE and Y were better than 5%, and accuracy and precision of the determinations are within 8% RSD The Ce-negative anomalies with smooth normalized-REE patterns obtained for both certified reference materials and samples further substantiate that the procedure adopted and the data generated are extremely accurate. A slight enrichment of heavy REE were observed in the central Indian Ocean waters which might be attributed to the river flows containing more dissolved trace elements including REE. A sharp negative Ce-anomaly in the normalized REE distribution patterns indicates that the source of REE in particular Ce in marine sediments is seawater. Results of the variation in REE concentrations with depth indicated that the physico-chemical conditions of bottom ocean water follow a very complex mechanism.</t>
  </si>
  <si>
    <t>[Balaram, V; Subramanyam, K. S., V; Mohan, Ram M.; Satyanarayanan, M.; Sawant, S. S.; Vani, K.] Natl Geophys Res Inst, CSIR, Hyderabad 500007, Andhra Pradesh, India; [Roy, Parijat] Natl Ctr Antarctic &amp; Ocean Res, Vasco Da Gama 403804, Goa, India; [Durai, L.; Kamal, Kalyan S. S.] Def Met Res Lab, Hyderabad 500058, Andhra Pradesh, India</t>
  </si>
  <si>
    <t>Council of Scientific &amp; Industrial Research (CSIR) - India; CSIR - National Geophysical Research Institute (NGRI); Ministry of Earth Sciences (MoES) - India; National Centre for Polar and Ocean Research (NCPOR); Defence Research &amp; Development Organisation (DRDO); Defence Metallurgical Research Laboratory (DMRL)</t>
  </si>
  <si>
    <t>Balaram, V (corresponding author), Natl Geophys Res Inst, CSIR, Hyderabad 500007, Andhra Pradesh, India.</t>
  </si>
  <si>
    <t>balaram1951@yahoo.com</t>
  </si>
  <si>
    <t>VYSETTI, BALARAM/AAF-6549-2020</t>
  </si>
  <si>
    <t>Satyanarayanan, Manavalan/0000-0002-7569-4997</t>
  </si>
  <si>
    <t>MoES, Government of India</t>
  </si>
  <si>
    <t>MoES, Government of India(Ministry of Earth Science (MoES), Government of India)</t>
  </si>
  <si>
    <t>This work was carried out from MoES, Government of India, funding. Authors thank Prof. Mrinal K. Sen, Director, National Geophysical Research Institute, Hyderabad, Dr. G. Malakondaiah, Director, Defense Metallurgical Research Laboratory, Hyderabad and Dr. S. Rajan, Director, NCAOR for giving permission to publish this work.</t>
  </si>
  <si>
    <t>NATL INST SCIENCE COMMUNICATION-NISCAIR</t>
  </si>
  <si>
    <t>DR K S KRISHNAN MARG, PUSA CAMPUS, NEW DELHI 110 012, INDIA</t>
  </si>
  <si>
    <t>0379-5136</t>
  </si>
  <si>
    <t>0975-1033</t>
  </si>
  <si>
    <t>INDIAN J GEO-MAR SCI</t>
  </si>
  <si>
    <t>Indian J. Geo-Mar. Sci.</t>
  </si>
  <si>
    <t>DQ1RH</t>
  </si>
  <si>
    <t>WOS:000378977600008</t>
  </si>
  <si>
    <t>Yin, FW; Liu, XY; Fan, XR; Zhou, DY; Xu, WS; Zhu, BW; Murata, YY</t>
  </si>
  <si>
    <t>Yin, Fa-Wen; Liu, Xiao-Yang; Fan, Xin-Ru; Zhou, Da-Yong; Xu, Wen-Si; Zhu, Bei-Wei; Murata, Yoshi-Yuki</t>
  </si>
  <si>
    <t>Extrusion of Antarctic krill (Euphausia superba) meal and its effect on oil extraction</t>
  </si>
  <si>
    <t>INTERNATIONAL JOURNAL OF FOOD SCIENCE AND TECHNOLOGY</t>
  </si>
  <si>
    <t>Extraction; separation; extrusion; fatty acid; krill meal; oils; phospholipids</t>
  </si>
  <si>
    <t>LIPID COMPLEX-FORMATION; SINGLE-SCREW EXTRUSION; FATTY-ACIDS; SUPPLEMENTATION; TRIAL</t>
  </si>
  <si>
    <t>Antarctic krill meal as well as mixed krill meal and starches were extruded through a twin-screw extruder. The extrudates were hard and porous agglomerates. The pellets still showed intact structure without obvious disintegration in response to hexane extraction. The oil recovery rates for raw krill meal and the extrudate of single krill meal were 55.08% and 59.08%, respectively. For extrudates, oil recovery rate increased along with the increasing additive amount of starches, with a maximum of 83.13%. Oil extracted from raw krill meal contained 49.30% of triglycerides (TG), 44.16% of phospholipids (PL), 1.45% of free fatty acids (FFA) and 4.69% of cholesterols (CHO). Meanwhile, polyunsaturated fatty acids (PUFA), monounsaturated fatty acids (MUFA) and saturated fatty acids (SFA) account for 20.89%, 37.84% and 41.27% of the total fatty acids, respectively. By contrast, oils extracted from extrudates contained more TG but less PL and more SFA but less PUFA.</t>
  </si>
  <si>
    <t>[Yin, Fa-Wen; Liu, Xiao-Yang; Fan, Xin-Ru; Zhou, Da-Yong; Xu, Wen-Si; Zhu, Bei-Wei] Dalian Polytech Univ, Sch Food Sci &amp; Technol, Dalian 116034, Peoples R China; [Yin, Fa-Wen; Liu, Xiao-Yang; Zhou, Da-Yong; Xu, Wen-Si; Zhu, Bei-Wei] Natl Engn Res Ctr Seafood, Dalian 116034, Peoples R China; [Murata, Yoshi-Yuki] Okayama Univ, Dept Biol Resources Chem, Fac Agr, Okayama 7008530, Japan</t>
  </si>
  <si>
    <t>Dalian Polytechnic University; Dalian Polytechnic University; Okayama University</t>
  </si>
  <si>
    <t>Liu, XY (corresponding author), Dalian Polytech Univ, Sch Food Sci &amp; Technol, Dalian 116034, Peoples R China.</t>
  </si>
  <si>
    <t>690848382@qq.com</t>
  </si>
  <si>
    <t>Murata, Yoshiyuki/B-2098-2011</t>
  </si>
  <si>
    <t>National High Technology Research and Development Program of China (863 Program) [2011AA090801, 2011 AA100803]; Organization Project for National Engineering Research Center of Seafood - Ministry of Science and Technology of the People's Republic of China [2012FU125X03]</t>
  </si>
  <si>
    <t>National High Technology Research and Development Program of China (863 Program)(National High Technology Research and Development Program of China); Organization Project for National Engineering Research Center of Seafood - Ministry of Science and Technology of the People's Republic of China</t>
  </si>
  <si>
    <t>This work was financially supported by 'The National High Technology Research and Development Program of China (863 Program) (No. 2011AA090801; 2011 AA100803)' and 'Organization Project for National Engineering Research Center of Seafood funded by Ministry of Science and Technology of the People's Republic of China (No. 2012FU125X03)'.</t>
  </si>
  <si>
    <t>0950-5423</t>
  </si>
  <si>
    <t>1365-2621</t>
  </si>
  <si>
    <t>INT J FOOD SCI TECH</t>
  </si>
  <si>
    <t>Int. J. Food Sci. Technol.</t>
  </si>
  <si>
    <t>10.1111/ijfs.12673</t>
  </si>
  <si>
    <t>Food Science &amp; Technology</t>
  </si>
  <si>
    <t>CB9OD</t>
  </si>
  <si>
    <t>WOS:000349960200009</t>
  </si>
  <si>
    <t>Parrilli, E; Papa, R; Carillo, S; Tilotta, M; Casillo, A; Sannino, F; Cellini, A; Artini, M; Selan, L; Corsaro, MM; Tutino, ML</t>
  </si>
  <si>
    <t>Parrilli, E.; Papa, R.; Carillo, S.; Tilotta, M.; Casillo, A.; Sannino, F.; Cellini, A.; Artini, M.; Selan, L.; Corsaro, M. M.; Tutino, M. L.</t>
  </si>
  <si>
    <t>Anti-biofilm activity of pseudoalteromonas haloplanktis tac125 against staphylococcus epidermidis biofilm: Evidence of a signal molecule involvement?</t>
  </si>
  <si>
    <t>INTERNATIONAL JOURNAL OF IMMUNOPATHOLOGY AND PHARMACOLOGY</t>
  </si>
  <si>
    <t>antibiofilm; Bioflux; dynamic biofilm assay; P. haloplanktis TAC125; S. epidermidis biofilm</t>
  </si>
  <si>
    <t>PSEUDOMONAS-AERUGINOSA; LUXS; INFECTIONS; BACTERIUM; VIRULENCE; AUREUS; INHIBITION</t>
  </si>
  <si>
    <t>Staphylococcus epidermidis is recognized as cause of biofilm-associated infections and interest in the development of new approaches for S. epidermidis biofilm treatment has increased. In a previous paper we reported that the supernatant of Antarctic bacterium Pseudoalteromonas haloplanktis TAC125 presents an anti-biofilm activity against S. epidermidis and preliminary physico-chemical characterization of the supernatant suggested that this activity is due to a polysaccharide. In this work we further investigated the chemical nature of the anti-biofilm P. haloplanktis TAC125 molecule. The production of the molecule was evaluated in different conditions, and reported data demonstrated that it is produced in all P. haloplanktis TAC125 biofilm growth stages, also in minimal medium and at different temperatures. By using a surface coating assay, the surfactant nature of the anti-biofilm compound was excluded. Moreover, a purification procedure was set up and the analysis of an enriched fraction demonstrated that the anti-biofilm activity is not due to a polysaccharide molecule but that it is due to small hydrophobic molecules that likely work as signal. The enriched fraction was also used to evaluate the effect on S. epidermidis biofilm formation in dynamic condition by BioFlux system.</t>
  </si>
  <si>
    <t>[Parrilli, E.; Carillo, S.; Casillo, A.; Sannino, F.; Corsaro, M. M.; Tutino, M. L.] Univ Naples Federico II, Dept Chem Sci, I-80126 Naples, Italy; [Papa, R.; Tilotta, M.; Cellini, A.; Artini, M.; Selan, L.] Univ Roma La Sapienza, Dept Publ Hlth &amp; Infect Dis, I-00185 Rome, Italy; [Sannino, F.] CNR, Inst Prot Biochem, I-80125 Naples, Italy</t>
  </si>
  <si>
    <t>University of Naples Federico II; Sapienza University Rome; Consiglio Nazionale delle Ricerche (CNR); Istituto di Biochimica delle Proteine (IBP-CNR)</t>
  </si>
  <si>
    <t>Parrilli, E (corresponding author), Univ Naples Federico II, Dept Chem, Complesso Univ Monte St Angelo,Via Cinthia 4, I-80126 Naples, Italy.</t>
  </si>
  <si>
    <t>erparril@unina.it</t>
  </si>
  <si>
    <t>Corsaro, Maria Michela/T-6190-2019; Carillo, Sara/IYS-3306-2023; parrilli, ermenegilda/K-4616-2016; parrilli, ermenegilda/JAZ-0586-2023; TUTINO, MARIA LUISA/L-1834-2013</t>
  </si>
  <si>
    <t>Corsaro, Maria Michela/0000-0002-6834-8682; parrilli, ermenegilda/0000-0002-9002-5409; Carillo, Sara/0000-0002-5943-8993; Tutino, Maria Luisa/0000-0002-4978-6839; Sannino, Filomena/0000-0002-3013-8321</t>
  </si>
  <si>
    <t>Programma Nazionale di Ricerche in Antartide [2013/B1.04 Tutino]</t>
  </si>
  <si>
    <t>Programma Nazionale di Ricerche in Antartide(Ministry of Education, Universities and Research (MIUR))</t>
  </si>
  <si>
    <t>This work was supported by Programma Nazionale di Ricerche in Antartide 2013/B1.04 Tutino.</t>
  </si>
  <si>
    <t>0394-6320</t>
  </si>
  <si>
    <t>INT J IMMUNOPATH PH</t>
  </si>
  <si>
    <t>Int. J. Immunopathol. Pharmacol.</t>
  </si>
  <si>
    <t>10.1177/0394632015572751</t>
  </si>
  <si>
    <t>Immunology; Pathology; Pharmacology &amp; Pharmacy</t>
  </si>
  <si>
    <t>CE5AG</t>
  </si>
  <si>
    <t>WOS:000351841500013</t>
  </si>
  <si>
    <t>Mence, D</t>
  </si>
  <si>
    <t>Mence, David</t>
  </si>
  <si>
    <t>The cetacean right to life revisited</t>
  </si>
  <si>
    <t>INTERNATIONAL JOURNAL OF LAW IN CONTEXT</t>
  </si>
  <si>
    <t>INTERNATIONAL-LAW; WHALES; DESCARTES; ANIMALS</t>
  </si>
  <si>
    <t>Many cetaceans are borderline persons and, as such, have a right to life. This is partly a normative and partly a positive legal claim. While many philosophers agree that cetaceans possess limited moral rights, it can also be shown that most states already behave as though they possess limited legal rights. The most basic of these, the right to life, reflects shifting contemporary norms-especially given scientific evidence as to cetacean sentience, intelligence and autonomy-and the consolidation of customary international law. The recent decision of the International Court of Justice in Whaling in the Antarctic (2014) includes important obiter dicta to this effect and arguably suggests an avenue for future doctrinal development in this area. Nevertheless, while the cetacean right to life already exists, there are a number of obstacles that preclude its enforcement. Perhaps the most significant of these remain the traditional status of the world's oceans as a global commons and the weak sovereignty of international law.</t>
  </si>
  <si>
    <t>[Mence, David] Univ Melbourne, Sch Social &amp; Polit Sci, Melbourne, Vic, Australia</t>
  </si>
  <si>
    <t>University of Melbourne; Melbourne Bioinformatics</t>
  </si>
  <si>
    <t>Mence, D (corresponding author), Univ Melbourne, Sch Social &amp; Polit Sci, Melbourne, Vic, Australia.</t>
  </si>
  <si>
    <t>dmence@unimelb.edu.au</t>
  </si>
  <si>
    <t>Mence, David/AAL-8116-2020</t>
  </si>
  <si>
    <t>1744-5523</t>
  </si>
  <si>
    <t>1744-5531</t>
  </si>
  <si>
    <t>INT J LAW CONTEXT</t>
  </si>
  <si>
    <t>Int. J. Law Context</t>
  </si>
  <si>
    <t>10.1017/S1744552314000342</t>
  </si>
  <si>
    <t>V86UR</t>
  </si>
  <si>
    <t>WOS:000212613600002</t>
  </si>
  <si>
    <t>Rayment, W; Dawson, S; Webster, T</t>
  </si>
  <si>
    <t>Rayment, William; Dawson, Steve; Webster, Trudi</t>
  </si>
  <si>
    <t>Breeding status affects fine-scale habitat selection of southern right whales on their wintering grounds</t>
  </si>
  <si>
    <t>Auckland Islands; calving habitat; Eubalaena australis; New Zealand; shelter; southern right whale; species-habitat model; wave model</t>
  </si>
  <si>
    <t>ATLANTIC RIGHT WHALE; SPECIES DISTRIBUTION MODELS; GENERALIZED ADDITIVE-MODELS; SOUTHEASTERN UNITED-STATES; FEMALE HUMPBACK WHALES; EUBALAENA-AUSTRALIS; MEGAPTERA-NOVAEANGLIAE; ACOUSTIC COMMUNICATION; PHOCOENA-PHOCOENA; CALVING GROUNDS</t>
  </si>
  <si>
    <t>AimTo develop and validate a model for fine-scale distribution of southern right whales (Eubalaena australis) on their calving grounds, accounting for breeding status. LocationPort Ross, a harbour at the northern end of the sub-Antarctic Auckland Islands, approximately 450km south of mainland New Zealand. MethodsSpecies-habitat surveys were conducted during annual winter expeditions to the Auckland Islands from 2010 to 2012. Presence locations for groups including calves (calf groups; n=462) and not including calves (non-calf groups; n=313) were recorded during small-boat surveys of Port Ross, and an equal number of pseudo-absence locations were generated in a GIS analysis. Explanatory variables tested were water depth, seabed slope, distance to coast, distance to shelter from prevailing wind and average wave exposure (estimated from a custom-built wave model). The occurrence of calf groups and non-calf groups was separately related to explanatory variables using binomial generalized additive models, with best models chosen via the minimum Akaike information criterion score. Multi-fold validation was conducted to assess model performance and temporal variation in distribution. ResultsThe best models for calf groups were consistent, always including wave exposure, distance to shelter, depth and distance to the coastline. In contrast, the best non-calf group models were more variable and explained only a small proportion of the variation in the data. Validation metrics indicated that the calf group models were useful predictors of distribution in Port Ross during winter, and that the calf group models performed better than the non-calf models using the same suite of environmental variables. Main conclusionsBreeding female southern right whales seek sheltered, nearshore waters during the early life-stages of their calves and are more selective of these habitats than non-calving whales. The results highlight the importance of sheltered habitat for taxa with vulnerable life-history stages, and the need to account for reproductive status to refine species-habitat models.</t>
  </si>
  <si>
    <t>[Rayment, William; Dawson, Steve; Webster, Trudi] Univ Otago, Dept Marine Sci, Dunedin 9054, New Zealand</t>
  </si>
  <si>
    <t>Rayment, W (corresponding author), Univ Otago, Dept Marine Sci, POB 56, Dunedin 9054, New Zealand.</t>
  </si>
  <si>
    <t>will.rayment@otago.ac.nz</t>
  </si>
  <si>
    <t>Webster, Trudi/0000-0002-3507-1162; Dawson, Stephen/0000-0003-3182-0186</t>
  </si>
  <si>
    <t>Foundation for Research, Science and Technology (FRST); University of Otago; New Zealand Whale Dolphin Trust; Otago Museum; FRST post-doctoral fellowship; University of Otago PhD scholarship</t>
  </si>
  <si>
    <t>Foundation for Research, Science and Technology (FRST)(New Zealand Foundation for Research, Science and Technology); University of Otago; New Zealand Whale Dolphin Trust; Otago Museum; FRST post-doctoral fellowship(New Zealand Foundation for Research, Science and Technology); University of Otago PhD scholarship</t>
  </si>
  <si>
    <t>We thank those who assisted with data collection: Liz Slooten, Anthony Davidson, Lucy Rowe, Richard Kinsey, Kath Blakemore, Tim Cole, Tim Lever and Sophie Fern. We are hugely grateful to the crew of R/V Polaris II (Bill Dickson, Phil Heseltine, Steve Little and Evan Kenton) for delivering us safely to and from the Auckland Islands, and for supporting our daily fieldwork. Thanks to Laura Boren, Doug Veint, Pete McLelland, Gilly Adam, Jo Hiscock and Sharon Trainor (Department of Conservation) for assisting with permitting and procedures. We sincerely thank Leigh Torres for help and advice with survey design and analysis, Hamish Bowman for building the wave model, Simon Childerhouse for discussions on project planning, and Gary Wilson for help and advice with logistics. The work was conducted under Department of Conservation permit 2010/05 issued to W. R. and S. D. Funding was provided by the Foundation for Research, Science and Technology (FRST), University of Otago, New Zealand Whale &amp; Dolphin Trust, and Otago Museum. W. R. was supported by a FRST post-doctoral fellowship and T. W. by a University of Otago PhD scholarship. The manuscript was greatly improved by comments and analysis suggestions from three anonymous referees and the handling editor, Alistair Crame.</t>
  </si>
  <si>
    <t>10.1111/jbi.12443</t>
  </si>
  <si>
    <t>CC7PG</t>
  </si>
  <si>
    <t>WOS:000350559900005</t>
  </si>
  <si>
    <t>Lu, H; Bracegirdle, TJ; Phillips, T; Turner, J</t>
  </si>
  <si>
    <t>Lu, Hua; Bracegirdle, Thomas J.; Phillips, Tony; Turner, John</t>
  </si>
  <si>
    <t>A Comparative Study of Wave Forcing Derived from the ERA-40 and ERA-Interim Reanalysis Datasets</t>
  </si>
  <si>
    <t>LONG-TERM TRENDS; LOWER STRATOSPHERE; DATA ASSIMILATION; NORTHERN-HEMISPHERE; GENERAL-CIRCULATION; GRAVITY-WAVE; TROPOSPHERE; CLIMATE; TRANSPORT; WINTER</t>
  </si>
  <si>
    <t>The Eliassen-Palm (E-P) flux divergences derived from ERA-40 and ERA-Interim show significant differences during northern winter. The discrepancies are marked by vertically alternating positive and negative anomalies at high latitudes and are manifested via a difference in the climatology. The magnitude of the discrepancies can be greater than the interannual variability in certain regions. These wave forcing discrepancies are only partially linked to differences in the residual circulation but they are evidently related to the static stability in the affected regions. Thus, the main cause of the discrepancies is most likely an imbalance of radiative heating. Two significant sudden changes are detected in the differences between the eddy heat fluxes derived from the two reanalyses. One of the changes may be linked to the bias corrections applied to the infrared radiances from the NOAA-12 High-Resolution Infrared Radiation Sounder in ERA-40, which is known to be contaminated by volcanic aerosol from the 1991 eruption of Mt. Pinatubo. The other change may be due in part to the use of uncorrected radiances from the NOAA-15 Advanced Microwave Sounding Units by ERA-Interim since 1998. These sudden changes have the potential to alter the wave forcing trends in the affected reanalysis, suggesting that extreme care is needed when one comes to extract trends from the highly derived wave forcing quantities.</t>
  </si>
  <si>
    <t>[Lu, Hua; Bracegirdle, Thomas J.; Phillips, Tony; Turner, John] British Antarctic Survey, Cambridge CB3 0ET, England</t>
  </si>
  <si>
    <t>Lu, H (corresponding author), British Antarctic Survey, Madingley Rd, Cambridge CB3 0ET, England.</t>
  </si>
  <si>
    <t>hlu@bas.ac.uk</t>
  </si>
  <si>
    <t>Bracegirdle, Tom/AAD-6060-2020; Lu, Hua/GXA-0276-2022</t>
  </si>
  <si>
    <t>Lu, Hua/0000-0001-9485-5082; Bracegirdle, Thomas/0000-0002-8868-4739; Turner, John/0000-0002-6111-5122</t>
  </si>
  <si>
    <t>Natural Environment Research Council; NERC [bas0100023] Funding Source: UKRI; Natural Environment Research Council [bas0100023] Funding Source: researchfish</t>
  </si>
  <si>
    <t>This study is part of the British Antarctic Survey Polar Science for Planet Earth Programme funded by the Natural Environment Research Council. We acknowledge use of ECMWF reanalysis datasets and documentation at http://www.ecmwf.int. We would also like to thank the three reviewers for their detailed and constructive comments.</t>
  </si>
  <si>
    <t>10.1175/JCLI-D-14-00356.1</t>
  </si>
  <si>
    <t>WOS:000350983700012</t>
  </si>
  <si>
    <t>Piper, CL; Siciliano, SD; Winsley, T; Lamb, EG</t>
  </si>
  <si>
    <t>Piper, Candace L.; Siciliano, Steven D.; Winsley, Tristrom; Lamb, Eric G.</t>
  </si>
  <si>
    <t>Smooth brome invasion increases rare soil bacterial species prevalence, bacterial species richness and evenness</t>
  </si>
  <si>
    <t>JOURNAL OF ECOLOGY</t>
  </si>
  <si>
    <t>Bromus inermis; evenness; grassland; invasive species; nitrogen; plant-soil (below-ground) interactions; soil bacterial community; species richness; structural equation modelling</t>
  </si>
  <si>
    <t>MICROBIAL COMMUNITY STRUCTURE; PLANT DIVERSITY; ECOSYSTEM FUNCTION; NITROGEN; GRASSLAND; LITTER; BIOTA; CARBON; PH; BIODIVERSITY</t>
  </si>
  <si>
    <t>Plant and soil communities are tightly linked, but the mechanisms by which the invasion of an exotic plant and the resulting shifts in plant diversity and productivity influence soil bacterial community structure remain poorly understood. We investigated the effects of invasive smooth brome (Bromus inermis) on grassland soil bacterial community structure using massively parallel sequencing of the 16S rRNA gene to determine bacterial community richness, evenness, composition and beta diversity (UniFrac indices) of soils collected along a gradient of smooth brome abundance. We evaluated several hypotheses including: (a) that the declines in native plant diversity associated with smooth brome invasion would cause declines in bacterial community diversity and (b) that mechanisms driving smooth brome effects on bacterial community structure involved altered soil edaphic properties rather than preferential invasion in areas of high soil nitrogen and distinct soil microbial communities. Smooth brome invasion led to increased soil nitrogen, soil carbon and root biomass. Bacterial evenness and bacterial richness increased with increasing smooth brome cover, while bacterial beta diversity declined. We found no evidence of a dominant direct link between the alteration of soil edaphic properties by brome and the changes in the soil bacterial community. Rather, the main controls on the soil bacterial community were direct effects of pH and smooth brome that could not be linked to the edaphic changes. The most important effect of brome on the bacterial community was the selective suppression of dominant bacterial species, which allowed rarer bacteria to increase in relative abundance.Synthesis. Here, we show that plant community composition influences bacterial community structure at a very fine scale, but that these changes are not due to altered soil total nitrogen or carbon content. The dominant direct effect of smooth brome invasion on soil communities suggests non-edaphic, that is inter- and intratrophic, interactions among smooth brome and non-bacterial components of the soil ecosystem are key drivers of soil community structure.</t>
  </si>
  <si>
    <t>[Piper, Candace L.; Lamb, Eric G.] Univ Saskatchewan, Dept Plant Sci, Saskatoon, SK S7N 5A8, Canada; [Siciliano, Steven D.] Univ Saskatchewan, Dept Soil Sci, Saskatoon, SK S7N 5A8, Canada; [Winsley, Tristrom] Australian Antarctic Div, Dept Sustainabil Environm Water Populat &amp; Communi, Kingston, Tas 7050, Australia</t>
  </si>
  <si>
    <t>University of Saskatchewan; University of Saskatchewan; Australian Antarctic Division</t>
  </si>
  <si>
    <t>Lamb, EG (corresponding author), Univ Saskatchewan, Dept Plant Sci, 51 Campus Dr, Saskatoon, SK S7N 5A8, Canada.</t>
  </si>
  <si>
    <t>eric.lamb@usask.ca</t>
  </si>
  <si>
    <t>Siciliano, Steven D/G-3370-2011; Lamb, Eric G/D-9319-2011</t>
  </si>
  <si>
    <t>Lamb, Eric/0000-0001-5201-4541; Siciliano, Steven/0000-0002-8994-3341</t>
  </si>
  <si>
    <t>Natural Sciences and Research Council (NSERC) PGSM scholarship; NSERC Discovery grants; Department of Plant Sciences; Canadian Foundation for Innovation grant</t>
  </si>
  <si>
    <t>Natural Sciences and Research Council (NSERC) PGSM scholarship(Natural Sciences and Engineering Research Council of Canada (NSERC)); NSERC Discovery grants(Natural Sciences and Engineering Research Council of Canada (NSERC)); Department of Plant Sciences; Canadian Foundation for Innovation grant(Canada Foundation for Innovation)</t>
  </si>
  <si>
    <t>Funding came from a Natural Sciences and Research Council (NSERC) PGSM scholarship to CLP, NSERC Discovery grants to EGL and SDS, the Department of Plant Sciences, and a Canadian Foundation for Innovation grant to EGL. Sarah Hardy, Mark Sigouin, Amanda Guy, Sherri Friedrich and Martin Brummell assisted in the field and laboratory, and Jim Romo provided insightful comments.</t>
  </si>
  <si>
    <t>0022-0477</t>
  </si>
  <si>
    <t>1365-2745</t>
  </si>
  <si>
    <t>J ECOL</t>
  </si>
  <si>
    <t>J. Ecol.</t>
  </si>
  <si>
    <t>10.1111/1365-2745.12356</t>
  </si>
  <si>
    <t>Plant Sciences; Ecology</t>
  </si>
  <si>
    <t>Plant Sciences; Environmental Sciences &amp; Ecology</t>
  </si>
  <si>
    <t>CC7LM</t>
  </si>
  <si>
    <t>WOS:000350549000010</t>
  </si>
  <si>
    <t>Park, CH; Kim, KM; Elvebakk, A; Kim, OS; Jeong, G; Hong, SG</t>
  </si>
  <si>
    <t>Park, Chae Haeng; Kim, Kyung Mo; Elvebakk, Arve; Kim, Ok-Sun; Jeong, Gajin; Hong, Soon Gyu</t>
  </si>
  <si>
    <t>Algal and Fungal Diversity in Antarctic Lichens</t>
  </si>
  <si>
    <t>Cladonia; lichen-associated fungi; microalgae; Umbilicaria; Usnea</t>
  </si>
  <si>
    <t>LICHENICOLOUS FUNGI; RIBOSOMAL DNA; ALGORITHM; EVOLUTION; ANTIFUNGAL; PHYLOGENY</t>
  </si>
  <si>
    <t>The composition of lichen ecosystems except mycobiont and photobiont has not been evaluated intensively. In addition, recent studies to identify algal genotypes have raised questions about the specific relationship between mycobiont and photobiont. In the current study, we analyzed algal and fungal community structures in lichen species from King George Island, Antarctica, by pyrosequencing of eukaryotic large subunit (LSU) and algal internal transcribed spacer (ITS) domains of the nuclear rRNA gene. The sequencing results of LSU and ITS regions indicated that each lichen thallus contained diverse algal species. The major algal operational taxonomic unit (OTU) defined at a 99% similarity cutoff of LSU sequences accounted for 78.7-100% of the total algal community in each sample. In several cases, the major OTUs defined by LSU sequences were represented by two closely related OTUs defined by 98% sequence similarity of ITS domain. The results of LSU sequences indicated that lichen-associated fungi belonged to the Arthoniomycetes, Eurotiomycetes, Lecanoromycetes, Leotiomycetes, and Sordariomycetes of the Ascomycota, and Tremellomycetes and Cystobasidiomycetes of the Basidiomycota. The composition of major photobiont species and lichen-associated fungal community were mostly related to the mycobiont species. The contribution of growth forms or substrates on composition of photobiont and lichen-associated fungi was not evident.</t>
  </si>
  <si>
    <t>[Park, Chae Haeng; Kim, Ok-Sun; Hong, Soon Gyu] Korea Polar Res Inst, Div Polar Life Sci, Inchon 406840, South Korea; [Park, Chae Haeng; Jeong, Gajin] Seoul Natl Univ, Coll Nat Sci, Sch Biol Sci, Seoul 151742, South Korea; [Kim, Kyung Mo] Korea Res Inst Biosci &amp; Biotechnol, Biol Resource Ctr, Taejon, South Korea; [Elvebakk, Arve] Univ Tromso, Tromso Univ Museum, N-9037 Tromso, Norway</t>
  </si>
  <si>
    <t>Korea Institute of Ocean Science &amp; Technology (KIOST); Korea Polar Research Institute (KOPRI); Seoul National University (SNU); Korea Research Institute of Bioscience &amp; Biotechnology (KRIBB); UiT The Arctic University of Tromso</t>
  </si>
  <si>
    <t>Hong, SG (corresponding author), Korea Polar Res Inst, Div Polar Life Sci, 26 Songdomirae Ro, Inchon 406840, South Korea.</t>
  </si>
  <si>
    <t>polypore@kopri.re.kr</t>
  </si>
  <si>
    <t>Park, Chae Haeng/AAP-3939-2020</t>
  </si>
  <si>
    <t>Kim, Kyung Mo/0000-0001-5125-5079</t>
  </si>
  <si>
    <t>Korea Polar Research Institute [PE10050, PE13030, PE14020]</t>
  </si>
  <si>
    <t>Korea Polar Research Institute(Korea Polar Research Institute of Marine Research Placement (KOPRI))</t>
  </si>
  <si>
    <t>This work was supported by Korea Polar Research Institute (Grant PE10050, PE13030, and PE14020).</t>
  </si>
  <si>
    <t>10.1111/jeu.12159</t>
  </si>
  <si>
    <t>CC6TN</t>
  </si>
  <si>
    <t>WOS:000350501600004</t>
  </si>
  <si>
    <t>Drews, R; Matsuoka, K; Martín, C; Callens, D; Bergeot, N; Pattyn, F</t>
  </si>
  <si>
    <t>Drews, R.; Matsuoka, K.; Martin, C.; Callens, D.; Bergeot, N.; Pattyn, F.</t>
  </si>
  <si>
    <t>Evolution of Derwael Ice Rise in Dronning Maud Land, Antarctica, over the last millennia</t>
  </si>
  <si>
    <t>glaciology; ice rise; evolution</t>
  </si>
  <si>
    <t>WEST ANTARCTICA; EAST ANTARCTICA; SIPLE DOME; ACCUMULATION PATTERN; FLOW; RADAR; SHEET; DIVIDES; GLACIERS; LAYERS</t>
  </si>
  <si>
    <t>Ice rises situated in the ice-shelf belt around Antarctica have a spatially confined flow regime with local ice divides. Beneath the divides, ice stratigraphy often develops arches with amplitudes that record the divide's horizontal residence time and surface elevation changes. To investigate the evolution of Derwael Ice Rise, Dronning Maud Land, Antarctica, we combine radar and GPS data from three consecutive surveys, with a two-dimensional, full Stokes, thermomechanically coupled, transient ice-flow model. We find that the surface mass balance (SMB) is higher on the upwind and lower on the downwind slopes. Near the crest, the SMB is anomalously low and causes arches to form in the shallow stratigraphy, observable by radar. In deeper ice, arches are consequently imprinted by both SMB and ice rheology (Raymond effect). The data show how arch amplitudes decrease as along-ridge slope increases, emphasizing that the lateral positioning of radar cross sections is important for the arch interpretation. Using the model with three rheologies (isotropic with n=3,4.5 and anisotropic with n=3), we show that Derwael Ice Rise is close to steady state but is best explained using ice anisotropy and moderate thinning. Our preferred, albeit not unique, scenario suggests that the ice divide has existed for at least 5000 years and lowered at approximately 0.03 m a(-1) over the last 3400 years. Independent of the specific thinning scenario, our modeling suggests that Derwael Ice Rise has exhibited a local flow regime at least since the Mid-Holocene.</t>
  </si>
  <si>
    <t>[Drews, R.; Callens, D.; Pattyn, F.] Univ Libre Bruxelles, Lab Glaciol, Brussels, Belgium; [Matsuoka, K.] Norwegian Polar Res Inst, Tromso, Norway; [Martin, C.] British Antarctic Survey, Cambridge, England; [Bergeot, N.] Observ Royal Belgique, B-1180 Brussels, Belgium</t>
  </si>
  <si>
    <t>Universite Libre de Bruxelles; Norwegian Polar Institute; UK Research &amp; Innovation (UKRI); Natural Environment Research Council (NERC); NERC British Antarctic Survey</t>
  </si>
  <si>
    <t>Drews, R (corresponding author), Univ Libre Bruxelles, Lab Glaciol, Brussels, Belgium.</t>
  </si>
  <si>
    <t>rdrews@ulb.ac.be</t>
  </si>
  <si>
    <t>Pattyn, Frank/AAA-9640-2019; Drews, reinhard/AAP-4134-2021; Martin, Carlos/S-2778-2018; Matsuoka, Kenichi/B-7298-2017</t>
  </si>
  <si>
    <t>Pattyn, Frank/0000-0003-4805-5636; Drews, reinhard/0000-0002-2328-294X; Martin, Carlos/0000-0002-2661-169X; Matsuoka, Kenichi/0000-0002-3587-3405</t>
  </si>
  <si>
    <t>FNRS-FRFC (Fonds de la Recherche Scientifique) IDyRA project; FNRS-FRIA fellowship; Belgian Science Policy Office (BELSPO); InBev-Baillet Antarctica Fellowship; BELSPO project ICECON; FNRS (Credit Bref Sejour a l'etranger); NERC [bas0100027] Funding Source: UKRI; Natural Environment Research Council [bas0100027] Funding Source: researchfish</t>
  </si>
  <si>
    <t>FNRS-FRFC (Fonds de la Recherche Scientifique) IDyRA project(Fonds de la Recherche Scientifique - FNRS); FNRS-FRIA fellowship(Fonds de la Recherche Scientifique - FNRS); Belgian Science Policy Office (BELSPO)(Belgian Federal Science Policy Office); InBev-Baillet Antarctica Fellowship; BELSPO project ICECON; FNRS (Credit Bref Sejour a l'etranger)(Fonds de la Recherche Scientifique - FNRS); NERC(UK Research &amp; Innovation (UKRI)Natural Environment Research Council (NERC)); Natural Environment Research Council(UK Research &amp; Innovation (UKRI)Natural Environment Research Council (NERC))</t>
  </si>
  <si>
    <t>Financial support to R. D. is given by the FNRS-FRFC (Fonds de la Recherche Scientifique) IDyRA project and for D. C. by a FNRS-FRIA fellowship. Field work in 2010 was part of the BELISSIMA project funded through the Belgian Science Policy Office (BELSPO). Field work in 2012 and 2013 was funded by the InBev-Baillet Antarctica Fellowship and the BELSPO project ICECON. The logistics were organized by the International Polar Foundation. Radar work was supported by the Center for Ice, Climate, and Ecosystems of the Norwegian Polar Institute. A research visit for R. Drews at the British Antarctic Survey, Cambridge, was financed by FNRS (Credit Bref Sejour a l'etranger). GPS Processing was done using GAMIT/GLOBK developed by the Massachusetts Institute of Technology, Scripps Institution of Oceanography, and the Harvard University. The finite element modeling is based on the open-source code Elmer mainly developed by the CSC-IT Center for Science Ltd in Finland. Data from the ice core were provided by M. Philippe and J. L. Tison from the Laboratoire de Glaciolgie at ULB. Joel Brown gave valuable insights for the GPS and Radar processing. Pascale Defraigne provided the GPS coordinates for the base station using the PPP Atomium software. We acknowledge constructive input from Erin Pettit, Ed Waddington, Neil Ross, and Robert Bingham on an earlier version of this paper. Data collected in this study are available on PANGAEA.</t>
  </si>
  <si>
    <t>10.1002/2014JF003246</t>
  </si>
  <si>
    <t>WOS:000353694200010</t>
  </si>
  <si>
    <t>Verfaillie, D; Favier, V; Dumont, M; Jomelli, V; Gilbert, A; Brunstein, D; Gallée, H; Rinterknecht, V; Menegoz, M; Frenot, Y</t>
  </si>
  <si>
    <t>Verfaillie, Deborah; Favier, Vincent; Dumont, Marie; Jomelli, Vincent; Gilbert, Adrien; Brunstein, Daniel; Gallee, Hubert; Rinterknecht, Vincent; Menegoz, Martin; Frenot, Yves</t>
  </si>
  <si>
    <t>Recent glacier decline in the Kerguelen Islands (49°S, 69°E) derived from modeling, field observations, and satellite data</t>
  </si>
  <si>
    <t>glacier retreat; observations; modeling; MODIS satellite imagery; Kerguelen</t>
  </si>
  <si>
    <t>SURFACE MASS-BALANCE; NEW-ZEALAND; SOUTHERN ALPS; SNOW-COVER; ATMOSPHERIC CIRCULATION; SYNOPTIC CLIMATOLOGY; EQUILIBRIUM-LINE; ENERGY-BALANCE; HEAT-BALANCE; LOSS RATES</t>
  </si>
  <si>
    <t>The retreat of glaciers in the Kerguelen Islands (49 degrees S, 69 degrees E) and their associated climatic causes have been analyzed using field data and Moderate Resolution Imaging Spectroradiometer (MODIS) satellite images to validate a positive degree-day (PDD) model forced by data from local meteorological stations. Mass balance measurements made during recent field campaigns on the largest glacier of the Cook Ice Cap were compared to data from the early 1970s, providing a 40year view of the differences in the spatial distribution of surface mass balance (SMB). To obtain additional regional data for the validation of our models, we analyzed MODIS images (2000-2012) to determine if our model was capable of reproducing variations in the transient snow line. The PDD model correctly simulated the variations in the snow line, the spatial variations in the SMB, and its trend with elevation. Yet current SMB values diverge from their classic linear representation with elevation, and stake data at high altitudes now display more negative SMB values than expected. By analyzing MODIS albedo, we observed that these values are caused by the disappearance of snow and associated feedback on melt rates. In addition, certain parts of Ampere Glacier could not be reproduced by the surface energy balance model because of overaccumulation due to wind deposition. Finally, the MODIS data, field data, and our models suggest that the acceleration of glacier wastage in Kerguelen is due to reduced net accumulation and an associated rise in the snow line since the 1970s.</t>
  </si>
  <si>
    <t>[Verfaillie, Deborah; Favier, Vincent; Gilbert, Adrien; Gallee, Hubert; Menegoz, Martin] CNRS, LGGE, UMR 5183, Grenoble, France; [Verfaillie, Deborah; Favier, Vincent; Gilbert, Adrien; Gallee, Hubert; Menegoz, Martin] Univ Grenoble Alpes, LGGE, UMR 5183, Grenoble, France; [Dumont, Marie] Meteo France, CNRS, CEN, GAME UMR 3589,CNRM, Grenoble, France; [Jomelli, Vincent; Brunstein, Daniel] CNRS, LGP, UMR 8591, Meudon, France; [Rinterknecht, Vincent] Univ St Andrews, DEES, St Andrews, Fife, Scotland; [Frenot, Yves] Univ Rennes 1, CNRS, ECOBIO, UMR 6553, Rennes, France</t>
  </si>
  <si>
    <t>Communaute Universite Grenoble Alpes; Universite Grenoble Alpes (UGA); Centre National de la Recherche Scientifique (CNRS); Communaute Universite Grenoble Alpes; Universite Grenoble Alpes (UGA); Centre National de la Recherche Scientifique (CNRS); CNRS - National Institute for Earth Sciences &amp; Astronomy (INSU); Meteo France; Universite Paris-Est-Creteil-Val-de-Marne (UPEC); Centre National de la Recherche Scientifique (CNRS); CNRS - Institute of Ecology &amp; Environment (INEE); University of St Andrews; Universite de Rennes; Centre National de la Recherche Scientifique (CNRS); CNRS - Institute of Ecology &amp; Environment (INEE)</t>
  </si>
  <si>
    <t>Verfaillie, D (corresponding author), CNRS, LGGE, UMR 5183, Grenoble, France.</t>
  </si>
  <si>
    <t>deborah.verfaillie@ujf-grenoble.fr</t>
  </si>
  <si>
    <t>Menegoz, Martin/AAE-3523-2020; rinterknecht, vincent/A-9229-2010; Gilbert, Adrien/F-9354-2018; jomelli, vincent/AAO-9488-2020; Dumont, Marie/R-4507-2019; Dumont, Marie/A-7271-2015; Favier, Vincent/T-1936-2017</t>
  </si>
  <si>
    <t>Menegoz, Martin/0000-0001-7098-9270; Gilbert, Adrien/0000-0001-9009-5143; jomelli, vincent/0000-0002-4512-5216; Dumont, Marie/0000-0002-4002-5873; Rinterknecht, Vincent/0000-0002-5410-2075; Verfaillie, Deborah/0000-0003-0603-0780; Favier, Vincent/0000-0001-6024-9498; brunstein, daniel/0000-0001-5496-8349</t>
  </si>
  <si>
    <t>IPEV program [1048]; INSU program LEFE-KCRuMBLE</t>
  </si>
  <si>
    <t>IPEV program; INSU program LEFE-KCRuMBLE</t>
  </si>
  <si>
    <t>First of all, we would like to thank the Editor, Associate Editor, and reviewers for their precious advice during the review of this article. We also thank Etienne Berthier, Antoine Rabatel, Julie Gardelle, and Yves Arnaud for their help with satellite imagery and the Meteo France team at Port-aux-Francais for providing meteorological data and information about the meteorological station. Special thanks to the IPEV logistics team and all the people who helped us during the field campaigns without whose help this study would not have been possible. We also thank the French Austral and Antarctic Territories (TAAF). NCEP 1 and 2 reanalysis data were provided by the NOAA/OAR/ESRL PSD, Boulder, Colorado, USA, from their Web site at http://www.esrl.noaa.gov/psd/. ERA-40 and ERA-Interim reanalysis data were downloaded from the ECMWF data portal at http://data-portal.ecmwf.int/. MODIS Level 1B Swath images were retrieved from the LAADS at http://ladsweb.nascom.nasa.gov/ and the Landsat images from the USGS at http://glovis.usgs.gov/. The ASTER image is courtesy of the GLIMS project. Field measurements and research were funded by IPEV program 1048 (GLACIOCLIM-KESAACO) and by INSU program LEFE-KCRuMBLE.</t>
  </si>
  <si>
    <t>10.1002/2014JF003329</t>
  </si>
  <si>
    <t>WOS:000353694200014</t>
  </si>
  <si>
    <t>Evans, W; Hales, B; Strutton, PG; Shearman, RK; Barth, JA</t>
  </si>
  <si>
    <t>Evans, Wiley; Hales, Burke; Strutton, Peter G.; Shearman, R. Kipp; Barth, John A.</t>
  </si>
  <si>
    <t>Failure to bloom: Intense upwelling results in negligible phytoplankton response and prolonged CO2 outgassing over the Oregon shelf</t>
  </si>
  <si>
    <t>coastal upwelling; sea-air CO2 fluxes; outgassing; phytoplankton bloom; subduction; SST fronts</t>
  </si>
  <si>
    <t>NORTHERN CALIFORNIA; CARBON-DIOXIDE; CLIMATE-CHANGE; BOUNDARY-LAYER; COASTAL; FLUXES; CIRCULATION; SYSTEM; INTENSIFICATION; VARIABILITY</t>
  </si>
  <si>
    <t>During summer, upwelled water with elevated CO2 partial pressure (pCO(2)) and nutrients outcrops over the Oregon (OR) inner shelf. As this water transits across the shelf, high rates of primary production fueled by the upwelled nutrients results in net atmospheric CO2 drawdown. Upwelled source-waters typically have pCO(2) approaching 1000 mu atm that is then reduced to approximate to 200 mu atm. For almost the entire month of July 2008, strong and persistent upwelling brought cold (approximate to 8 degrees C), saline (approximate to 33.5), high-pCO(2) (&gt;600 mu atm) water to our midshelf buoy site, and high-pCO(2) water was broadly distributed over the shelf. Chlorophyll levels, as a proxy for phytoplankton biomass, were low (&lt; 2 mg m(-3)) on the shelf during the period of most intense upwelling, and satellite data showed no evidence of a downstream phytoplankton bloom. A small chlorophyll increase to approximate to 4 mg m(-3) was observed at our buoy site following a decrease in the strength of southward wind stress 10 days after upwelling initiated. Chlorophyll levels further increased to approximate to 10 mg m(-3) only after a cease in upwelling. These higher levels were coincident with the appearance of water masses having temperature and salinity properties distinct from recently upwelled water. We suggest that rapid offshore transport and subsequent subduction before phytoplankton populations could respond is the most likely explanation for the persistent low chlorophyll and elevated surface-water pCO(2) throughout the July upwelling event. This mechanism likely dominates under conditions of strong and persistent upwelling-favorable winds that coincide with close proximity of low-density offshore waters, which may have implications for the biogeochemical functioning of this system under future climate scenarios.</t>
  </si>
  <si>
    <t>[Evans, Wiley] NOAA, Pacific Marine Environm Lab, 7600 Sand Point Way Ne, Seattle, WA 98115 USA; [Evans, Wiley] Univ Alaska Fairbanks, Sch Fisheries &amp; Ocean Sci, Ocean Acidificat Res Ctr, Fairbanks, AK USA; [Hales, Burke; Shearman, R. Kipp; Barth, John A.] Coll Earth Ocean &amp; Atmospher Sci, Corvallis, OR USA; [Strutton, Peter G.] Univ Tasmania, Inst Marine &amp; Antarctic Studies, Hobart, Tas, Australia</t>
  </si>
  <si>
    <t>National Oceanic Atmospheric Admin (NOAA) - USA; University of Alaska System; University of Alaska Fairbanks; University of Tasmania</t>
  </si>
  <si>
    <t>Evans, W (corresponding author), NOAA, Pacific Marine Environm Lab, 7600 Sand Point Way Ne, Seattle, WA 98115 USA.</t>
  </si>
  <si>
    <t>wiley.evans@noaa.gov</t>
  </si>
  <si>
    <t>Strutton, Peter/C-4466-2011; Evans, Wiley/U-8250-2018</t>
  </si>
  <si>
    <t>Strutton, Peter/0000-0002-2395-9471; Evans, Wiley/0000-0002-5450-0903</t>
  </si>
  <si>
    <t>National Science Foundation [OCE-0424602]; NOAA through NANOOS (Northwest Association of Networked Ocean Observing Systems); Pacific Northwest Regional Association of the U.S. Integrated Ocean Observing System (IOOS); NSF [OCE-0527168, OCE-0961999, OCE-0752576]</t>
  </si>
  <si>
    <t>National Science Foundation(National Science Foundation (NSF)); NOAA through NANOOS (Northwest Association of Networked Ocean Observing Systems); Pacific Northwest Regional Association of the U.S. Integrated Ocean Observing System (IOOS); NSF(National Science Foundation (NSF))</t>
  </si>
  <si>
    <t>We thank Murray Levine, Craig Risien and Walt Waldorf for the NH-10 buoy platform and data, which is funded by the National Science Foundation through the cooperative agreement OCE-0424602 known as CMOP (Coastal Margin Observation and Prediction) and by NOAA through NANOOS (Northwest Association of Networked Ocean Observing Systems), the Pacific Northwest Regional Association of the U.S. Integrated Ocean Observing System (IOOS). We also thank Patricia Wheeler for her valuable input that improved this manuscript. We also thank Bill Peterson for allowing our participation in the July 2008 cruise, and for sharing data with us from that cruise. We thank the officers and crew of the NOAA Ship McArthur II. Internet links to the various datasets used in this manuscript are provided in the methods section, and readers may find the pCO2 data in the Coastal Carbon Data archive at the Carbon Dioxide Information and Analysis Center (http://cdiac.ornl.gov/oceans/coastal_carbon_data.html). The glider data collection and analyses were supported by NSF OCE-0527168 and OCE-0961999 to JAB and RKS. This work was supported by NSF Chemical Oceanography award OCE-0752576.</t>
  </si>
  <si>
    <t>10.1002/2014JC010580</t>
  </si>
  <si>
    <t>WOS:000353900000002</t>
  </si>
  <si>
    <t>Hoppmann, M; Nicolaus, M; Hunkeler, PA; Heil, P; Behrens, LK; König-Langlo, G; Gerdes, R</t>
  </si>
  <si>
    <t>Hoppmann, M.; Nicolaus, M.; Hunkeler, P. A.; Heil, P.; Behrens, L. -K.; Koenig-Langlo, G.; Gerdes, R.</t>
  </si>
  <si>
    <t>Seasonal evolution of an ice-shelf influenced fast-ice regime, derived from an autonomous thermistor chain</t>
  </si>
  <si>
    <t>ANTARCTIC SEA-ICE; LUTZOW-HOLM BAY; OCEANIC HEAT-FLUX; PLATELET ICE; MCMURDO SOUND; WEDDELL SEA; THERMAL-CONDUCTIVITY; VARIABILITY; GROWTH; BEHAVIOR</t>
  </si>
  <si>
    <t>Ice shelves strongly interact with coastal Antarctic sea ice and the associated ecosystem by creating conditions favorable to the formation of a sub-ice platelet layer. The close investigation of this phenomenon and its seasonal evolution remains a challenge due to logistical constraints and a lack of suitable methodology. In this study, we characterize the seasonal cycle of Antarctic fast ice adjacent to the Ekstrom Ice Shelf in the eastern Weddell Sea. We used a thermistor chain with the additional ability to record the temperature response induced by cyclic heating of resistors embedded in the chain. Vertical sea-ice temperature and heating profiles obtained daily between November 2012 and February 2014 were analyzed to determine sea-ice and snow evolution, and to calculate the basal energy budget. The residual heat flux translated into an ice-volume fraction in the platelet layer of 0.180.09, which we reproduced by a independent model simulation and agrees with earlier results. Manual drillings revealed an average annual platelet-layer thickness increase of at least 4 m, and an annual maximum thickness of 10 m beneath second-year sea ice. The oceanic contribution dominated the total sea-ice production during the study, effectively accounting for up to 70% of second-year sea-ice growth. In summer, an oceanic heat flux of 21 W m(-2) led to a partial thinning of the platelet layer. Our results further show that the active heating method, in contrast to the acoustic sounding approach, is well suited to derive the fast-ice mass balance in regions influenced by ocean/ice-shelf interaction, as it allows subdiurnal monitoring of the platelet-layer thickness.</t>
  </si>
  <si>
    <t>[Hoppmann, M.; Nicolaus, M.; Hunkeler, P. A.; Behrens, L. -K.; Koenig-Langlo, G.; Gerdes, R.] Helmholtz Zentrum Polar &amp; Meeresforsch, Alfred Wegener Inst, Bremerhaven, Germany; [Heil, P.] Dept Environm, Australian Antarctic Div, Kingston, Tas, Australia; [Heil, P.] Univ Tasmania, Antarctic Climate &amp; Ecosyst Cooperat Res Ctr, Hobart, Tas, Australia</t>
  </si>
  <si>
    <t>Helmholtz Association; Alfred Wegener Institute, Helmholtz Centre for Polar &amp; Marine Research; Australian Antarctic Division; Antarctic Climate &amp; Ecosystems Cooperative Research Centre (ACE CRC); University of Tasmania</t>
  </si>
  <si>
    <t>Hoppmann, M (corresponding author), Helmholtz Zentrum Polar &amp; Meeresforsch, Alfred Wegener Inst, Bremerhaven, Germany.</t>
  </si>
  <si>
    <t>Mario.Hoppmann@awi.de</t>
  </si>
  <si>
    <t>Nicolaus, Marcel/A-3658-2013; Hoppmann, Mario/KFB-0363-2024; Konig-Langlo, Gert/K-5048-2012</t>
  </si>
  <si>
    <t>Nicolaus, Marcel/0000-0003-0903-1746; Hoppmann, Mario/0000-0003-1294-9531; Konig-Langlo, Gert/0000-0002-6100-4107; Heil, Petra/0000-0003-2078-0342</t>
  </si>
  <si>
    <t>German Research Council (DFG) [SPP1158, NI 1092/2, HE2740/12,]; Alfred-Wegener-Institut Helmholtz-Zentrum fur Polarund Meeresforschung; AAS [4301]; Australian Government's Cooperative Research Centre's Program through Antarctic Climate and Ecosystems Cooperative Research Centre</t>
  </si>
  <si>
    <t>German Research Council (DFG)(German Research Foundation (DFG)); Alfred-Wegener-Institut Helmholtz-Zentrum fur Polarund Meeresforschung; AAS; Australian Government's Cooperative Research Centre's Program through Antarctic Climate and Ecosystems Cooperative Research Centre(Australian GovernmentDepartment of Industry, Innovation and ScienceCooperative Research Centres (CRC) Programme)</t>
  </si>
  <si>
    <t>The authors are most grateful to the Neumayer III overwintering teams in 2012 and 2013 for their support in the field. We acknowledge Lars Kindermann and Olaf Boebel for the CTD data, and Sandra Schwegmann for the buoy deployment. Our research at Neumayer III and onboard RV Polarstern ANT-XXIX/9 would not have been possible without the help of the crew and the AWI logistics. This work was supported by the German Research Council (DFG) in the framework of the priority programme Antarctic Research with comparative investigations in Arctic ice areas by grants to SPP1158, NI 1092/2 and HE2740/12, and the Alfred-Wegener-Institut Helmholtz-Zentrum fur Polarund Meeresforschung. The data used here are publicly available at http://doi.org/10.1594/PANGAEA.833978. PH was supported under AAS grant #4301 and by the Australian Government's Cooperative Research Centre's Program through the Antarctic Climate and Ecosystems Cooperative Research Centre. Finally, the authors are grateful to two anonymous reviewers whose constructive comments significantly improved this manuscript.</t>
  </si>
  <si>
    <t>10.1002/2014JC010327</t>
  </si>
  <si>
    <t>hybrid, Green Submitted, Green Published, Green Accepted</t>
  </si>
  <si>
    <t>WOS:000353900000014</t>
  </si>
  <si>
    <t>Simms, LE; Engebretson, MJ; Smith, AJ; Clilverd, M; Pilipenko, V; Reeves, GD</t>
  </si>
  <si>
    <t>Simms, Laura E.; Engebretson, Mark J.; Smith, A. J.; Clilverd, Mark; Pilipenko, Viacheslav; Reeves, Geoffrey D.</t>
  </si>
  <si>
    <t>Analysis of the effectiveness of ground-based VLF wave observations for predicting or nowcasting relativistic electron flux at geostationary orbit</t>
  </si>
  <si>
    <t>relativistic electron flux; VLF waves</t>
  </si>
  <si>
    <t>OUTER RADIATION BELT; SOLAR-WIND; GEOSYNCHRONOUS ORBIT; CHORUS WAVES; ACCELERATION; ULF; STORMS; POWER; POPULATION; PARAMETERS</t>
  </si>
  <si>
    <t>Poststorm relativistic electron flux enhancement at geosynchronous orbit has shown correlation with very low frequency (VLF) waves measured by satellite in situ. However, our previous study found little correlation between electron flux and VLF measured by a ground-based instrument at Halley, Antarctica. Here we explore several possible explanations for this low correlation. Using 220 storms (1992-2002), our previous work developed a predictive model of the poststorm flux at geosynchronous orbit based on explanatory variables measured a day or two before the flux increase. In a nowcast model, we use averages of variables from the time period when flux is rising during the recovery phase of geomagnetic storms and limit the VLF (1.0kHz) measure to the dawn period at Halley (09:00-12:00 UT). This improves the simple correlation of VLF wave intensity with flux, although the VLF effect in an overall multiple regression is still much less than that of other factors. When analyses are performed separately for season and interplanetary magnetic field (IMF) B-z orientation, VLF outweighs the influence of other factors only during winter months when IMF B-z is in an average northward orientation.</t>
  </si>
  <si>
    <t>[Simms, Laura E.; Engebretson, Mark J.] Augsburg Coll, Minneapolis, MN 55455 USA; [Smith, A. J.] VLF ELF Radio Res Inst, Bradwell, England; [Clilverd, Mark] British Antarctic Survey, Cambridge CB3 0ET, England; [Pilipenko, Viacheslav] Russian Acad Sci, Inst Phys Earth, Moscow, Russia; [Reeves, Geoffrey D.] Los Alamos Natl Lab, Los Alamos, NM USA</t>
  </si>
  <si>
    <t>Augsburg University; UK Research &amp; Innovation (UKRI); Natural Environment Research Council (NERC); NERC British Antarctic Survey; Russian Academy of Sciences; Schmidt Institute of Physics of the Earth of the Russian Academy of Sciences; United States Department of Energy (DOE); Los Alamos National Laboratory</t>
  </si>
  <si>
    <t>Simms, LE (corresponding author), Augsburg Coll, Minneapolis, MN 55455 USA.</t>
  </si>
  <si>
    <t>simmsl@augsburg.edu</t>
  </si>
  <si>
    <t>Reeves, Geoffrey/E-8101-2011</t>
  </si>
  <si>
    <t>Reeves, Geoffrey/0000-0002-7985-8098</t>
  </si>
  <si>
    <t>National Science Foundation [ATM-0827903, AGS-1264146]; Div Atmospheric &amp; Geospace Sciences; Directorate For Geosciences [1264146] Funding Source: National Science Foundation; Natural Environment Research Council [bas0100031, bas0100023] Funding Source: researchfish; NERC [bas0100031, bas0100023] Funding Source: UKRI</t>
  </si>
  <si>
    <t>National Science Foundation(National Science Foundation (NSF)); Div Atmospheric &amp; Geospace Sciences; Directorate For Geosciences(National Science Foundation (NSF)NSF - Directorate for Geosciences (GEO)); Natural Environment Research Council(UK Research &amp; Innovation (UKRI)Natural Environment Research Council (NERC)); NERC(UK Research &amp; Innovation (UKRI)Natural Environment Research Council (NERC))</t>
  </si>
  <si>
    <t>Relativistic electron and seed electron flux data were obtained from Los Alamos National Laboratory (LANL) geosynchronous energetic particle instruments (PI: G.D. Reeves). Satellite and ground-based ULF indices may be obtained by contacting L.E. Simms, V. Pilipenko, or M.J. Engebretson. Halley VLF VELOX data are from M. Clilverd. IMF Bz, V, and Dst index are available from Goddard Space Flight Center Space Physics Data Facility at the OMNIWeb data website (http://omniweb.gsfc.nasa.gov/html/ow_data.html). We thank the reviewers for their helpful comments. This work was supported by National Science Foundation grants ATM-0827903 and AGS-1264146 to Augsburg College.</t>
  </si>
  <si>
    <t>10.1002/2014JA020337</t>
  </si>
  <si>
    <t>WOS:000353237600038</t>
  </si>
  <si>
    <t>Neal, JJ; Rodger, CJ; Clilverd, MA; Thomson, NR; Raita, T; Ulich, T</t>
  </si>
  <si>
    <t>Neal, Jason J.; Rodger, Craig J.; Clilverd, Mark A.; Thomson, Neil R.; Raita, Tero; Ulich, Thomas</t>
  </si>
  <si>
    <t>Long-term determination of energetic electron precipitation into the atmosphere from AARDDVARK subionospheric VLF observations</t>
  </si>
  <si>
    <t>electron precipitation; radiation belts; subionospheric VLF propagation; AARDDVARK network</t>
  </si>
  <si>
    <t>WHISTLER-MODE CHORUS; SOLAR PROTON EVENT; RADIATION BELT; RELATIVISTIC ELECTRONS; GEOMAGNETIC STORMS; DEMETER; FLUXES; OZONE; TEMPERATURE; IONIZATION</t>
  </si>
  <si>
    <t>We analyze observations of subionospherically propagating very low frequency (VLF) radio waves to determine outer radiation belt energetic electron precipitation (EEP) flux magnitudes. The radio wave receiver in Sodankyla, Finland (Sodankyla Geophysical Observatory) observes signals from the transmitter with call sign NAA (Cutler, Maine). The receiver is part of the Antarctic-Arctic Radiation-belt Dynamic Deposition VLF Atmospheric Research Konsortia (AARDDVARK). We use a near-continuous data set spanning November 2004 until December 2013 to determine the long time period EEP variations. We determine quiet day curves over the entire period and use these to identify propagation disturbances caused by EEP. Long Wave Propagation Code radio wave propagation modeling is used to estimate the precipitating electron flux magnitudes from the observed amplitude disturbances, allowing for solar cycle changes in the ambient D region and dynamic variations in the EEP energy spectra. Our method performs well during the summer months when the daylit ionosphere is most stable but fails during the winter. From the summer observations, we have obtained 693days worth of hourly EEP flux magnitudes over the 2004-2013 period. These AARDDVARK-based fluxes agree well with independent satellite precipitation measurements during high-intensity events. However, our method of EEP detection is 10-50 times more sensitive to low flux levels than the satellite measurements. Our EEP variations also show good agreement with the variation in lower band chorus wave powers, providing some confidence that chorus is the primary driver for the outer belt precipitation we are monitoring.</t>
  </si>
  <si>
    <t>[Neal, Jason J.; Rodger, Craig J.; Thomson, Neil R.] Univ Otago, Dept Phys, Dunedin, New Zealand; [Clilverd, Mark A.] British Antarctic Survey NERC, Cambridge, England; [Raita, Tero; Ulich, Thomas] Univ Oulu, Sodankyla Geophys Observ, Sodankyla, Finland</t>
  </si>
  <si>
    <t>University of Otago; UK Research &amp; Innovation (UKRI); Natural Environment Research Council (NERC); NERC British Antarctic Survey; University of Oulu</t>
  </si>
  <si>
    <t>Rodger, CJ (corresponding author), Univ Otago, Dept Phys, Dunedin, New Zealand.</t>
  </si>
  <si>
    <t>crodger@physics.otago.ac.nz</t>
  </si>
  <si>
    <t>Ulich, Thomas/G-3727-2018; Rodger, Craig/A-1501-2011</t>
  </si>
  <si>
    <t>Ulich, Thomas/0000-0001-8217-022X; Raita, Tero/0000-0002-0455-5746; Rodger, Craig J./0000-0002-6770-2707; Neal, Jason James/0000-0003-0390-9896</t>
  </si>
  <si>
    <t>University of Otago; New Zealand Marsden Fund; Natural Environmental Research Council [NE/J008125/1]; NERC [NE/H014888/1, bas0100031, NE/J007773/1, NE/J008125/1] Funding Source: UKRI; Natural Environment Research Council [NE/J008125/1, NE/H014888/1, bas0100031, NE/J007773/1] Funding Source: researchfish</t>
  </si>
  <si>
    <t>University of Otago; New Zealand Marsden Fund(Royal Society of New ZealandMarsden Fund (NZ)); Natural Environmental Research Council(UK Research &amp; Innovation (UKRI)Natural Environment Research Council (NERC)); NERC(UK Research &amp; Innovation (UKRI)Natural Environment Research Council (NERC)); Natural Environment Research Council(UK Research &amp; Innovation (UKRI)Natural Environment Research Council (NERC))</t>
  </si>
  <si>
    <t>The authors would like to thank the researchers and engineers of NOAA's Space Environment Center for the provision of the data and the operation of the SEM-2 instrument carried on board these spacecraft. J.J.N. was supported by the University of Otago via a Research Master's Scholarship and a Postgraduate Publishing Bursary. C.J.R. and J.J.N. were (partly) supported by the New Zealand Marsden Fund. M.A.C. was supported by the Natural Environmental Research Council grant NE/J008125/1. Data availability is described at the following websites: http://www.physics.otago.ac.nz/space/AARDDVARK_homepage.htm (AARDDVARK), http://satdat.ngdc.noaa.gov/sem/poes/data/ (POES SEM-2), and http://aimos.physik.uos.de/(AIMOS).</t>
  </si>
  <si>
    <t>10.1002/2014JA020689</t>
  </si>
  <si>
    <t>WOS:000353237600049</t>
  </si>
  <si>
    <t>Pavlov, AK; Granskog, MA; Stedmon, CA; Ivanov, BV; Hudson, SR; Falk-Petersen, S</t>
  </si>
  <si>
    <t>Pavlov, Alexey K.; Granskog, Mats A.; Stedmon, Colin A.; Ivanov, Boris V.; Hudson, Stephen R.; Falk-Petersen, Stig</t>
  </si>
  <si>
    <t>Contrasting optical properties of surface waters across the Fram Strait and its potential biological implications</t>
  </si>
  <si>
    <t>Colored dissolved organic matter (CDOM); Light attenuation; Optical properties; Marine ecology; Arctic Ocean; Fram Strait</t>
  </si>
  <si>
    <t>DISSOLVED ORGANIC-MATTER; MARGINAL ICE-ZONE; ARCTIC SEA-ICE; LIGHT-ABSORPTION; STRATOSPHERIC OZONE; CHLOROPHYLL-A; BARENTS-SEA; PHYTOPLANKTON; OCEAN; MARINE</t>
  </si>
  <si>
    <t>Underwater light regime is controlled by distribution and optical properties of colored dissolved organic matter (CDOM) and particulate matter. The Fram Strait is a region where two contrasting water masses are found. Polar water in the East Greenland Current (EGC) and Atlantic water in the West Spitsbergen Current (WSC) differ with regards to temperature, salinity and optical properties. We present data on absorption properties of CDOM and particles across the Fram Strait (along 79 degrees N), comparing Polar and Atlantic surface waters in September 2009 and 2010. CDOM absorption of Polar water in the EGC was significantly higher (more than 3-fold) compared to Atlantic water in the WSC, with values of absorption coefficient, a(CDOM)(350), m(-1) of 0.565 +/- 0.100 (in 2009) and 0.458 +/- 0.117 (in 2010), and 0.138 +/- 0.036 (in 2009) and 0.153 +/- 0.039 (in 2010), respectively. An opposite pattern was observed for particle absorption with higher absorption found in the eastern part of the Fram Strait. Average values of particle absorption (a(P)(440), m(-1)) were 0.016 +/- 0.013 (in 2009) and 0.014 +/- 0.011 (in 2010), and 0.047 +/- 0.012 (in 2009) and 0.016 +/- 0.014 (in 2010), respectively for Polar and Atlantic water. Thus absorption of light in eastern part of the Fram Strait is dominated by particles predominantly phytoplankton, and the absorption of light in the western part of the strait is dominated by CDOM, with predominantly terrigenous origin. As a result the balance between the importance of CDOM and particulates to the total absorption budget in the upper 0-10 m shifts across Fram Strait. Under water spectral irradiance profiles were generated using ECOLIGHT 5.4.1 and the results indicate that the shift in composition between dissolved and particulate material does not influence substantially the penetration of photosynthetic active radiation (PAR, 400-700 nm), but does result in notable differences in ultraviolet (UV) light penetration, with higher attenuation in the EGC Future changes in the Arctic Ocean system will likely affect EGC through diminishing sea-ice cover and potentially increasing CDOM export due to increase in river runoff into the Arctic Ocean. Role of attenuation of light by CDOM in determining underwater light regime will become more important, with a potential for future increase in marine productivity in the area of EGC due to elevated PAR and lowered UV light exposures. (C) 2014 The Authors. Published by Elsevier B.V.</t>
  </si>
  <si>
    <t>[Pavlov, Alexey K.; Granskog, Mats A.; Hudson, Stephen R.; Falk-Petersen, Stig] Norwegian Polar Res Inst, Fram Ctr, N-9296 Tromso, Norway; [Pavlov, Alexey K.; Ivanov, Boris V.] Arctic &amp; Antarctic Res Inst, St Petersburg 199397, Russia; [Stedmon, Colin A.] Tech Univ Denmark, Natl Inst Aquat Resources, DK-2920 Charlottenlund, Denmark; [Ivanov, Boris V.] St Petersburg State Univ, St Petersburg 199178, Russia; [Falk-Petersen, Stig] Akvaplan Niva, Fram Ctr, N-9296 Tromso, Norway; [Falk-Petersen, Stig] UiT Arctic Univ Norway, Fac Biosci Fisheries &amp; Econ, N-9037 Tromso, Norway</t>
  </si>
  <si>
    <t>Norwegian Polar Institute; Arctic &amp; Antarctic Research Institute; Technical University of Denmark; Saint Petersburg State University; Akvaplan-niva; UiT The Arctic University of Tromso</t>
  </si>
  <si>
    <t>Pavlov, AK (corresponding author), Norwegian Polar Res Inst, Fram Ctr, N-9296 Tromso, Norway.</t>
  </si>
  <si>
    <t>pavlov.alexey.k@gmail.com</t>
  </si>
  <si>
    <t>Stedmon, Colin Andrew/B-5841-2008; Hudson, Stephen/ABD-9923-2020</t>
  </si>
  <si>
    <t>Stedmon, Colin Andrew/0000-0001-6642-9692; Hudson, Stephen/0000-0002-6498-9167; Granskog, Mats/0000-0002-5035-4347; Pavlov, Alexey/0000-0002-1978-5368</t>
  </si>
  <si>
    <t>Centre for Ice, Climate and Ecosystems (ICE) at the Norwegian Polar Institute; Russian-Norwegian (AARI-NPI) FRAM Arctic Climate Research Laboratory fellowship; Research Council of Norway's Yggdrasil program [202423/V11]; Russian Foundation for Basic Research (RFBR) [12-05-00780_a, 14-05-10065]; Roshydromet project [1.5.3.3]; Polish-Norwegian Research Programme [Pol-Nor/197511/40/2013]; Danish Strategic Research Council [10-093903]; Research Council of Norway through the STASIS project [221961/F20]; [MK-4049.2014.8]</t>
  </si>
  <si>
    <t>Centre for Ice, Climate and Ecosystems (ICE) at the Norwegian Polar Institute; Russian-Norwegian (AARI-NPI) FRAM Arctic Climate Research Laboratory fellowship; Research Council of Norway's Yggdrasil program(Research Council of Norway); Russian Foundation for Basic Research (RFBR)(Russian Foundation for Basic Research (RFBR)); Roshydromet project; Polish-Norwegian Research Programme; Danish Strategic Research Council(Danske Strategiske Forskningsrad (DSF)); Research Council of Norway through the STASIS project(Research Council of Norway);</t>
  </si>
  <si>
    <t>We thank the crew of R.V. Lance and colleagues for the help with collecting samples onboard. We thank Olga Pavlova for providing sea-ice data for the period of observations and Paul Dodd for the preparation of the CID data set and helpful comments. We thank Philipp Assmy for a helpful discussion. A.K.P., M.A.G., S.R.H. and S.F.P. were supported by the Centre for Ice, Climate and Ecosystems (ICE) at the Norwegian Polar Institute. A.K.P. was partially supported by the joint Russian-Norwegian (AARI-NPI) FRAM Arctic Climate Research Laboratory fellowship, the Research Council of Norway's Yggdrasil program 2010-11 (grant no. 202423/V11), A.K.P. and B.V.I. by the Russian Foundation for Basic Research (RFBR), research project 12-05-00780_a and 14-05-10065, Roshydromet project 1.5.3.3, and President Grant MK-4049.2014.8. A.K.P., M.A.G. and S.R.H. research work has partially received funding from the Polish-Norwegian Research Programme operated by the National Centre for Research and Development under the Norwegian Financial Mechanism 2009-2014 in the frame of Project Contract Pol-Nor/197511/40/2013, CDOM-HEAT. C.A.S. was supported by Danish Strategic Research Council to the research project NAACOS (grant 10-093903). Article preparation and publication were supported by the Research Council of Norway through the STASIS project (221961/F20).</t>
  </si>
  <si>
    <t>10.1016/j.jmarsys.2014.11.001</t>
  </si>
  <si>
    <t>AZ6MT</t>
  </si>
  <si>
    <t>WOS:000348334500006</t>
  </si>
  <si>
    <t>Qi, XQ; Wang, S; Chen, H; Li, CJ; He, YY; Zheng, Z; Wang, YB; Liu, FM; Miao, JL</t>
  </si>
  <si>
    <t>Qi Xiaoqing; Wang Shuai; Chen Hao; Li Chongjie; He Yingying; Zheng Zhou; Wang Yibin; Liu Fangming; Miao Jinlai</t>
  </si>
  <si>
    <t>Purification, Activity Assay and Optimization of Antarctic Algae Chlamydomonas sp ICE-L Photolyase Expressed in E.coli</t>
  </si>
  <si>
    <t>JOURNAL OF PURE AND APPLIED MICROBIOLOGY</t>
  </si>
  <si>
    <t>DNA; PROTEIN; MECHANISM; REPAIR; DAMAGE</t>
  </si>
  <si>
    <t>Chlamydomonas sp. ICE-L is a type of ice algae capable of withstanding the strong ultraviolet radiation in Antarctic regions. Existing research reveals that DNA photolyase is the key compound responsible for resisting UV-B radiation, repairing DNA damage, and maintaining hereditary stability. We have sequenced and analyzed the transcriptome of Chlamydomonas sp. ICE-L and identified the cyclobutane pyrimidine dimmer(CPD) gene fragment. The full-length cDNA sequence has been determined by the RACE method and analyzed using bioinformatics software. As well, a CPD photolyase recombinant gene bacteria have been engineered. To improve the protein concentration and lay foundation for further studies of photolyase function in cells and mouse skin, this article focuses on purifying the protein, sequencing the protein N-terminal, and confirming the optimal conditions for PHR2 expression. N-terminal sequencing identified the five amino acids at the N-terminal as D/Q/T/A P K R T. Response surface methodology assays confirmed the optimal conditions for recombinant bacteria expressing photolyase to be a pH of 6.98, salinity of 1.40%, 22.01 degrees C, and IPTG concentration of 0.53 mmol/L.</t>
  </si>
  <si>
    <t>[Qi Xiaoqing; Li Chongjie; He Yingying; Zheng Zhou; Wang Yibin; Liu Fangming; Miao Jinlai] State Ocean Adm, Inst Oceanog 1, Key Lab Marine Bioact Subst, Qingdao 266061, Peoples R China; [Wang Shuai] Shandong Univ Weihai, Marine Coll, Weihai 264209, Peoples R China; [Chen Hao] Qingdao Univ, Coll Med, Qingdao 266071, Peoples R China</t>
  </si>
  <si>
    <t>First Institute of Oceanography, Ministry of Natural Resources; Shandong University; Qingdao University</t>
  </si>
  <si>
    <t>Miao, JL (corresponding author), State Ocean Adm, Inst Oceanog 1, Key Lab Marine Bioact Subst, 6 Xianxialing Rd, Qingdao 266061, Peoples R China.</t>
  </si>
  <si>
    <t>miaojinlai@163.com</t>
  </si>
  <si>
    <t>He, Ying Ying/HZL-0137-2023; xin, liang/JFS-5770-2023; Zheng, Zhou/JJD-0602-2023</t>
  </si>
  <si>
    <t>He, Ying Ying/0000-0002-8759-3157;</t>
  </si>
  <si>
    <t>DR M N KHAN</t>
  </si>
  <si>
    <t>BHOPAL</t>
  </si>
  <si>
    <t>24, NEW MAULANA AZAD COLONY, NEAR ST JOSEPH GIRLS CONVENT SCH, IGDAH HILLS, BHOPAL, MADHYA PRADESH 462 001, INDIA</t>
  </si>
  <si>
    <t>0973-7510</t>
  </si>
  <si>
    <t>2581-690X</t>
  </si>
  <si>
    <t>J PURE APPL MICROBIO</t>
  </si>
  <si>
    <t>J. Pure Appl. Microbiol.</t>
  </si>
  <si>
    <t>CG8AG</t>
  </si>
  <si>
    <t>WOS:000353528400027</t>
  </si>
  <si>
    <t>Peng, DJ; Zhang, KF; Sang, JZ; Wu, SQ; Wu, B</t>
  </si>
  <si>
    <t>Peng, Dongju; Zhang, Kefei; Sang, Jizhang; Wu, Suqin; Wu, Bin</t>
  </si>
  <si>
    <t>Space-borne pseudo-range reconstruction and its performance analysis in dynamic orbit determination</t>
  </si>
  <si>
    <t>JOURNAL OF SPATIAL SCIENCE</t>
  </si>
  <si>
    <t>pseudo-range reconstruction; dynamic orbit determination; dynamic filtering; TerraSAR-X</t>
  </si>
  <si>
    <t>GPS; GRACE</t>
  </si>
  <si>
    <t>The Global Positioning System (GPS) is nowadays widely used for navigation of spacecraft in low Earth orbit (LEO). Both real-time positioning information (navigation solutions) and raw GPS measurements (pseudo-range, carrier-phase, Doppler shift and signal-to-noise ratio) are usually transmitted to ground control centres for post-processing. However, for certain LEO missions, only navigation solutions are available due to the limited capability of space-borne GPS receivers. In this case, navigation solutions are commonly used as pseudo-observations in dynamic orbit determination (referred to as dynamic filtering) to obtain a smooth and continuous orbit; however, the achievable orbit accuracy is limited since broadcast ephemeris data from the GPS navigation messages are used and the more accurate GPS orbit and clock information are only available in post-processing. In this study, a method of reconstructing space-borne pseudo-range measurements from real-time positioning information is developed, thus, the more accurate GPS orbit and clock products from the International GNSS Service (IGS) are able to be used in dynamic orbit determination. Real GPS data from the TerraSAR-X mission are used to validate this approach and its performance in dynamic orbit determination is assessed as well. Results show that the orbit accuracy of navigation solutions can be significantly improved from 15m to 5m after a dynamic filtering process is performed. A remarkably better orbit accuracy of about 0.5m is achieved in dynamic orbit determination using the reconstructed pseudo-range measurements and IGS rapid orbit and clock products; both the requirements of 24-h timeframe and an orbit accuracy of 2m for generating proper SAR images are well satisfied.</t>
  </si>
  <si>
    <t>[Peng, Dongju; Zhang, Kefei; Wu, Suqin] RMIT Univ, Melbourne, Vic, Australia; [Sang, Jizhang] Wuhan Univ, Wuhan 430072, Peoples R China; [Wu, Bin] Shanghai Astron Observ, Shanghai, Peoples R China</t>
  </si>
  <si>
    <t>Royal Melbourne Institute of Technology (RMIT); Wuhan University; Chinese Academy of Sciences; Shanghai Astronomical Observatory, CAS</t>
  </si>
  <si>
    <t>Peng, DJ (corresponding author), RMIT Univ, Melbourne, Vic, Australia.</t>
  </si>
  <si>
    <t>dongju.peng@gmail.com</t>
  </si>
  <si>
    <t>Zhang, Kefei/R-5239-2019; zhang, ke/AAH-8217-2019</t>
  </si>
  <si>
    <t>Australian Space Research Program project (ASRP2); Australia Antarctic Scheme grant [4159]</t>
  </si>
  <si>
    <t>Australian Space Research Program project (ASRP2); Australia Antarctic Scheme grant</t>
  </si>
  <si>
    <t>This research is partially supported by the Australian Space Research Program project (ASRP2) led by RMIT University and the Australia Antarctic Scheme grant (4159). The ISDC, IGS, CDDIS, ILRS and IERS are greatly appreciated for provision of the test data.</t>
  </si>
  <si>
    <t>1449-8596</t>
  </si>
  <si>
    <t>1836-5655</t>
  </si>
  <si>
    <t>J SPAT SCI</t>
  </si>
  <si>
    <t>J. Spat. Sci.</t>
  </si>
  <si>
    <t>10.1080/14498596.2014.924443</t>
  </si>
  <si>
    <t>CG2KQ</t>
  </si>
  <si>
    <t>WOS:000353103900011</t>
  </si>
  <si>
    <t>Delgado, L; Martínez, G; López-Iglesias, C; Mercadé, E</t>
  </si>
  <si>
    <t>Delgado, Lidia; Martinez, Gema; Lopez-Iglesias, Carmen; Mercade, Elena</t>
  </si>
  <si>
    <t>Cryo-electron tomography of plunge-frozen whole bacteria and vitreous sections to analyze the recently described bacterial cytoplasmic structure, the Stack</t>
  </si>
  <si>
    <t>JOURNAL OF STRUCTURAL BIOLOGY</t>
  </si>
  <si>
    <t>Cryo-electron microscopy; Cryo-electron tomography; Vitreous sections; Plunge freezing; High-pressure freezing; Stacks</t>
  </si>
  <si>
    <t>CAULOBACTER-CRESCENTUS; ELECTRON CRYOTOMOGRAPHY; DIRECT VISUALIZATION; HYDRATED SECTIONS; OUTER-MEMBRANE; MICROSCOPY; REVEALS; LOCALIZATION; MAGNETOSOMES; PERSPECTIVES</t>
  </si>
  <si>
    <t>Cryo-electron tomography (CET) of plunge-frozen whole bacteria and vitreous sections (CETOVIS) were used to revise and expand the structural knowledge of the Stack, a recently described cytoplasmic structure in the Antarctic bacterium Pseudomonas deceptionensis M1(T). The advantages of both techniques can be complementarily combined to obtain more reliable insights into cells and their components with three-dimensional imaging at different resolutions. Cryo-electron microscopy (Cryo-EM) and CET of frozen-hydrated P. deceptionensis M1(T) cells confirmed that Stacks are found at different locations within the cell cytoplasm, in variable number, separately or grouped together, very close to the plasma membrane (PM) and oriented at different angles (from 35 to 90) to the PM, thus establishing that they were not artifacts of the previous sample preparation methods. CET of plunge-frozen whole bacteria and vitreous sections verified that each Stack consisted of a pile of oval disc-like subunits, each disc being surrounded by a lipid bilayer membrane and separated from each other by a constant distance with a mean value of 5.2 +/- 1.3 nm. FM4-64 staining and confocal microscopy corroborated the lipid nature of the membrane of the Stacked discs. Stacks did not appear to be invaginations of the PM because no continuity between both membranes was visible when whole bacteria were analyzed. We are still far from deciphering the function of these new structures, but a first experimental attempt links the Stacks with a given phase of the cell replication process. (C) 2015 The Authors. Published by Elsevier Inc. This is an open access article under the CC BY-NC-ND license.</t>
  </si>
  <si>
    <t>[Delgado, Lidia; Martinez, Gema; Lopez-Iglesias, Carmen] Univ Barcelona, Ctr Sci, Cryoelectron Microscopy, C Baldiri &amp; Reixac 10-12, E-08028 Barcelona, Spain; [Delgado, Lidia; Martinez, Gema; Lopez-Iglesias, Carmen] Univ Barcelona, Ctr Technol, E-08028 Barcelona, Spain; [Mercade, Elena] Univ Barcelona, Fac Pharm, Dept Microbiol, Barcelona, Spain</t>
  </si>
  <si>
    <t>University of Barcelona; University of Barcelona; University of Barcelona</t>
  </si>
  <si>
    <t>López-Iglesias, C (corresponding author), Univ Barcelona, Ctr Sci, Cryoelectron Microscopy, C Baldiri &amp; Reixac 10-12, E-08028 Barcelona, Spain.</t>
  </si>
  <si>
    <t>carmenli@ccit.ub.edu; mmercade@ub.edu</t>
  </si>
  <si>
    <t>DELGADO, LIDIA/H-7939-2015; Mercade, Elena/L-5218-2014</t>
  </si>
  <si>
    <t>Mercade, Elena/0000-0001-7828-2210</t>
  </si>
  <si>
    <t>Government of Spain (CICYT project) [CTQ 2010-21183-C02-01/PPQ]; Autonomous Government of Catalonia [2009SGR1212]</t>
  </si>
  <si>
    <t>Government of Spain (CICYT project); Autonomous Government of Catalonia(Generalitat de Catalunya)</t>
  </si>
  <si>
    <t>We thank Jose Jesus Fernandez (CNB) for his help in tomography. This study was supported by the Government of Spain (CICYT project CTQ 2010-21183-C02-01/PPQ) and by the Autonomous Government of Catalonia (Grant 2009SGR1212).</t>
  </si>
  <si>
    <t>1047-8477</t>
  </si>
  <si>
    <t>1095-8657</t>
  </si>
  <si>
    <t>J STRUCT BIOL</t>
  </si>
  <si>
    <t>J. Struct. Biol.</t>
  </si>
  <si>
    <t>10.1016/j.jsb.2015.01.008</t>
  </si>
  <si>
    <t>Biochemistry &amp; Molecular Biology; Biophysics; Cell Biology</t>
  </si>
  <si>
    <t>CD7CX</t>
  </si>
  <si>
    <t>WOS:000351249500007</t>
  </si>
  <si>
    <t>Zawierucha, K; Kolicka, M; Takeuchi, N; Kaczmarek, L</t>
  </si>
  <si>
    <t>Zawierucha, K.; Kolicka, M.; Takeuchi, N.; Kaczmarek, L.</t>
  </si>
  <si>
    <t>What animals can live in cryoconite holes? A faunal review</t>
  </si>
  <si>
    <t>JOURNAL OF ZOOLOGY</t>
  </si>
  <si>
    <t>Annelida; Arthropoda; biodiversity; climate change; cryoconite; extreme habitats; extremophiles; glaciers melting; invertebrates; Nematoda; Rotifera; Tardigrada</t>
  </si>
  <si>
    <t>GLOBAL DIVERSITY; GLACIER; TERRESTRIAL; COMMUNITIES; TARDIGRADES; BACTERIAL; SVALBARD; ROTIFERA; BIOGEOCHEMISTRY; BIODIVERSITY</t>
  </si>
  <si>
    <t>Despite the large number of studies on glaciers, knowledge regarding biota in cryoconite holes is limited. Cryophilic animals are often neglected in ecological studies on glacial habitats, but are important for the functioning of these environments. Owing to climate change and the melting of polar ice, cryophilic fauna could be threatened in the near future. We provide the first comprehensive survey of invertebrates inhabiting the cryoconite holes of Alpine, Antarctic, Arctic, Himalayan and Patagonian glaciers. At present, the list of taxa is rather short and includes five phyla (Rotifera, Annelida, Tardigrada, Nematoda and Arthropoda). Owing to generally poor knowledge of the fauna of cryoconite holes, there could be more than the 25 currently known species. In addition, we present the geographical distributions of the taxa and discuss the diversity of invertebrates living in cryoconite holes and make predictions regarding the faunal diversity of these habitats.</t>
  </si>
  <si>
    <t>[Zawierucha, K.; Kolicka, M.; Kaczmarek, L.] Adam Mickiewicz Univ, Fac Biol, Dept Anim Taxon &amp; Ecol, PL-61614 Poznan, Poland; [Takeuchi, N.] Chiba Univ, Grad Sch Sci, Dept Earth Sci, Chiba, Japan; [Kaczmarek, L.] Univ Estatal Amazon, Lab Ecol Nat &amp; Aplicada Invertebrados, Puyo, Ecuador</t>
  </si>
  <si>
    <t>Adam Mickiewicz University; Chiba University</t>
  </si>
  <si>
    <t>Zawierucha, K (corresponding author), Adam Mickiewicz Univ, Fac Biol, Dept Anim Taxon &amp; Ecol, Umultowska 89, PL-61614 Poznan, Poland.</t>
  </si>
  <si>
    <t>k.p.zawierucha@gmail.com</t>
  </si>
  <si>
    <t>Kaczmarek, Lukasz/A-2000-2008; Zawierucha, Krzysztof/HTP-6506-2023; Zawierucha, Krzysztof/HDN-5985-2022; Takeuchi, Nozomu/Q-7869-2016</t>
  </si>
  <si>
    <t>Zawierucha, Krzysztof/0000-0002-0754-1411; Takeuchi, Nozomu/0000-0002-3267-5534; Kaczmarek, Lukasz/0000-0002-5260-6253; Kolicka, Malgorzata/0000-0003-1580-7264</t>
  </si>
  <si>
    <t>National Science Center [NCN 2013/11/N/NZ8/00597, N N304 014939]; Grants-in-Aid for Scientific Research [26241020] Funding Source: KAKEN</t>
  </si>
  <si>
    <t>National Science Center(National Science Centre, Poland); Grants-in-Aid for Scientific Research(Ministry of Education, Culture, Sports, Science and Technology, Japan (MEXT)Japan Society for the Promotion of ScienceGrants-in-Aid for Scientific Research (KAKENHI))</t>
  </si>
  <si>
    <t>The authors thank Diego Fontaneto and another (anonymous) reviewer for their valuable comments that improved the manuscript. Studies were supported by National Science Center grant no. NCN 2013/11/N/NZ8/00597 to K.Z. and National Science Center grant no. N N304 014939 for L.K.</t>
  </si>
  <si>
    <t>0952-8369</t>
  </si>
  <si>
    <t>1469-7998</t>
  </si>
  <si>
    <t>J ZOOL</t>
  </si>
  <si>
    <t>J. Zool.</t>
  </si>
  <si>
    <t>10.1111/jzo.12195</t>
  </si>
  <si>
    <t>CC6LI</t>
  </si>
  <si>
    <t>WOS:000350476000001</t>
  </si>
  <si>
    <t>Burton, AS; McLain, H; Glavin, DP; Elsila, JE; Davidson, J; Miller, KE; Andronikov, AV; Lauretta, D; Dworkin, JP</t>
  </si>
  <si>
    <t>Burton, Aaron S.; McLain, Hannah; Glavin, Daniel P.; Elsila, Jamie E.; Davidson, Jemma; Miller, Kelly E.; Andronikov, Alexander V.; Lauretta, Dante; Dworkin, Jason P.</t>
  </si>
  <si>
    <t>Amino acid analyses of R and CK chondrites</t>
  </si>
  <si>
    <t>LARGE ENANTIOMERIC EXCESSES; CARBONACEOUS CHONDRITES; PRIMITIVE METEORITES; PARENT-BODY; ANTARCTIC METEORITES; MURCHISON METEORITE; AQUEOUS ALTERATION; MASS SPECTROMETRY; LAPAZ ICEFIELD; EXTRATERRESTRIAL</t>
  </si>
  <si>
    <t>Exogenous delivery of amino acids and other organic molecules to planetary surfaces may have played an important role in the origins of life on Earth and other solar system bodies. Previous studies have revealed the presence of indigenous amino acids in a wide range of carbon-rich meteorites, with the abundances and structural distributions differing significantly depending on parent body mineralogy and alteration conditions. Here we report on the amino acid abundances of seven type 3-6 CK chondrites and two Rumuruti (R) chondrites. Amino acid measurements were made on hot water extracts from these meteorites by ultrahigh-performance liquid chromatography with fluorescence detection and time-of-flight mass spectrometry. Of the nine meteorites analyzed, four were depleted in amino acids, and one had experienced significant amino acid contamination by terrestrial biology. The remaining four, comprised of two R and two CK chondrites, contained low levels of amino acids that were predominantly the straight chain, amino-terminal (n--amino) acids -alanine, and -amino-n-butyric acid. This amino acid distribution is similar to what we reported previously for thermally altered ureilites and CV and CO chondrites, and these n--amino acids appear to be indigenous to the meteorites and not the result of terrestrial contamination. The amino acids may have been formed by Fischer-Tropsch-type reactions, although this hypothesis needs further testing.</t>
  </si>
  <si>
    <t>[Burton, Aaron S.; Glavin, Daniel P.; Elsila, Jamie E.; Dworkin, Jason P.] NASA, Goddard Space Flight Ctr, Solar Syst Explorat Div, Greenbelt, MD 20771 USA; [McLain, Hannah] Catholic Univ Amer, Washington, DC 20064 USA; [Davidson, Jemma] Carnegie Inst Sci, Dept Terr Magnetism, Washington, DC 20015 USA; [Miller, Kelly E.; Andronikov, Alexander V.; Lauretta, Dante] Univ Arizona, Lunar &amp; Planetary Lab, Tucson, AZ 85721 USA</t>
  </si>
  <si>
    <t>National Aeronautics &amp; Space Administration (NASA); NASA Goddard Space Flight Center; Catholic University of America; Carnegie Institution for Science; University of Arizona</t>
  </si>
  <si>
    <t>Burton, AS (corresponding author), NASA, Astromat Res &amp; Explorat Sci Div, Johnson Space Ctr, Houston, TX 77586 USA.</t>
  </si>
  <si>
    <t>aaron.s.burton@nasa.gov</t>
  </si>
  <si>
    <t>Elsila, Jamie/AAM-2654-2020; Burton, Aaron/H-2212-2011; Elsila, Jamie E/C-9952-2012; Davidson, Jemma/G-5760-2018; Dworkin, Jason P./C-9417-2012; Glavin, Daniel P/D-6194-2012; Davidson, Jemma/ABB-2655-2021</t>
  </si>
  <si>
    <t>Burton, Aaron/0000-0002-1194-4336; Davidson, Jemma/0000-0002-3725-2960; Dworkin, Jason P./0000-0002-3961-8997; Glavin, Daniel P/0000-0001-7779-7765; Davidson, Jemma/0000-0002-3725-2960; Burton, Aaron/0000-0002-7137-1605; Miller, Kelly/0000-0001-5657-137X; Elsila, Jamie/0000-0002-0008-2590</t>
  </si>
  <si>
    <t>National Aeronautics and Space Administration (NASA); NASA Astrobiology Institute and the Goddard Center for Astrobiology; NASA Cosmochemistry Program; NASA Exobiology Program; Simons Foundation [302497]</t>
  </si>
  <si>
    <t>National Aeronautics and Space Administration (NASA)(National Aeronautics &amp; Space Administration (NASA)); NASA Astrobiology Institute and the Goddard Center for Astrobiology; NASA Cosmochemistry Program(National Aeronautics &amp; Space Administration (NASA)); NASA Exobiology Program(National Aeronautics &amp; Space Administration (NASA)); Simons Foundation</t>
  </si>
  <si>
    <t>A. S. B. was supported by a National Aeronautics and Space Administration (NASA) Postdoctoral Program Fellowship administered by Oak Ridge Associated Universities through a contract with NASA. D. P. G., J. E. E., K. E. M., A. A., D. L., and J. P. D. acknowledge funding support from one or more of the following programs: NASA Astrobiology Institute and the Goddard Center for Astrobiology, the NASA Cosmochemistry Program, and NASA Exobiology Program. This work was also supported in part by a grant from the Simons Foundation (SCOL award 302497 to J. P. D.). We are grateful to ANSMET, K. Righter, and the members of the Meteorite Working Group for allocating the Antarctic meteorite samples analyzed in this study, M. Callahan for helpful discussions and feedback on the manuscript, and T. McCollum and an anonymous reviewer for insightful criticism and suggestions to improve the manuscript.</t>
  </si>
  <si>
    <t>10.1111/maps.12433</t>
  </si>
  <si>
    <t>CE2UZ</t>
  </si>
  <si>
    <t>WOS:000351676600009</t>
  </si>
  <si>
    <t>Vecchiato, M; Argiriadis, E; Zambon, S; Barbante, C; Toscano, G; Gambaro, A; Piazza, R</t>
  </si>
  <si>
    <t>Vecchiato, Marco; Argiriadis, Elena; Zambon, Stefano; Barbante, Carlo; Toscano, Giuseppa; Gambaro, Andrea; Piazza, Rossano</t>
  </si>
  <si>
    <t>Persistent Organic Pollutants (POPs) in Antarctica: Occurrence in continental and coastal surface snow</t>
  </si>
  <si>
    <t>Antarctica; Snow; PCDD/F; PCB; PBDE; PAH</t>
  </si>
  <si>
    <t>POLYCYCLIC AROMATIC-HYDROCARBONS; KING GEORGE ISLAND; DIBENZO-P-DIOXINS; POLYCHLORINATED-BIPHENYLS PCBS; LONG-RANGE TRANSPORT; DEPOSITION HISTORY; DIPHENYL ETHERS; PAHS; ICE; PESTICIDES</t>
  </si>
  <si>
    <t>Despite geographical isolation and almost complete absence of human settlements, Antarctica is affected by Persistent Organic Pollutants (POPs): the traces of these impacts are recorded in the snow. Although POPs were detected in Antarctica decades ago, there are still large knowledge gaps and a comprehensive understanding of their fundamental patterns is lacking. In this study, polychlorinated dibenzo-p-dioxins and dibenzofurans (PCDD/Fs), polychlorinated biphenyls (PCBs, including the non-Aroclor PCB-11), polybrominated diphenyl ethers (PBDEs) and polycyclic aromatic hydrocarbons (PAHs) were measured in surface snow samples from five selected locations of Northern Victoria Land. To our knowledge this is the first study providing ground-based measurements of PCDD/Fs, PCB-11 and PBDEs in Antarctic surface snows, including the plateau. Long-range atmospheric transport (LRAT) followed by regional redistribution were hypothesized as governing sources of POPs to the Antarctic Plateau, but also local pollution from human activities was found. Sub-pg L-1 levels of PCDD/Fs were detected in the coastal samples, while PCBs (Sigma(PCBs) 110-580 pg L-1) generally showed a decrease with respect to the past decades. Similar concentrations of PBDEs (Sigma(BDEs) 130-340 pg L-1) were found, mainly attributable to the congeners BDE-47 and BDE-99. PAHs (Sigma(PAHs) 0.65-140 ng L-1) were the most abundant compounds in all sites with an unexpected high value near a refueling point. Possible source areas of contamination were investigated by means of the HYSPLIT model. (C) 2014 Elsevier B.V. All rights reserved.</t>
  </si>
  <si>
    <t>[Vecchiato, Marco] Univ Siena, Dept Phys Sci Earth &amp; Environm, I-53100 Siena, Italy; [Vecchiato, Marco; Barbante, Carlo; Gambaro, Andrea; Piazza, Rossano] CNR, Inst Dynam Environm Proc, I-30123 Venice, Italy; [Argiriadis, Elena; Zambon, Stefano; Toscano, Giuseppa; Gambaro, Andrea; Piazza, Rossano] Univ Venice, Dept Environm Sci Informat &amp; Stat, I-30123 Venice, Italy</t>
  </si>
  <si>
    <t>Vecchiato, M (corresponding author), Dorsoduro 2137, I-30123 Venice, Italy.</t>
  </si>
  <si>
    <t>Vecchiato, Marco/0000-0002-5112-8472; Piazza, Rossano/0000-0002-1897-4124; Argiriadis, Elena/0000-0001-7227-405X; Barbante, Carlo/0000-0003-4177-2288</t>
  </si>
  <si>
    <t>This work was supported by the Italian National Program for Research in Antarctica (PNRA) (PEA 2009/A2.10). We wish to thank the participants of the 27th Italian Expedition to Antarctica (2011-2012) for their sampling activities. The authors gratefully acknowledge the NOAA Air Resources Laboratory (ARL) for providing the HYSPLIT transport and dispersion model and the READY website (http://www.ready.noaa.gov) used in this publication. We also wish to thank Dr. Enrico Marchiori and Dr. Elena Barbaro for their help during the analyses and Dr. Daniela Almansi for her accurate revision of our manuscript</t>
  </si>
  <si>
    <t>10.1016/j.microc.2014.10.010</t>
  </si>
  <si>
    <t>CA5ON</t>
  </si>
  <si>
    <t>WOS:000348957800012</t>
  </si>
  <si>
    <t>Taylor, ML; Rogers, AD</t>
  </si>
  <si>
    <t>Taylor, Michelle L.; Rogers, Alex D.</t>
  </si>
  <si>
    <t>Evolutionary dynamics of a common sub-Antarctic octocoral family</t>
  </si>
  <si>
    <t>MOLECULAR PHYLOGENETICS AND EVOLUTION</t>
  </si>
  <si>
    <t>Molecular phylogeny; Octocorallia; Taxonomy; Biogeography; Species radiation; Antarctic</t>
  </si>
  <si>
    <t>SOUTHERN-OCEAN; DISTRIBUTION PATTERNS; PHYLOGENETIC ANALYSIS; MITOCHONDRIAL GENOME; DIVERGENCE TIMES; CLIMATE-CHANGE; BURGESS SHALE; FISHING GEAR; SEA; GENUS</t>
  </si>
  <si>
    <t>Sequence data were obtained for five different loci, both mitochondrial (cox1, mtMutS, 16S) and nuclear (18S, 28S rDNA), from 64 species representing 25 genera of the common deep-sea octocoral family Primnoidae. We tested the hypothesis that Primnoidae have an Antarctic origin, as this is where they currently have high species richness, using Maximum likelihood and Bayesian inference methods of phylogenetic analysis. Using a time-calibrated molecular phylogeny we also investigated the time of species radiation in sub-Antarctic Primnoidae. Our relatively wide taxon sampling and phylogenetic analysis supported Primnoidae as a monophyletic family. The base of the well-supported phylogeny was Pacific in origin, indicating Primnoidae sub-Antarctic diversity is a secondary species radiation. There is also evidence for a subsequent range extension of sub-Antarctic lineages into deep-water areas of the Indian and Pacific Oceans. Conservative and speculative fossil-calibration analyses resulted in two differing estimations of sub-Antarctic species divergence times. Conservative analysis suggested a sub-Antarctic species radiation occurred similar to 52 MYA (95% HPD: 36-73 MYA), potentially before the opening of the Drake Passage and Antarctic Circumpolar Current (ACC) formation (41-37 MYA). Speculative analysis pushed this radiation back into the late Jurassic, 157 MYA (95% HPD: 118-204 MYA). Genus-level groupings were broadly supported in this analysis with some notable polyphyletic exceptions: Callogorgia, Fanellia, Primnoella, Plumarella, Thouarella. Molecular and morphological evidence supports the placement of Tauroprimnoa austasensis within Dasystenella and Fannyella kuekenthali within Metafannyella. (C) 2014 The Authors. Published by Elsevier Inc.</t>
  </si>
  <si>
    <t>[Taylor, Michelle L.; Rogers, Alex D.] Univ Oxford, Dept Zool, Oxford OX1 3PS, England</t>
  </si>
  <si>
    <t>University of Oxford</t>
  </si>
  <si>
    <t>Taylor, ML (corresponding author), Univ Oxford, Dept Zool, Tinbergen Bldg,South Parks Rd, Oxford OX1 3PS, England.</t>
  </si>
  <si>
    <t>michelle.taylor@zoo.ox.ac.uk</t>
  </si>
  <si>
    <t>Taylor, Michelle/AAY-3864-2021; Taylor, Michelle/C-3918-2015</t>
  </si>
  <si>
    <t>Taylor, Michelle/0000-0001-7271-4385; Rogers, Alex David/0000-0002-4864-2980</t>
  </si>
  <si>
    <t>SYNTHYSYS grant; NERC Grant [NE/F005504/1]; EAF Nansen Project; Food and Agriculture Organization of the United Nations; Global Environment Facility; International Union for the Conservation of Nature; Natural Environment Research Council [NBAF010003, NE/F005504/1] Funding Source: researchfish; NERC [NE/F005504/1, NBAF010003] Funding Source: UKRI</t>
  </si>
  <si>
    <t>SYNTHYSYS grant; NERC Grant(UK Research &amp; Innovation (UKRI)Natural Environment Research Council (NERC)); EAF Nansen Project; Food and Agriculture Organization of the United Nations; Global Environment Facility; International Union for the Conservation of Nature; Natural Environment Research Council(UK Research &amp; Innovation (UKRI)Natural Environment Research Council (NERC)); NERC(UK Research &amp; Innovation (UKRI)Natural Environment Research Council (NERC))</t>
  </si>
  <si>
    <t>Dr. Stephen Cairns (Smithsonian Institution), Dr. Rhian Waller (University of Maine, Darling Marine Centre), Dr. Laura Robinson (University of Bristol), Virginia Polonio (Centro Oceanografico de Gijon, Instituto Espanol de Oceanografia), the British Antarctic Survey, and MRAG Ltd are all thanked for providing/supporting the collection of samples. We would like to thank Dr. Michael Schleyer, Gemma Clucas, Dr. Oliver Pybus, and Dr. Nicolai Roterman for analysis advice. Funding from SYNTHYSYS grant to visit the Museum Nationale d'Histoire Naturelle (Paris), the Lerner Gray Grant for Marine Research (American Natural History Museum), Percy Sladen Memorial Fund (Linnean Society of London), Trans Antarctic Association grant, Gino Watkins Memorial Fund grant (Scott Polar Research Institute), and The Explorer's Club grant all supported collection expeditions and fieldwork. Dr Taylor's time and collection of some material were supported by NERC Grant, NE/F005504/1 (Benthic biodiversity of seamounts in the Southwest Indian Ocean). This project was part of the Southwest Indian Ocean Seamounts Project (www.iucn.org/marine/seamounts) supported by the EAF Nansen Project, the Food and Agriculture Organization of the United Nations, the Global Environment Facility, the International Union for the Conservation of Nature. We would also like to thank the two reviewers whose comments improved this publication.</t>
  </si>
  <si>
    <t>1055-7903</t>
  </si>
  <si>
    <t>1095-9513</t>
  </si>
  <si>
    <t>MOL PHYLOGENET EVOL</t>
  </si>
  <si>
    <t>Mol. Phylogenet. Evol.</t>
  </si>
  <si>
    <t>10.1016/j.ympev.2014.11.008</t>
  </si>
  <si>
    <t>CE9OO</t>
  </si>
  <si>
    <t>hybrid, Green Accepted, Green Submitted</t>
  </si>
  <si>
    <t>WOS:000352173500017</t>
  </si>
  <si>
    <t>Campagne, P; Crosta, X; Houssais, MN; Swingedouw, D; Schmidt, S; Martin, A; Devred, E; Capo, S; Marieu, V; Closset, I; Massé, G</t>
  </si>
  <si>
    <t>Campagne, P.; Crosta, Xavier; Houssais, M. N.; Swingedouw, D.; Schmidt, S.; Martin, A.; Devred, E.; Capo, S.; Marieu, V.; Closset, I.; Masse, G.</t>
  </si>
  <si>
    <t>Glacial ice and atmospheric forcing on the Mertz Glacier Polynya over the past 250 years</t>
  </si>
  <si>
    <t>SOUTHERN-OCEAN SEDIMENTS; CIRCUMPOLAR DEEP-WATER; MAJOR DIATOM TAXA; SEA-ICE; EAST-ANTARCTICA; ADELIE LAND; BOTTOM WATER; ANNULAR MODE; VARIABILITY; CIRCULATION</t>
  </si>
  <si>
    <t>The Mertz Glacier Polynya off George V Land, East Antarctica, is a source of Adelie Land Bottom Water, which contributes up to similar to 25% of the Antarctic Bottom Water. This major polynya is closely linked to the presence of the Mertz Glacier Tongue that traps pack ice upstream. In 2010, the Mertz Glacier calved a massive iceberg, deeply impacting local sea ice conditions and dense shelf water formation. Here we provide the first detailed 250-year long reconstruction of local sea ice and bottom water conditions. Spectral analysis of the data sets reveals large and abrupt changes in sea surface and bottom water conditions with a similar to 70-year cyclicity, associated with the Mertz Glacier Tongue calving and regrowth dynamics. Geological data and atmospheric reanalysis, however, suggest that sea ice conditions in the polynya were also very sensitive to changes in surface winds in relation to the recent intensification of the Southern Annular Mode.</t>
  </si>
  <si>
    <t>[Campagne, P.; Crosta, Xavier; Swingedouw, D.; Schmidt, S.; Capo, S.; Marieu, V.] Univ Bordeaux, CNRS, UMR 5805, EPOC, F-33615 Pessac, France; [Campagne, P.; Houssais, M. N.; Martin, A.; Closset, I.; Masse, G.] Univ Paris 06, LOCEAN, CNRS, UMR 7159,IRD,MNHN, F-75252 Paris, France; [Campagne, P.; Devred, E.; Masse, G.] Univ Laval, TAKUVIK, UMI 3376, CNRS, Quebec City, PQ G1V 0A6, Canada</t>
  </si>
  <si>
    <t>Centre National de la Recherche Scientifique (CNRS); Universite de Bordeaux; CNRS - National Institute for Earth Sciences &amp; Astronomy (INSU); Centre National de la Recherche Scientifique (CNRS); CNRS - National Institute for Earth Sciences &amp; Astronomy (INSU); Sorbonne Universite; Museum National d'Histoire Naturelle (MNHN); Institut de Recherche pour le Developpement (IRD); Laval University</t>
  </si>
  <si>
    <t>Crosta, X (corresponding author), Univ Bordeaux, CNRS, UMR 5805, EPOC, Allee Geoffroy St Hilaire, F-33615 Pessac, France.</t>
  </si>
  <si>
    <t>x.crosta@epoc.u-bordeaux1.fr; guillaume.masse@takuvik.ulaval.ca</t>
  </si>
  <si>
    <t>Schmidt, Sabine/G-1193-2013; Swingedouw, Didier/D-1408-2010; Capo, Sylvain DMR/G-4802-2011; campagne, philippine/G-3444-2017</t>
  </si>
  <si>
    <t>Schmidt, Sabine/0000-0002-5985-9747; Swingedouw, Didier/0000-0002-0583-0850; Martin-Tissier, Antoine/0000-0001-6607-9768; campagne, philippine/0000-0002-4784-2008; Marieu, Vincent/0000-0003-4023-0161; Closset, Ivia/0000-0002-6286-3296</t>
  </si>
  <si>
    <t>ERC StG ICEPROXY project [203441]; ANR CLIMICE project; FP7 Past4Future project [243908]; CNRS; IPEV projects [452, 1010]</t>
  </si>
  <si>
    <t>ERC StG ICEPROXY project(European Research Council (ERC)); ANR CLIMICE project(Agence Nationale de la Recherche (ANR)); FP7 Past4Future project; CNRS(Centre National de la Recherche Scientifique (CNRS)); IPEV projects</t>
  </si>
  <si>
    <t>This research was funded by the ERC StG ICEPROXY project (203441), the ANR CLIMICE project and FP7 Past4Future project (243908). P.C. is supported by a CNRS studentship. The French Polar Institute provided logistical support for sediment and data collection (IPEV projects 452 and 1010). This is ESF PolarClimate HOLOCLIP contribution no24 and Past4Future contribution no83.</t>
  </si>
  <si>
    <t>10.1038/ncomms7642</t>
  </si>
  <si>
    <t>CG1NS</t>
  </si>
  <si>
    <t>WOS:000353040400002</t>
  </si>
  <si>
    <t>Lv, W; Sui, RR</t>
  </si>
  <si>
    <t>Lv, Wei; Sui, Ruirui</t>
  </si>
  <si>
    <t>OPTIMALITY OF PIECEWISE THERMAL CONDUCTIVITY IN A SNOW-ICE THERMODYNAMIC SYSTEM</t>
  </si>
  <si>
    <t>NUMERICAL ALGEBRA CONTROL AND OPTIMIZATION</t>
  </si>
  <si>
    <t>Optimality; piecewise thermal conductivity; thermodynamic system; snow; sea ice</t>
  </si>
  <si>
    <t>ANTARCTIC SEA-ICE; IDENTIFICATION; TEMPERATURE; MODEL</t>
  </si>
  <si>
    <t>This article is intended to provide the optimality of piecewise thermal conductivity in a snow-ice thermodynamic system. Based on the temperature distribution characteristics of snow and sea ice, we construct a piecewise smooth thermodynamic system coupled by snow and sea ice. Taking the piece wise thermal conductivities of snow and sea ice as control variables and the temperature deviations obtained from the system and the observations as the performance criterion, an identification model with state constraints is given. The dependency relationship between state and control variables is proven, and the existence of the optimal control is discussed. The work can provide a theoretical foundation for simulating temperature distributions of snow and sea ice.</t>
  </si>
  <si>
    <t>[Lv, Wei; Sui, Ruirui] Shanghai Univ, Dept Math, Shanghai 200444, Peoples R China</t>
  </si>
  <si>
    <t>Shanghai University</t>
  </si>
  <si>
    <t>Lv, W (corresponding author), Shanghai Univ, Dept Math, Shanghai 200444, Peoples R China.</t>
  </si>
  <si>
    <t>lvwei@shu.edu.cn; suiruirui1992@163.com</t>
  </si>
  <si>
    <t>National Natural Science Foundation of China [11101262]; Key Disciplines of Shanghai Municipality [S30104]; grant of The First-class Discipline of Universities in Shanghai</t>
  </si>
  <si>
    <t>National Natural Science Foundation of China(National Natural Science Foundation of China (NSFC)); Key Disciplines of Shanghai Municipality; grant of The First-class Discipline of Universities in Shanghai</t>
  </si>
  <si>
    <t>This work was supported by the National Natural Science Foundation of China under Grant no.11101262, Key Disciplines of Shanghai Municipality under Grant no.S30104, and a grant of The First-Class Discipline of Universities in Shanghai.</t>
  </si>
  <si>
    <t>AMER INST MATHEMATICAL SCIENCES-AIMS</t>
  </si>
  <si>
    <t>SPRINGFIELD</t>
  </si>
  <si>
    <t>PO BOX 2604, SPRINGFIELD, MO 65801-2604 USA</t>
  </si>
  <si>
    <t>2155-3289</t>
  </si>
  <si>
    <t>2155-3297</t>
  </si>
  <si>
    <t>NUMER ALGEBR CONTROL</t>
  </si>
  <si>
    <t>Numer. Algebr. Control Optim.</t>
  </si>
  <si>
    <t>10.3934/naco.2015.5.47</t>
  </si>
  <si>
    <t>Mathematics, Applied</t>
  </si>
  <si>
    <t>Mathematics</t>
  </si>
  <si>
    <t>V21RS</t>
  </si>
  <si>
    <t>WOS:000214971900006</t>
  </si>
  <si>
    <t>Munday, DR; Johnson, HL; Marshall, DP</t>
  </si>
  <si>
    <t>Munday, D. R.; Johnson, H. L.; Marshall, D. P.</t>
  </si>
  <si>
    <t>The role of ocean gateways in the dynamics and sensitivity to wind stress of the early Antarctic Circumpolar Current</t>
  </si>
  <si>
    <t>Antarctic Circumpolar Current; mesoscale eddies; eddy saturation; ocean gateways; momentum balance</t>
  </si>
  <si>
    <t>SOUTHERN-OCEAN; MOMENTUM BALANCE; EDDY HEAT; CIRCULATION; MODEL; HEMISPHERE; TRANSPORT; EDDIES; ESTABLISHMENT; ENERGY</t>
  </si>
  <si>
    <t>The date of inception of the Antarctic Circumpolar Current is debated due to uncertainty in the relative opening times of Drake Passage and the Tasman Seaway. Using an idealized eddy-resolving numerical ocean model, we investigate whether both ocean gateways have to be open to allow for a substantial circumpolar current. We find that overlapping continental barriers do not impede a circumpolar transport in excess of 50Sv, as long as a circumpolar path can be traced around the barriers. However, the presence of overlapping barriers does lead to an increased sensitivity of the current's volume transport to changes in wind stress. This change in sensitivity is interpreted in terms of the role of pressure drops across continental barriers and submerged bathymetry in balancing the momentum input by the surface wind stress. Specifically, when the pressure drop across continents is the main balancing sink of momentum, the zonal volume transport is sensitive to changes in wind stress. Changes in zonal volume transport take place via altering the depth-independent part of the circumpolar transport rather than that arising from thermal wind shear. In such a scenario, isopycnals continue to slope steeply across the model Southern Ocean, implying a strong connection between the deep and surface oceans. This may have consequences for the meridional overturning circulation and its sensitivity to wind stress.</t>
  </si>
  <si>
    <t>[Munday, D. R.; Marshall, D. P.] Univ Oxford, Atmospher Ocean &amp; Planetary Phys, Oxford, England; [Munday, D. R.] British Antarctic Survey, Cambridge CB3 0ET, England; [Johnson, H. L.] Univ Oxford, Dept Earth Sci, Oxford OX1 3PR, England</t>
  </si>
  <si>
    <t>University of Oxford; UK Research &amp; Innovation (UKRI); Natural Environment Research Council (NERC); NERC British Antarctic Survey; University of Oxford</t>
  </si>
  <si>
    <t>Munday, DR (corresponding author), Univ Oxford, Atmospher Ocean &amp; Planetary Phys, Oxford, England.</t>
  </si>
  <si>
    <t>danday@bas.ac.uk</t>
  </si>
  <si>
    <t>Marshall, David Philip/B-6767-2009; Munday, David/Y-7052-2019; Munday, David R/R-1986-2016</t>
  </si>
  <si>
    <t>Marshall, David Philip/0000-0002-5199-6579; Munday, David R/0000-0003-1920-708X; Johnson, Helen/0000-0003-1873-2085</t>
  </si>
  <si>
    <t>UK Natural Environment Research Council [NE/H005668/1, NE/K010948/1]; Oxford Martin School; Royal Society; Office of Science and Technology through EPSRCs High End Computing Programme; NERC [NE/H005668/1, bas0100033, NE/K010948/1] Funding Source: UKRI; Natural Environment Research Council [bas0100033, NE/K010948/1, NE/H005668/1] Funding Source: researchfish</t>
  </si>
  <si>
    <t>UK Natural Environment Research Council(UK Research &amp; Innovation (UKRI)Natural Environment Research Council (NERC)); Oxford Martin School; Royal Society(Royal Society); Office of Science and Technology through EPSRCs High End Computing Programme(UK Research &amp; Innovation (UKRI)Engineering &amp; Physical Sciences Research Council (EPSRC)); NERC(UK Research &amp; Innovation (UKRI)Natural Environment Research Council (NERC)); Natural Environment Research Council(UK Research &amp; Innovation (UKRI)Natural Environment Research Council (NERC))</t>
  </si>
  <si>
    <t>The model data used in this paper are available from the corresponding author upon request. This study is funded by the UK Natural Environment Research Council grant NE/H005668/1 and NE/K010948/1. D.R.M. acknowledges helpful and imaginative discussions with Xiaoming Zhai, James Maddison, Andy Hogg, Adele Morrison, Nathan Bindoff, and Maria Rugenstein. Renske Gelderloos and Helen Pillar provided useful comments on an earlier draft. D.P.M. acknowledges additional support from the Oxford Martin School. H.L.J. is supported by a Royal Society University Research Fellowship. This work made use of the facilities of HECToR, the UK's national high-performance computing service, which is provided by UoE HPCx Ltd at the University of Edinburgh, Cray Inc, and NAG Ltd, and funded by the Office of Science and Technology through EPSRCs High End Computing Programme. The authors thank the anonymous reviewers and Editors for their support of the paper and valuable criticism of the original submission that has improved the final version.</t>
  </si>
  <si>
    <t>10.1002/2014PA002675</t>
  </si>
  <si>
    <t>CH2EG</t>
  </si>
  <si>
    <t>WOS:000353837900007</t>
  </si>
  <si>
    <t>Saunders, RA; Collins, MA; Ward, P; Stowasser, G; Shreeve, R; Tarling, GA</t>
  </si>
  <si>
    <t>Saunders, Ryan A.; Collins, Martin A.; Ward, Peter; Stowasser, Gabriele; Shreeve, Rachael; Tarling, Geraint A.</t>
  </si>
  <si>
    <t>Distribution, population structure and trophodynamics of Southern Ocean Gymnoscopelus (Myctophidae) in the Scotia Sea</t>
  </si>
  <si>
    <t>Myctophidae; Gymnoscopelus; Feeding ecology; Population dynamics; Scotia Sea</t>
  </si>
  <si>
    <t>KING GEORGE ISLAND; MESOPELAGIC FISH; FEEDING ECOLOGY; ARCTOCEPHALUS-GAZELLA; ANTARCTIC PENINSULA; COMMUNITY STRUCTURE; MACQUARIE ISLAND; FOOD-WEB; DIET; KRILL</t>
  </si>
  <si>
    <t>Gymnoscopelus braueri, Gymnoscopelus fraseri and Gymnoscopelus nicholsi are common in the Southern Ocean mesopelagic fish community. However, their ecology is poorly understood in the region. This study investigated spatial and temporal patterns in their abundance, population structure and diets at different times of year within the Scotia Sea to ascertain their functional role in the pelagic food web. G. braueri was the most abundant species (0.07-0.17 ind. 1,000 m(-3)) throughout the Scotia Sea. G. fraseri was absent from the sea-ice sectors and occurred mostly around the Antarctic Polar Front (APF), comprising densities of 0.01-0.04 ind. 1,000 m(-3). G. nicholsi occurred in low abundance (&lt; 0.01 ind. 1,000 m(-3)) throughout the region. G. braueri and G. fraseri had a lifespan of 4 and 3 years, respectively, but spatial variation in their population structures was evident and recruitment appeared to occur only around the APF. G. nicholsi had a lifespan of &gt; 4 years. There was evidence of seasonal variation in depth distribution, size-related sexual dimorphism and vertical segregation in size classes for each species. Overall, diets were dominated by copepods (Metridia spp., Rhincalanus gigas, Pleuromamma robusta) and euphausiids (Thysanoessa spp. and Euphausia superba), although G. fraseri did not predate E. superba. Regional, seasonal and ontogenetic patterns in diet were evident for all species. This study provides new insight into the ecology of these Gymnoscopelus species in the Scotia Sea. Such details contribute towards resolving how pelagic food webs are structured in the Southern Ocean and their sensitivity to ongoing environmental change.</t>
  </si>
  <si>
    <t>[Saunders, Ryan A.; Ward, Peter; Stowasser, Gabriele; Shreeve, Rachael; Tarling, Geraint A.] British Antarctic Survey, Nat Environm Res Council, Cambridge CB3 0ET, England</t>
  </si>
  <si>
    <t>Saunders, RA (corresponding author), British Antarctic Survey, Nat Environm Res Council, High Cross,Madingley Rd, Cambridge CB3 0ET, England.</t>
  </si>
  <si>
    <t>ryaund@bas.ac.uk</t>
  </si>
  <si>
    <t>, Martin/ABE-6728-2020; Collins, Martin A/J-8560-2017</t>
  </si>
  <si>
    <t>, Martin/0000-0001-7132-8650; Stowasser, Gabriele/0000-0002-0595-0772</t>
  </si>
  <si>
    <t>This work was carried out as part of the British Antarctic Survey's Discovery 2010 Programme that was funded by the Natural Environment Research Council. We thank the officers, crew and scientists of the RRS James Clark Ross for their assistance during the three research cruises. We also thank Emma Foster for assisting with laboratory work.</t>
  </si>
  <si>
    <t>10.1007/s00300-014-1584-9</t>
  </si>
  <si>
    <t>WOS:000350040500002</t>
  </si>
  <si>
    <t>Force, MP; Santora, JA; Reiss, CS; Loeb, VJ</t>
  </si>
  <si>
    <t>Force, Michael P.; Santora, Jarrod A.; Reiss, Christian S.; Loeb, Valerie J.</t>
  </si>
  <si>
    <t>Seabird species assemblages reflect hydrographic and biogeographic zones within Drake Passage</t>
  </si>
  <si>
    <t>Assemblages; Hydrographic fronts; Gradient; Polar Front; Seabird community; Spatial ecology</t>
  </si>
  <si>
    <t>ANTARCTIC CIRCUMPOLAR CURRENT; COMMUNITY STRUCTURE; KRILL; VARIABILITY; FRONTS; POLAR; SEA; EXTENT</t>
  </si>
  <si>
    <t>Drake Passage, extending from the southern tip of South America to the northern Antarctic Peninsula, is a dynamic oceanographic region with well-defined habitats delineated by the three strong frontal jets of the Antarctic Circumpolar Current (ACC). Here, we describe seabird species distribution patterns across Drake Passage and test the hypothesis that species assemblages broadly reflect physical characteristics of the hydrographic fronts. Strip-transect seabird surveys were conducted between Tierra del Fuego and the South Shetland Islands (700 km track line) during January-March (austral summer) over 14 years (48 crossings). Locations of the latitudinally variable fronts were assessed using in situ shipboard data on sea surface temperature and salinity; areas of high variance were used to indicate frontal features. We quantified five distinct species assemblages that correspond to biogeographic regions and relate to the positions of the Sub-Antarctic Front, Polar Front and ACC Southern Front. Dense seabird concentrations coincided with regions characterized by highly variable sea surface temperature and salinity, suggesting that associated species assemblages reflect the mesoscale hydrographic surface as indicated by sea surface conditions.</t>
  </si>
  <si>
    <t>[Force, Michael P.; Reiss, Christian S.] NOAA, Antarctic Ecosyst Res Div, SW Fisheries Sci Ctr, La Jolla, CA 92037 USA; [Santora, Jarrod A.] Univ Calif Santa Cruz, Ctr Stock Assessment Res, Santa Cruz, CA 95060 USA; [Loeb, Valerie J.] Moss Landing Marine Labs, Moss Landing, CA 95039 USA</t>
  </si>
  <si>
    <t>National Oceanic Atmospheric Admin (NOAA) - USA; University of California System; University of California Santa Cruz; Moss Landing Marine Laboratories</t>
  </si>
  <si>
    <t>Santora, JA (corresponding author), Univ Calif Santa Cruz, Ctr Stock Assessment Res, 110 Shaffer Rd, Santa Cruz, CA 95060 USA.</t>
  </si>
  <si>
    <t>jsantora@ucsc.edu</t>
  </si>
  <si>
    <t>NOAA [JG133F09SE4078]; NSF [1347911]; Southwest Fisheries Science Center; University of California, Santa Cruz; Office of Polar Programs (OPP); Directorate For Geosciences [1347911] Funding Source: National Science Foundation</t>
  </si>
  <si>
    <t>NOAA(National Oceanic Atmospheric Admin (NOAA) - USA); NSF(National Science Foundation (NSF)); Southwest Fisheries Science Center; University of California, Santa Cruz(University of California System); Office of Polar Programs (OPP); Directorate For Geosciences(National Science Foundation (NSF)NSF - Directorate for Geosciences (GEO))</t>
  </si>
  <si>
    <t>We thank the captains, crews, colleagues and multitudes of shipboard assistants over the years who helped develop the long-term AMLR data set. We thank also AMLR Program Director George Watters for facilitating the current collaborative effort. We are grateful to Roger Hewitt, whose long-term vision and enthusiastic support were invaluable during the early years of data collection. We appreciate the feedback from two anonymous reviewers which helped improve this paper. Support for MPF was provided by NOAA contract no JG133F09SE4078. J.A. Santora and V.J. Loeb were supported by NSF award no 1347911. The views expressed herein are those of the authors and do not necessarily reflect the views of NOAA or any of its subagencies. This work was partially supported by the Center for Stock Assessment Research, a partnership between the Southwest Fisheries Science Center and the University of California, Santa Cruz.</t>
  </si>
  <si>
    <t>10.1007/s00300-014-1594-7</t>
  </si>
  <si>
    <t>WOS:000350040500009</t>
  </si>
  <si>
    <t>Bulkeley, R</t>
  </si>
  <si>
    <t>Bulkeley, Rip</t>
  </si>
  <si>
    <t>Aivazovsky's Icebergs: an Antarctic mystery</t>
  </si>
  <si>
    <t>The Armenian-Russian artist Ivan Aivazovsky completed a painting of a polar seascape entitled Ledyanyye gory [Ice mountains] in 1870. The picture has usually been taken for an Antarctic scene depicting HIMS Mirnyi, one of the two ships of the Russian Antarctic Expedition of 1819-1821, in the presence of icebergs, ice cliffs and floes. The author contends, first, that this identification is open to considerable doubt, and second, that other aspects of the painting are also problematic. The painting is in the Aivazovsky Museum in Ukraine. The Museum kindly supplied him with high resolution photographs of the painting but personal scrutiny has proved impossible hitherto. Further research, especially into Aivazovsky's papers, might resolve some of the questions which it raises.</t>
  </si>
  <si>
    <t>Bulkeley, R (corresponding author), 38 Lonsdale Rd, Oxford OX2 7EW, England.</t>
  </si>
  <si>
    <t>rip@igy50.net</t>
  </si>
  <si>
    <t>10.1017/S0032247414000047</t>
  </si>
  <si>
    <t>WOS:000353023200012</t>
  </si>
  <si>
    <t>Kanao, M; Zhao, DP; Wiens, DA; Stutzmann, E</t>
  </si>
  <si>
    <t>Kanao, Masaki; Zhao, Dapeng; Wiens, Douglas A.; Stutzmann, Eleonore</t>
  </si>
  <si>
    <t>Recent advance in polar seismology: Global impact of the International Polar Year</t>
  </si>
  <si>
    <t>International polar year; Polar seismology; Global impact; Arctic and Antarctic</t>
  </si>
  <si>
    <t>The most exciting initiative for the recent polar studies was the International Polar Year (IPY) in 2007-2008. The IPY has witnessed a growing community of seismologists who have made considerable efforts to acquire high-quality data in polar regions. It also provided an excellent opportunity to make significant advances in seismic instrumentation of the polar regions to achieve scientific targets involving global issues. Taking these aspects into account, we organize and publish a special issue in Polar Science on the recent advance in polar seismology and cryoseismology as fruitful achievements of the IPY. (C) 2015 Elsevier B.V. and NIPR. All rights reserved.</t>
  </si>
  <si>
    <t>[Kanao, Masaki] Grad Univ Adv Studies SOKENDAI, Natl Inst Polar Res, Res Org Informat &amp; Syst, Tachikawa, Tokyo 1908518, Japan; [Zhao, Dapeng] Tohoku Univ, Dept Geophys, Sendai, Miyagi 9808578, Japan; [Wiens, Douglas A.] Washington Univ, Dept Earth &amp; Planetary Sci, St Louis, MO 63130 USA; [Stutzmann, Eleonore] Inst Phys Globe Paris, F-75238 Paris 05, France</t>
  </si>
  <si>
    <t>Research Organization of Information &amp; Systems (ROIS); National Institute of Polar Research (NIPR) - Japan; Graduate University for Advanced Studies - Japan; Tohoku University; Washington University (WUSTL); Universite Paris Cite</t>
  </si>
  <si>
    <t>Kanao, M (corresponding author), Grad Univ Adv Studies SOKENDAI, Natl Inst Polar Res, Res Org Informat &amp; Syst, 10-3 Midori Cho, Tachikawa, Tokyo 1908518, Japan.</t>
  </si>
  <si>
    <t>kanao@nipr.ac.jp</t>
  </si>
  <si>
    <t>Stutzmann, Eleonore/G-8511-2014; Wiens, Douglas/J-9259-2016</t>
  </si>
  <si>
    <t>Stutzmann, Eleonore/0000-0002-4348-7475; Wiens, Douglas/0000-0002-5169-4386</t>
  </si>
  <si>
    <t>10.1016/j.polar.2014.12.003</t>
  </si>
  <si>
    <t>WOS:000350993700001</t>
  </si>
  <si>
    <t>Eisen, O; Hofstede, C; Diez, A; Kristoffersen, Y; Lambrecht, A; Mayer, C; Blenkner, R; Hilmarsson, S</t>
  </si>
  <si>
    <t>Eisen, Olaf; Hofstede, Coen; Diez, Anja; Kristoffersen, Yngve; Lambrecht, Astrid; Mayer, Christoph; Blenkner, Rick; Hilmarsson, Sverrir</t>
  </si>
  <si>
    <t>On-ice vibroseis and snowstreamer systems for geoscientific research</t>
  </si>
  <si>
    <t>Vibroseis; Seismics; Antarctica; Subglacial properties; Ice sheet; Ice shelf</t>
  </si>
  <si>
    <t>WEST ANTARCTICA; STREAM; ONSET; DOME; BED</t>
  </si>
  <si>
    <t>We present implementations of vibroseis system configurations with a snowstreamer for over-ice long-distance seismic traverses (&gt; 100 km). The configurations have been evaluated in Antarctica on ice sheet and ice shelf areas in the period 2010-2014. We discuss results of two different vibroseis sources: Failing Y-1100 on skis with a peak force of 120 kN in the frequency range 10-110 Hz; IVI EnviroVibe with a nominal peak force of 66 kN in the nominal frequency range 10-300 Hz. All measurements used a well-established 60 channel 1.5 km snowstreamer for the recording. Employed forces during sweeps were limited to less than 80% of the peak force. Maximum sweep frequencies, with a typical duration of 10 s, were 100 and 250 Hz for the Failing and EnviroVibe, respectively. Three different concepts for source movement were employed: the Failing vibrator was mounted with wheels on skis and pulled by a Pistenbully snow tractor. The EnviroVibe was operated self-propelled on Mattracks on the Antarctic plateau. This lead to difficulties in soft snow. For later implementations the EnviroVibe with tracks was put on a polyethylene (PE) sled. The sled had a hole in the center to lower the vibrator baseplate directly onto the snow surface. With the latter setup, data production varied between 20 km/day for 6-fold and 40 km/day for single fold for 9 h/day of measurements. The combination of tracks with the PE-sled was especially advantageous on hard and rough surfaces because of the flexibility of each component and the relatively lose mounting. The systems presented here are suitable to obtain data of subglacial and sub-seabed sediment layers and englacial layering in comparable quality as obtained from marine geophysics and land-based explosive surveys. The large offset aperture of the streamer overcomes limitations of radar systems for imaging of steep along-track subglacial topography. With joint international scientific and logistic efforts, large-scale mapping of Antarctica's and Greenland's subglacial geology, ice-shelf cavity geometries and sea-bed strata, as well as englacial structures can be achieved. (C) 2014 Elsevier B.V. and NIPR. All rights reserved.</t>
  </si>
  <si>
    <t>[Eisen, Olaf; Hofstede, Coen; Diez, Anja; Blenkner, Rick; Hilmarsson, Sverrir] Helmholtz Zentrum Polar &amp; Meeresforsch, Alfred Wegener Inst, D-27568 Bremerhaven, Germany; [Kristoffersen, Yngve] Univ Bergen, Dept Earth Sci, N-5020 Bergen, Norway; [Lambrecht, Astrid; Mayer, Christoph] Bavarian Acad Sci &amp; Humanities, Commiss Geodesy &amp; Glaciol, Munich, Germany</t>
  </si>
  <si>
    <t>Helmholtz Association; Alfred Wegener Institute, Helmholtz Centre for Polar &amp; Marine Research; University of Bergen</t>
  </si>
  <si>
    <t>Eisen, O (corresponding author), Helmholtz Zentrum Polar &amp; Meeresforsch, Alfred Wegener Inst, Alten Hafen 26, D-27568 Bremerhaven, Germany.</t>
  </si>
  <si>
    <t>oeisen@awi.de</t>
  </si>
  <si>
    <t>Hofstede, Coen/JXM-4966-2024; Eisen, Olaf/K-3846-2012</t>
  </si>
  <si>
    <t>Eisen, Olaf/0000-0002-6380-962X; Mayer, Christoph/0000-0002-4226-4608; Diez, Anja/0000-0001-6443-6135</t>
  </si>
  <si>
    <t>Alfred Wegener Institute Helmholtz Centre for Polar and Marine Research (AWI); Department of Earth Science, University of Bergen; Norwegian Petroleum Directorate [106103]; Institute of Meteorology and Geophysics, University of Innsbruck, Austria; [EI 672/5-1]</t>
  </si>
  <si>
    <t>Alfred Wegener Institute Helmholtz Centre for Polar and Marine Research (AWI); Department of Earth Science, University of Bergen; Norwegian Petroleum Directorate; Institute of Meteorology and Geophysics, University of Innsbruck, Austria;</t>
  </si>
  <si>
    <t>We greatly appreciate the support of the Alfred Wegener Institute Helmholtz Centre for Polar and Marine Research (AWI) and the initiative and positive attitude of H. Miller, U. Nixdorf and C. Drucker to make introduction of vibroseis to the Antarctic continent possible. We thank AWI Logistics for the field support over the last years, especially J. Kohler and H. Wohltmann for salvage and grooming services at Kohnen and for constructing the PE sleds, and the teams at Neumayer III for short-term technical support for construction and traverse set-up operations. Several people provided invaluable support in the field: B.-M. Ehlers (especially for frequent geophone replacement and maintenance), R. Witt, R. Drews, P. Bohleber, D. Jansen and N. Neckel. O. Meyer (University of Bergen) was at hand at all times with critical electronic support for the Failing. We thank the British Antarctic Survey for sharing experiences with PE sleds. U. Polom (LIAG) is acknowledged for useful insights into vibroseis operations. The program was part of the LIMPICS project within the Emmy Noether program of the Deutsche Forschungsgemeinschaft (DFG) 2008-14 and funded by grant EI 672/5-1 to O. Eisen. Norwegian participation in the field was supported by Department of Earth Science, University of Bergen, and a grant from the Norwegian Petroleum Directorate (2010) (106103). The field work of A. Lambrecht in 2010 was kindly supported by the Institute of Meteorology and Geophysics, University of Innsbruck, Austria.</t>
  </si>
  <si>
    <t>10.1016/j.polar.2014.10.003</t>
  </si>
  <si>
    <t>WOS:000350993700006</t>
  </si>
  <si>
    <t>Solomina, ON; Bradley, RS; Hodgson, DA; Ivy-Ochs, S; Jomelli, V; Mackintosh, AN; Nesje, A; Owen, LA; Wanner, H; Wiles, GC; Young, NE</t>
  </si>
  <si>
    <t>Solomina, Olga N.; Bradley, Raymond S.; Hodgson, Dominic A.; Ivy-Ochs, Susan; Jomelli, Vincent; Mackintosh, Andrew N.; Nesje, Atle; Owen, Lewis A.; Wanner, Heinz; Wiles, Gregory C.; Young, Nicolas E.</t>
  </si>
  <si>
    <t>Holocene glacier fluctuations</t>
  </si>
  <si>
    <t>Holocene; Glacier variations; Global warming; Neoglacial; Holocene thermal maximum; Orbital forcings; Solar activity; Volcanic forcings; Modern glacier retreat</t>
  </si>
  <si>
    <t>LATE QUATERNARY GLACIATION; BE-10 PRODUCTION-RATE; PRODUCTION-RATE CALIBRATION; SURFACE EXPOSURE AGES; OPTICALLY STIMULATED LUMINESCENCE; EQUILIBRIUM-LINE ALTITUDES; SOUTHERN COAST MOUNTAINS; SITU COSMOGENIC BE-10; CENTRAL BROOKS RANGE; ANTARCTIC ICE-SHEET</t>
  </si>
  <si>
    <t>A global overview of glacier advances and retreats (grouped by regions and by millennia) for the Holocene is compiled from previous studies. The reconstructions of glacier fluctuations are based on 1) mapping and dating moraines defined by C-14, TCN, OSL, lichenometry and tree rings (discontinuous records/time series), and 2) sediments from proglacial lakes and speleothems (continuous records/time series). Using 189 continuous and discontinuous time series, the long-term trends and centennial fluctuations of glaciers were compared to trends in the recession of Northern and mountain tree lines, and with orbital, solar and volcanic studies to examine the likely forcing factors that drove the changes recorded. A general trend of increasing glacier size from the early-mid Holocene, to the late Holocene in the extra-tropical areas of the Northern Hemisphere (NH) is related to overall summer temperature, forced by orbitally-controlled insolation. The glaciers in New Zealand and in the tropical Andes also appear to follow the orbital trend, i.e., they were decreasing from the early Holocene to the present. In contrast, glacier fluctuations in some monsoonal areas of Asia and southern South America generally did not follow the orbital trends, but fluctuated at a higher frequency possibly triggered by distinct teleconnections patterns. During the Neoglacial, advances clustered at 4.4-4.2 ka, 3.8-3.4 ka, 3.3-2.8 ka, 2.6 ka, 2.3-2.1 ka, 1.5-1.4 ka, 12-1.0 ka, 0.7-0.5 ka, corresponding to general cooling periods in the North Atlantic. Some of these episodes coincide with multidecadal periods of low solar activity, but it is unclear what mechanism might link small changes in irradiance to widespread glacier fluctuations. Explosive volcanism may have played a role in some periods of glacier advances, such as around 1.7-1.6 ka (coinciding with the Taupo volcanic eruption at 232 +/- 5 CE) but the record of explosive volcanism is poorly known through the Holocene. The compilation of ages suggests that there is no single mechanism driving glacier fluctuations on a global scale. Multidecadal variations of solar and volcanic activity supported by positive feedbacks in the climate system may have played a critical role in Holocene glaciation, but further research on such linkages is needed. The rate and the global character of glacier retreat in the 20th through early 21st centuries appears unusual in the context of Holocene glaciation, though the retreating glaciers in most parts of the Northern Hemisphere are still larger today than they were in the early and/or mid-Holocene. The current retreat, however, is occurring during an interval of orbital forcing that is favorable for glacier growth and is therefore caused by a combination of factors other than orbital forcing, primarily strong anthropogenic effects. Glacier retreat will continue into future decades due to the delayed response of glaciers. to climate change. (C) 2014 Elsevier Ltd. All rights reserved.</t>
  </si>
  <si>
    <t>[Solomina, Olga N.] RAS, Inst Geog, Moscow 119017, Russia; [Solomina, Olga N.] Tomsk State Univ, Tomsk 634050, Russia; [Bradley, Raymond S.] Univ Massachusetts, Dept Geosci, Amherst, MA USA; [Hodgson, Dominic A.] British Antarctic Survey, Cambridge CB3 0ET, England; [Ivy-Ochs, Susan] ETH, Inst Particle Phys, CH-8093 Zurich, Switzerland; [Ivy-Ochs, Susan] Univ Zurich, Inst Geog, CH-8057 Zurich, Switzerland; [Jomelli, Vincent] Univ Paris 01, CNRS, Lab Geog Phys, F-92195 Meudon, France; [Mackintosh, Andrew N.] Victoria Univ Wellington, Antarctic Res Ctr, Wellington, New Zealand; [Nesje, Atle] Univ Bergen, Dept Earth Sci, N-5020 Bergen, Norway; [Nesje, Atle] Bjerknes Ctr Climate Res, Uni Res Klima, N-5020 Bergen, Norway; [Owen, Lewis A.] Univ Cincinnati, Dept Geol, Cincinnati, OH 45225 USA; [Wanner, Heinz] Univ Bern, Inst Geog, CH-3012 Bern, Switzerland; [Wanner, Heinz] Univ Bern, Oeschger Ctr Climate Change Res, CH-3012 Bern, Switzerland; [Wiles, Gregory C.] Coll Wooster, Dept Geol, Wooster, OH 44691 USA; [Young, Nicolas E.] Columbia Univ, Lamont Doherty Earth Observ, Palisades, NY USA</t>
  </si>
  <si>
    <t>Russian Academy of Sciences; Institute of Geography, Russian Academy of Sciences; Tomsk State University; University of Massachusetts System; University of Massachusetts Amherst; UK Research &amp; Innovation (UKRI); Natural Environment Research Council (NERC); NERC British Antarctic Survey; Swiss Federal Institutes of Technology Domain; ETH Zurich; University of Zurich; Universite Paris-Est-Creteil-Val-de-Marne (UPEC); Centre National de la Recherche Scientifique (CNRS); Victoria University Wellington; University of Bergen; Bjerknes Centre for Climate Research; University System of Ohio; University of Cincinnati; University of Bern; University of Bern; University System of Ohio; College of Wooster; Columbia University</t>
  </si>
  <si>
    <t>Solomina, ON (corresponding author), Staromonetny 29, Moscow 119017, Russia.</t>
  </si>
  <si>
    <t>olgasolomina@yandex.ru</t>
  </si>
  <si>
    <t>Solomina, Olga N/J-8353-2013; Bradley, Raymond S/P-9358-2015; jomelli, vincent/AAO-9488-2020</t>
  </si>
  <si>
    <t>Bradley, Raymond S/0000-0002-4032-9519; jomelli, vincent/0000-0002-4512-5216; Mackintosh, Andrew/0000-0002-6430-4711; Owen, Lewis/0000-0002-2525-5160</t>
  </si>
  <si>
    <t>French ANR El Paso [10-blan-68-01, ANR-10-CEPL-0008]; Scientific program of Russian Academy of Sciences (PRAS) [N 4]; Scientific program of Russian Academy of Sciences (ONZ) [N 12]; NERC [bas0100024, bas0100030] Funding Source: UKRI; Natural Environment Research Council [bas0100024, bas0100030] Funding Source: researchfish; Div Atmospheric &amp; Geospace Sciences; Directorate For Geosciences [1202218] Funding Source: National Science Foundation; Agence Nationale de la Recherche (ANR) [ANR-10-CEPL-0008] Funding Source: Agence Nationale de la Recherche (ANR)</t>
  </si>
  <si>
    <t>French ANR El Paso(Agence Nationale de la Recherche (ANR)); Scientific program of Russian Academy of Sciences (PRAS); Scientific program of Russian Academy of Sciences (ONZ); NERC(UK Research &amp; Innovation (UKRI)Natural Environment Research Council (NERC)); Natural Environment Research Council(UK Research &amp; Innovation (UKRI)Natural Environment Research Council (NERC)); Div Atmospheric &amp; Geospace Sciences; Directorate For Geosciences(National Science Foundation (NSF)NSF - Directorate for Geosciences (GEO)); Agence Nationale de la Recherche (ANR)(Agence Nationale de la Recherche (ANR))</t>
  </si>
  <si>
    <t>We sincerely thank Timothy Horscroff, Neil Glasser and Valerie Masson Delmotte for encouraging us to write this paper. Financial support for V.Jomelli was provided by the French ANR El Paso no 10-blan-68-01 and ANR-10-CEPL-0008 programs. Olga Solomina was supported by Scientific programs of Russian Academy of Sciences N 4 (PRAS) and N 12 (ONZ). We would like to thank Dr. Irina Busheva, Dr.Vladimir Mikhalenko and Ms Liudmila Lazukova for the help with figures and bibliography.</t>
  </si>
  <si>
    <t>10.1016/j.quascirev.2014.11.018</t>
  </si>
  <si>
    <t>CG6RW</t>
  </si>
  <si>
    <t>WOS:000353431100002</t>
  </si>
  <si>
    <t>Railsback, LB; Gibbard, PL; Head, MJ; Voarintsoa, NRG; Toucanne, S</t>
  </si>
  <si>
    <t>Railsback, L. Bruce; Gibbard, Philip L.; Head, Martin J.; Voarintsoa, Ny Riavo G.; Toucanne, Samuel</t>
  </si>
  <si>
    <t>An optimized scheme of lettered marine isotope substages for the last 1.0 million years, and the climatostratigraphic nature of isotope stages and substages</t>
  </si>
  <si>
    <t>Substages; Stages; Marine isotope stages; MIS; Chronology; Chronostratigraphy; Climatostratigraphy</t>
  </si>
  <si>
    <t>HEMISPHERE ICE SHEETS; CLIMATE VARIABILITY; MILLENNIAL-SCALE; LAKE BAIKAL; CHRONOLOGY AICC2012; ANTARCTIC CLIMATE; SEA-LEVEL; RECORD; PLEISTOCENE; AGE</t>
  </si>
  <si>
    <t>A complete and optimized scheme of lettered marine isotope substages spanning the last 1.0 million years is proposed. Lettered substages for Marine Isotope Stage (MIS) 5 were explicitly defined by Shackleton (1969), but analogous substages before or after MIS 5 have not been coherently defined. Short-term discrete events in the isotopic record were defined in the 1980s and given decimal-style numbers, rather than letters, but unlike substages they were neither intended nor suited to identify contiguous intervals of time. Substages for time outside MIS 5 have been lettered, or in some cases numbered, piecemeal and with conflicting designations. We therefore propose a system of lettered substages that is complete, without missing substages, and optimized to match previous published usage to the maximum extent possible. Our goal is to provide order and unity to a taxonomy and nomenclature that has developed ad hoc and somewhat chaotically over the decades. Our system is defined relative to the LR04 stack of marine benthic oxygen isotope records, and thus it is grounded in a continuous record responsive largely to changes in ice volume that are inherently global. This system is intended specifically for marine oxygen isotope stages, but it has relevance also for oxygen isotope stages recognized in time-series of non-marine oxygen isotope data, and more generally for climatic stages, which are recognized in time-series of non-isotopic as well as isotopic data. The terms stage and substage in this context are best considered to represent climatostratigraphic units, and thus climatic stages and climatic substages, because they are recognized from geochemical and sedimentary responses to climate change that may not have been synchronous at global scale. (C) 2015 Elsevier Ltd. All rights reserved.</t>
  </si>
  <si>
    <t>[Railsback, L. Bruce; Voarintsoa, Ny Riavo G.] Univ Georgia, Dept Geol, Athens, GA 30602 USA; [Gibbard, Philip L.] Univ Cambridge, Dept Geog, Cambridge CB2 3EN, England; [Head, Martin J.] Brock Univ, Dept Earth Sci, St Catharines, ON L2S 3A1, Canada; [Toucanne, Samuel] IFREMER, Lab Environm Sedimentaires, F-29280 Plouzane, France</t>
  </si>
  <si>
    <t>University System of Georgia; University of Georgia; University of Cambridge; Brock University; Ifremer</t>
  </si>
  <si>
    <t>Railsback, LB (corresponding author), Univ Georgia, Dept Geol, Athens, GA 30602 USA.</t>
  </si>
  <si>
    <t>rlsbk@gly.uga.edu</t>
  </si>
  <si>
    <t>Toucanne, Samuel/H-3437-2011; Gibbard, Phil/AAU-8014-2021</t>
  </si>
  <si>
    <t>Toucanne, Samuel/0000-0002-4858-8953; Voarintsoa, Ny Riavo/0000-0002-8823-3807</t>
  </si>
  <si>
    <t>10.1016/j.quascirev.2015.01.012</t>
  </si>
  <si>
    <t>WOS:000353431100008</t>
  </si>
  <si>
    <t>Eichler, A; Gramlich, G; Kellerhals, T; Tobler, L; Schwikowski, M</t>
  </si>
  <si>
    <t>Eichler, Anja; Gramlich, Gabriela; Kellerhals, Thomas; Tobler, Leonhard; Schwikowski, Margit</t>
  </si>
  <si>
    <t>Pb pollution from leaded gasoline in South America in the context of a 2000-year metallurgical history</t>
  </si>
  <si>
    <t>SCIENCE ADVANCES</t>
  </si>
  <si>
    <t>LAKE TITICACA BASIN; ICE CORE RECORD; ATMOSPHERIC LEAD; HEAVY-METALS; ANTARCTIC SNOW; CENTRAL ANDES; COLLAPSE; CLIMATE; EMISSIONS; SEDIMENTS</t>
  </si>
  <si>
    <t>Exploitation of the extensive polymetallic deposits of the Andean Altiplano in South America since precolonial times has caused substantial emissions of neurotoxic lead (Pb) into the atmosphere; however, its historical significance compared to recent Pb pollution from leaded gasoline is not yet resolved. We present a comprehensive Pb emission history for the last two millennia for South America, based on a continuous, high-resolution, ice core record from Illimani glacier. Illimani is the highest mountain of the eastern Bolivian Andes and is located at the northeastern margin of the Andean Altiplano. The ice core Pb deposition history revealed enhanced Pb enrichment factors (EFs) due to metallurgical processing for silver production during periods of the Tiwanaku/Wari culture (AD 450-950), the Inca empires (AD 1450-1532), colonial times (AD 1532-1900), and tin production at the beginning of the 20th century. After the 1960s, Pb EFs increased by a factor of 3 compared to the emission level from metal production, which we attribute to gasoline-related Pb emissions. Our results show that anthropogenic Pb pollution levels from road traffic in South America exceed those of any historical metallurgy in the last two millennia, even in regions with exceptional high local metallurgical activity.</t>
  </si>
  <si>
    <t>[Eichler, Anja; Gramlich, Gabriela; Tobler, Leonhard; Schwikowski, Margit] Paul Scherrer Inst, CH-5232 Villigen, Switzerland; [Eichler, Anja; Gramlich, Gabriela; Kellerhals, Thomas; Tobler, Leonhard; Schwikowski, Margit] Univ Bern, Oeschger Ctr Climate Change Res, CH-3012 Bern, Switzerland; [Gramlich, Gabriela; Schwikowski, Margit] Univ Bern, Dept Chem &amp; Biochem, CH-3012 Bern, Switzerland; [Kellerhals, Thomas] Univ Bern, Climate &amp; Environm Phys, CH-3012 Bern, Switzerland</t>
  </si>
  <si>
    <t>Swiss Federal Institutes of Technology Domain; Paul Scherrer Institute; University of Bern; University of Bern; University of Bern</t>
  </si>
  <si>
    <t>Eichler, A (corresponding author), Paul Scherrer Inst, CH-5232 Villigen, Switzerland.</t>
  </si>
  <si>
    <t>anja.eichler@psi.ch</t>
  </si>
  <si>
    <t>Eichler, Anja/A-2132-2014</t>
  </si>
  <si>
    <t>Eichler, Anja/0000-0003-0206-7463; Schwikowski, Margit/0000-0002-0856-5183</t>
  </si>
  <si>
    <t>PSI in the frame of the Forderprogramm fur Wiedereinsteigerinnen; IRD (France); PSI (Switzerland)</t>
  </si>
  <si>
    <t>This work was partly supported by PSI in the frame of the Forderprogramm fur Wiedereinsteigerinnen. The Illimani ice core drilling was a joint project funded by IRD (France) and PSI (Switzerland).</t>
  </si>
  <si>
    <t>2375-2548</t>
  </si>
  <si>
    <t>SCI ADV</t>
  </si>
  <si>
    <t>Sci. Adv.</t>
  </si>
  <si>
    <t>e1400196</t>
  </si>
  <si>
    <t>10.1126/sciadv.1400196</t>
  </si>
  <si>
    <t>V0V2X</t>
  </si>
  <si>
    <t>WOS:000216591000002</t>
  </si>
  <si>
    <t>Tang, XY; Sun, B; Guo, JX; Liu, XJ; Cui, XB; Zhao, B; Chen, Y</t>
  </si>
  <si>
    <t>Tang, Xueyuan; Sun, Bo; Guo, Jingxue; Liu, Xiaojun; Cui, Xiangbin; Zhao, Bo; Chen, Yun</t>
  </si>
  <si>
    <t>A freeze-on ice zone along the Zhongshan-Kunlun ice sheet profile, East Antarctica, by a new ground-based ice-penetrating radar</t>
  </si>
  <si>
    <t>SCIENCE BULLETIN</t>
  </si>
  <si>
    <t>Kunlun station; Dome A; Freeze-on ice; Ice-penetrating radar; East Antarctic ice sheet</t>
  </si>
  <si>
    <t>OLD ICE; THICKNESS</t>
  </si>
  <si>
    <t>The 2012/2013 Chinese Antarctic Research Expedition (CHINARE) 's inland traverse from Zhongshan station to Kunlun station on the East Antarctic ice sheet provided an opportunity to reveal englacial freeze-on ice using ice-penetrating radar. A radar dataset along the profile was collected using a new ground-based radar system with a high frequency of 150 MHz. A typical example of a freeze-on ice structure was revealed in the radar images, similar to that found in the Dome A region. The subglacial stratigraphy showed a new freeze-on ice zone with a length of 10 km near the ice-bedrock interface along the traverse, located 1,044-1,056 km from the coast.</t>
  </si>
  <si>
    <t>[Tang, Xueyuan; Sun, Bo; Guo, Jingxue; Cui, Xiangbin; Chen, Yun] Polar Res Inst China, State Ocean Adm Key Lab Polar Sci, Shanghai 200136, Peoples R China; [Liu, Xiaojun; Zhao, Bo] Chinese Acad Sci, Inst Elect, Key Lab Electromagnet Radiat &amp; Detect Technol, Beijing 100190, Peoples R China</t>
  </si>
  <si>
    <t>Polar Research Institute of China; Chinese Academy of Sciences; Institute of Electronics, CAS</t>
  </si>
  <si>
    <t>Tang, XY (corresponding author), Polar Res Inst China, State Ocean Adm Key Lab Polar Sci, Shanghai 200136, Peoples R China.</t>
  </si>
  <si>
    <t>tangxueyuan@pric.org.cn</t>
  </si>
  <si>
    <t>Liu, Xiaojun/B-1625-2009; bo, zhao/JRY-8300-2023; Cui, Xiangbin/Y-1551-2019; sun, bo/JFA-9978-2023</t>
  </si>
  <si>
    <t>Cui, Xiangbin/0000-0002-4269-8086;</t>
  </si>
  <si>
    <t>National Natural Science Foundation of China [41376192, 40906101]; National Basic Research Program of China [2012CB957702, 2013CBA01804]; Foreign Cooperation Support Program of Chinese Arctic and Antarctic Administration, State Oceanic Administration, China [IC201214]; Natural Science Foundation of Shanghai, China [13ZR1445300]</t>
  </si>
  <si>
    <t>National Natural Science Foundation of China(National Natural Science Foundation of China (NSFC)); National Basic Research Program of China(National Basic Research Program of China); Foreign Cooperation Support Program of Chinese Arctic and Antarctic Administration, State Oceanic Administration, China; Natural Science Foundation of Shanghai, China(Natural Science Foundation of Shanghai)</t>
  </si>
  <si>
    <t>The authors thank the 29th Chinese National Antarctic Research Expedition for their help in the field data collection and Richard C Hindmarsh for providing the ice model. This work was supported by the National Natural Science Foundation of China (41376192 and 40906101), the National Basic Research Program of China (2012CB957702 and 2013CBA01804), the Foreign Cooperation Support Program of Chinese Arctic and Antarctic Administration, State Oceanic Administration, China (IC201214) and the Natural Science Foundation of Shanghai, China (13ZR1445300).</t>
  </si>
  <si>
    <t>2095-9273</t>
  </si>
  <si>
    <t>2095-9281</t>
  </si>
  <si>
    <t>SCI BULL</t>
  </si>
  <si>
    <t>Sci. Bull.</t>
  </si>
  <si>
    <t>10.1007/s11434-015-0732-0</t>
  </si>
  <si>
    <t>CC7TR</t>
  </si>
  <si>
    <t>WOS:000350571800011</t>
  </si>
  <si>
    <t>Meredith, NP; Horne, RB; Isles, JD; Rodriguez, JV</t>
  </si>
  <si>
    <t>Meredith, Nigel P.; Horne, Richard B.; Isles, John D.; Rodriguez, Juan V.</t>
  </si>
  <si>
    <t>Extreme relativistic electron fluxes at geosynchronous orbit: Analysis of GOES E &gt; 2 MeV electrons</t>
  </si>
  <si>
    <t>SPACE WEATHER-THE INTERNATIONAL JOURNAL OF RESEARCH AND APPLICATIONS</t>
  </si>
  <si>
    <t>OUTER RADIATION BELT; SINGLE EVENT UPSETS; SPACECRAFT ANOMALIES; SOLAR-CYCLE; ACCELERATION; WIND; ENHANCEMENT; FREQUENCY; ENERGIES; TIME</t>
  </si>
  <si>
    <t>Relativistic electrons (E &gt; 1 MeV) cause internal charging on satellites and are an important space weather hazard. A key requirement in space weather research concerns extreme events and knowledge of the largest flux expected to be encountered over the lifetime of a satellite mission. This is interesting both from scientific and practical points of view since satellite operators, engineers, and the insurance industry need this information to better evaluate the effects of extreme events on their spacecraft. Here we conduct an extreme value analysis of daily averaged E &gt; 2 MeV electron fluxes from the Geostationary Operational Environmental Satellites (GOES) during the 19.5 year period from 1 January 1995 to 30 June 2014. We find that the daily averaged flux measured at GOES West is typically a factor of about 2.5 higher than that measured at GOES East, and we conduct independent analyses for these two locations. The 1 in 10, 1 in 50, and 1 in 100 year daily averaged E &gt; 2 MeV electron fluxes at GOES West are 1.84 x10(5), 5.00 x10(5), and 7.68 x10(5) cm(-2) s(-1) sr(-1), respectively. The corresponding fluxes at GOES East are 6.53 x10(4), 1.98 x10(5), and 3.25 x10(5) cm(-2) s(-1) sr(-1), respectively. The largest fluxes seen during the 19.5 year period on 29 July 2004 were particularly extreme and were seen by satellites at GOES West and GOES East. The extreme value analysis suggests that this event was a 1 in 50 year event.</t>
  </si>
  <si>
    <t>[Meredith, Nigel P.; Horne, Richard B.; Isles, John D.] NERC, British Antarct Survey, Cambridge, England; [Rodriguez, Juan V.] Univ Colorado, Cooperat Inst Res Environm Sci, Boulder, CO 80309 USA; [Rodriguez, Juan V.] Natl Ocean &amp; Atmospher Adm, Natl Geophys Data Ctr, Boulder, CO USA</t>
  </si>
  <si>
    <t>UK Research &amp; Innovation (UKRI); Natural Environment Research Council (NERC); NERC British Antarctic Survey; University of Colorado System; University of Colorado Boulder; National Oceanic Atmospheric Admin (NOAA) - USA</t>
  </si>
  <si>
    <t>Meredith, NP (corresponding author), NERC, British Antarct Survey, Cambridge, England.</t>
  </si>
  <si>
    <t>nmer@bas.ac.uk</t>
  </si>
  <si>
    <t>Meredith, Nigel P/C-5806-2018; Rodriguez, Juan/AAA-3588-2022; Horne, Richard B/U-3764-2019</t>
  </si>
  <si>
    <t>Horne, Richard B/0000-0002-0412-6407; Meredith, Nigel/0000-0001-5032-3463</t>
  </si>
  <si>
    <t>Natural Environment Research Council; European Union [606716]; NGDC Task II under the CIRES; Natural Environment Research Council [bas0100031, bas0100023] Funding Source: researchfish; NERC [bas0100023, bas0100031] Funding Source: UKRI</t>
  </si>
  <si>
    <t>Natural Environment Research Council(UK Research &amp; Innovation (UKRI)Natural Environment Research Council (NERC)); European Union(European Union (EU)); NGDC Task II under the CIRES; Natural Environment Research Council(UK Research &amp; Innovation (UKRI)Natural Environment Research Council (NERC)); NERC(UK Research &amp; Innovation (UKRI)Natural Environment Research Council (NERC))</t>
  </si>
  <si>
    <t>We thank T. Onsager and A. Newman for providing the count rates from the earlier GOES satellites in support of the dead time correction calculation. We also thank the Satellite Situation Center Web (SSCWeb) at NASA Goddard Space Flight Center for making the satellite locations available and the NSSDC Omniweb for provision of the geomagnetic indices. This study is part of the British Antarctic Survey Polar Science for Planet Earth program. The research leading to these results has received funding from the Natural Environment Research Council and the European Union Seventh Framework Programme (FP7/2007-2013) under grant agreement 606716 (SPACESTORM). J.V.R. was supported by NGDC Task II under the CIRES Cooperative Agreement between NOAA and the University of Colorado. The data used to generate the plots in this paper are stored at the BAS Polar Data Centre and are available on request.</t>
  </si>
  <si>
    <t>1542-7390</t>
  </si>
  <si>
    <t>SPACE WEATHER</t>
  </si>
  <si>
    <t>Space Weather</t>
  </si>
  <si>
    <t>10.1002/2014SW001143</t>
  </si>
  <si>
    <t>Astronomy &amp; Astrophysics; Geochemistry &amp; Geophysics; Meteorology &amp; Atmospheric Sciences</t>
  </si>
  <si>
    <t>CG1JX</t>
  </si>
  <si>
    <t>WOS:000353030000005</t>
  </si>
  <si>
    <t>Venkatesan, R; Vedachalam, N; Sundar, R; Muthiah, MA; Prasad, P; Atmanand, MA</t>
  </si>
  <si>
    <t>Venkatesan, R.; Vedachalam, N.; Sundar, R.; Muthiah, M. Arul; Prasad, P.; Atmanand, M. A.</t>
  </si>
  <si>
    <t>Assessment of the reliability of the Indian tsunami buoy system</t>
  </si>
  <si>
    <t>UNDERWATER TECHNOLOGY</t>
  </si>
  <si>
    <t>buoy; health safety environment; mean time between failure; reliability; safety integrity level; tsunami</t>
  </si>
  <si>
    <t>The present paper analyses the reliability of the Indian tsunami buoy system (ITBS) from the point of view of societal importance. The ITBS was developed and maintained by the National Institute of Ocean Technology (NIOT) in the Bay of Bengal and Arabian Sea. The system involves high-precision ocean bottom pressure measurement, in situ computation and acoustic telemetering devices installed on the ocean floor, which transmit the anomalous change in the water column to the moored surface buoy. The surface buoy, in turn, relays data to the mission control centre shore station for predicting and advancing decisions in the event of a tsunami. The system has to be operational throughout the year and alert the Indian coastline in the event of a tsunami, and therefore the system should be trustworthy. Since its inception in 2007, the system has undergone many technological improvements with the main focus being on reliability. The health, safety and environment analysis indicates that, with one offshore node reporting its health every 10 hours to the mission control centre, the system could comply with the stringent Safety Integrity Level (SIL) 4. The result is found to comply with the actual system where reporting every hour is being implemented. The present study gives confidence on the ITBS's reliable support to the Indian Early Tsunami Warning System.</t>
  </si>
  <si>
    <t>[Venkatesan, R.; Vedachalam, N.; Sundar, R.; Muthiah, M. Arul; Prasad, P.; Atmanand, M. A.] Natl Inst Ocean Technol, Madras, Tamil Nadu, India</t>
  </si>
  <si>
    <t>Ministry of Earth Sciences (MoES) - India; National Institute of Ocean Technology (NIOT)</t>
  </si>
  <si>
    <t>Vedachalam, N (corresponding author), Natl Inst Ocean Technol, Madras, Tamil Nadu, India.</t>
  </si>
  <si>
    <t>veda1973@gmail.com</t>
  </si>
  <si>
    <t>M A, Atmanand/A-1610-2016</t>
  </si>
  <si>
    <t>Ramasamy, Venkatesan/0000-0001-7386-1539</t>
  </si>
  <si>
    <t>Ministry of Earth Sciences, Government of India; National Centre for Antarctic and Ocean Research (NCAOR), Goa; INCOIS, Hyderabad</t>
  </si>
  <si>
    <t>Ministry of Earth Sciences, Government of India(Ministry of Earth Science (MoES), Government of India); National Centre for Antarctic and Ocean Research (NCAOR), Goa; INCOIS, Hyderabad</t>
  </si>
  <si>
    <t>The authors thank the Ministry of Earth Sciences, Government of India for funding this project. The authors are indebted to the Directors of National Centre for Antarctic and Ocean Research (NCAOR), Goa and INCOIS, Hyderabad, for their support. The authors also thank the staff of the Ocean Observation Systems (OOS) group, Vessel Management Cell of the NIOT, and the ship staff for their excellent help and support on-board.</t>
  </si>
  <si>
    <t>SOC UNDERWATER TECHNOLOGY</t>
  </si>
  <si>
    <t>80 COLEMAN ST, LONDON EC2R 5BJ, ENGLAND</t>
  </si>
  <si>
    <t>1756-0543</t>
  </si>
  <si>
    <t>1756-0551</t>
  </si>
  <si>
    <t>UNDERWATER TECHNOL</t>
  </si>
  <si>
    <t>Underw. Technol.</t>
  </si>
  <si>
    <t>10.3723/ut.32.255</t>
  </si>
  <si>
    <t>Engineering, Ocean</t>
  </si>
  <si>
    <t>VD8IG</t>
  </si>
  <si>
    <t>WOS:000437647600005</t>
  </si>
  <si>
    <t>Böser, S; Kowalski, M; Schulte, L; Strotjohann, NL; Voge, M</t>
  </si>
  <si>
    <t>Boeser, Sebastian; Kowalski, Marek; Schulte, Lukas; Strotjohann, Nora Linn; Voge, Markus</t>
  </si>
  <si>
    <t>Detecting extra-galactic supernova neutrinos in the Antarctic ice</t>
  </si>
  <si>
    <t>Supernovae; Core-collapse; Neutrino physics; Neutrino detectors</t>
  </si>
  <si>
    <t>OPTICAL-PROPERTIES; WATER; PERFORMANCE; SPECTRUM</t>
  </si>
  <si>
    <t>Building on the technological success of the IceCube neutrino telescope, we outline a prospective low-energy extension that utilizes the clear ice of the South Pole. Aiming at a 10 Mton effective volume and a 10 MeV threshold, the detector would provide sufficient sensitivity to detect neutrino bursts from core-collapse supernovae (SNe) in nearby galaxies. The detector geometry and required density of instrumentation are discussed along with the requirements to control the various sources of background, such as solar neutrinos. In particular, the suppression of spallation events induced by atmospheric muons poses a challenge that will need to be addressed. Assuming this background can be controlled, we find that the resulting detector will be able to detect SNe from beyond 10 Mpc, delivering between 10 and 41 regular core-collapse SN detections per decade. It would further allow to study more speculative phenomena, such as optically dark (failed) SNe, where the collapse proceeds directly to a black hole, at a detection rate similar to that of regular SNe. We find that the biggest technological challenge lies in the required number of large area photo-sensors, with simultaneous strict limits on the allowed noise rates. If both can be realized, the detector concept we present will reach the required sensitivity with a comparatively small construction effort and hence offers a route to future routine observations of SNe with neutrinos. (C) 2014 Elsevier B.V. All rights reserved.</t>
  </si>
  <si>
    <t>[Boeser, Sebastian; Kowalski, Marek; Schulte, Lukas; Strotjohann, Nora Linn; Voge, Markus] Univ Bonn, Inst Phys, D-53115 Bonn, Germany</t>
  </si>
  <si>
    <t>University of Bonn</t>
  </si>
  <si>
    <t>Böser, S (corresponding author), Univ Bonn, Inst Phys, Nussallee 12, D-53115 Bonn, Germany.</t>
  </si>
  <si>
    <t>sboeser@physik.uni-bonn.de</t>
  </si>
  <si>
    <t>Strotjohann, Nora Linn/GPX-7122-2022; Kowalski, Marek/G-5546-2012</t>
  </si>
  <si>
    <t>Kowalski, Marek/0000-0001-8594-8666; Strotjohann, Nora Linn/0000-0002-4667-6730; Voge, Markus/0000-0003-1349-9456</t>
  </si>
  <si>
    <t>Helmholtz Alliance for Astroparticle Physics (HAP)</t>
  </si>
  <si>
    <t>We would like to thank Imre Bartos, John Beacom, Francis Halzen, Allan Hallgren, and Lutz Kopke for fruitful discussions, as well as the Ice Cube collaboration for graciously allowing us to use its photon tracking software. We acknowledge support from the Helmholtz Alliance for Astroparticle Physics (HAP).</t>
  </si>
  <si>
    <t>10.1016/j.astropartphys.2014.07.010</t>
  </si>
  <si>
    <t>WOS:000346548200008</t>
  </si>
  <si>
    <t>Urbini, S; Cafarella, L; Tabacco, IE; Baskaradas, JA; Serafini, M; Zirizzotti, A</t>
  </si>
  <si>
    <t>Urbini, S.; Cafarella, L.; Tabacco, I. E.; Baskaradas, J. A.; Serafini, M.; Zirizzotti, A.</t>
  </si>
  <si>
    <t>RES Signatures of Ice Bottom Near to Dome C (Antarctica)</t>
  </si>
  <si>
    <t>Bedrock; Dome C; EPICA; reflectivity; radio-echo sounding (RES) data analysis</t>
  </si>
  <si>
    <t>SUBGLACIAL WATER; CORE SITE; SURFACE; TOPOGRAPHY; SYSTEM; BED; BENEATH; VOSTOK; FLOW</t>
  </si>
  <si>
    <t>Geophysical surveys have played a fundamental role in glaciology, climatology, and geology studies conducted at and around the site of the EPICA Dome C Ice Core (Antarctica). Analysis of radio-echo sounding (RES) data collected during the 2009 and 2011 Italian Antarctic Expeditions, in the immediate vicinity (2 km) of the Core site, reveals the presence of small-scale bedrock structures. Data acquired during the 2011 campaign, which applied the latest updates of our instrument, show double echoes from the ice bottom separated by very small time intervals. These reflections are distributed close to the topographic dome and do not always correspond to particular features of the bedrock structure, but instead may correspond to small-scale subglacial water storage. The unprecedented spatial resolution of the basal environment for Dome C from these recent surveys allows us to identify this and other features that have been missed by previous larger scale RES surveys of this area.</t>
  </si>
  <si>
    <t>[Urbini, S.; Cafarella, L.; Tabacco, I. E.; Baskaradas, J. A.; Serafini, M.; Zirizzotti, A.] Ist Nazl Geofis &amp; Vulcanol, I-00143 Rome, Italy</t>
  </si>
  <si>
    <t>Istituto Nazionale Geofisica e Vulcanologia (INGV)</t>
  </si>
  <si>
    <t>Urbini, S (corresponding author), Ist Nazl Geofis &amp; Vulcanol, I-00143 Rome, Italy.</t>
  </si>
  <si>
    <t>Baskaradas, James A/C-2616-2012; Zirizzotti, Achille/HKE-0592-2023; Cafarella, Lili/HTO-5890-2023; cafarella, lili/G-4160-2011</t>
  </si>
  <si>
    <t>Zirizzotti, Achille/0000-0001-7586-9219; urbini, stefano/0000-0002-8053-4197; BASKARADAS, James Arokiasamy/0000-0001-8596-1377; cafarella, lili/0000-0003-2005-8923</t>
  </si>
  <si>
    <t>Programma Nazionale di Ricerche in Antartide</t>
  </si>
  <si>
    <t>This work was supported as part of the framework of the Programma Nazionale di Ricerche in Antartide.</t>
  </si>
  <si>
    <t>10.1109/TGRS.2014.2345457</t>
  </si>
  <si>
    <t>WOS:000343900600036</t>
  </si>
  <si>
    <t>Vettoretti, G; Peltier, WR</t>
  </si>
  <si>
    <t>Vettoretti, Guido; Peltier, W. Richard</t>
  </si>
  <si>
    <t>Interhemispheric air temperature phase relationships in the nonlinear Dansgaard-Oeschger oscillation</t>
  </si>
  <si>
    <t>ANTARCTIC SEA-ICE; GLACIAL CLIMATE; LAST DEGLACIATION; OCEAN CIRCULATION; HEAT-TRANSPORT; VARIABILITY; GREENLAND; MODEL; CYCLE; CORES</t>
  </si>
  <si>
    <t>It has previously been suggested that the Southern Ocean might act as a thermal reservoir in mediating the relationship between the northern and southern hemisphere air temperature signals during a Dansgaard-Oeschger cycle. On the basis of a climate model-based analysis, we demonstrate on the contrary that it is equatorial and subtropical North Atlantic thermocline waters that act so as to integrate and damp the northern hemisphere signal to fix the amplitude and phase of the southern hemisphere counterpart to the more intense North Atlantic component of the oscillation. The dynamics of the Southern Ocean component of the Atlantic meridional overturning circulation are critical in explaining the evolution of the interhemispheric temperature phase relationships. European Project for Ice Coring in Antarctica Dronning Maud Land-inferred air temperature variations are in phase with sea surface temperatures north of the Antarctic sea ice edge, suggesting that it is via a fast atmospheric pathway that this temperature signal is transmitted into the Antarctic ice core record.</t>
  </si>
  <si>
    <t>[Vettoretti, Guido; Peltier, W. Richard] Univ Toronto, Dept Phys, Toronto, ON, Canada</t>
  </si>
  <si>
    <t>University of Toronto</t>
  </si>
  <si>
    <t>Vettoretti, G (corresponding author), Univ Toronto, Dept Phys, Toronto, ON, Canada.</t>
  </si>
  <si>
    <t>g.vettoretti@utoronto.ca</t>
  </si>
  <si>
    <t>Peltier, William R./A-1102-2008</t>
  </si>
  <si>
    <t>Vettoretti, Guido/0000-0002-0272-0488</t>
  </si>
  <si>
    <t>NSERC [A9627]</t>
  </si>
  <si>
    <t>NSERC(Natural Sciences and Engineering Research Council of Canada (NSERC))</t>
  </si>
  <si>
    <t>The research has relied upon computational resources provided by the SciNet facility for high-performance computation of the University of Toronto through the Compute Canada resource allocation process. SciNet is a component of the Compute Canada HPC platform. The research of W.R.P. at Toronto is supported by NSERC Discovery grant A9627. The data employed in the production of this manuscript and supporting information can be provided upon request by contacting Guido Vettoretti, e-mail: g. vettoretti@utoronto.ca.</t>
  </si>
  <si>
    <t>FEB 28</t>
  </si>
  <si>
    <t>10.1002/2014GL062898</t>
  </si>
  <si>
    <t>CE5DY</t>
  </si>
  <si>
    <t>WOS:000351851900028</t>
  </si>
  <si>
    <t>Lubin, D; Kahn, BH; Lazzara, MA; Rowe, P; Walden, V</t>
  </si>
  <si>
    <t>Lubin, Dan; Kahn, Brian H.; Lazzara, Matthew A.; Rowe, Penny; Walden, Von P.</t>
  </si>
  <si>
    <t>Variability in AIRS-retrieved cloud amount and thermodynamic phase over west versus east Antarctica influenced by the SAM</t>
  </si>
  <si>
    <t>REFRACTIVE-INDEXES; ANNULAR MODE; SURFACE; CLIMATE; TEMPERATURE; WATER</t>
  </si>
  <si>
    <t>In a sample of summertime cloud retrievals from the NASA Atmospheric Infrared Sounder (AIRS), a positive Southern Annular Mode (SAM) index polarity is associated with greater cloud frequency and larger effective cloud fraction over West Antarctica compared with a negative SAM index polarity. The opposite result appears over the high East Antarctic Plateau. Comparing AIRS-retrieved cloud fraction with Antarctic Automatic Weather Station 2 m air temperature data, a positive and significant correlation is found over most of West Antarctica, signifying a longwave heating effect of clouds. Over East Antarctica correlations between Sun elevation and 2 m air temperature are strongest, consistent with lower cloud amount.</t>
  </si>
  <si>
    <t>[Lubin, Dan] Univ Calif San Diego, Scripps Inst Oceanog, La Jolla, CA 92093 USA; [Kahn, Brian H.] NASA, Jet Prop Lab, Pasadena, CA USA; [Lazzara, Matthew A.] Univ Wisconsin, Ctr Space Sci &amp; Engn, Madison, WI 53706 USA; [Lazzara, Matthew A.] Madison Area Tech Coll, Dept Phys Sci, Madison, WI USA; [Rowe, Penny] Univ Idaho, Dept Geog, Moscow, ID 83843 USA; [Rowe, Penny] Univ Santiago Chile, Dept Fis, Santiago, Chile; [Walden, Von P.] Washington State Univ, Dept Civil &amp; Environm Engn, Lab Atmospher Res, Pullman, WA 99164 USA</t>
  </si>
  <si>
    <t>University of California System; University of California San Diego; Scripps Institution of Oceanography; National Aeronautics &amp; Space Administration (NASA); NASA Jet Propulsion Laboratory (JPL); University of Wisconsin System; University of Wisconsin Madison; Idaho; University of Idaho; Universidad de Santiago de Chile; Washington State University</t>
  </si>
  <si>
    <t>Lubin, D (corresponding author), Univ Calif San Diego, Scripps Inst Oceanog, La Jolla, CA 92093 USA.</t>
  </si>
  <si>
    <t>dlubin@ucsd.edu</t>
  </si>
  <si>
    <t>Lazzara, Matthew/0000-0002-4343-498X</t>
  </si>
  <si>
    <t>NASA Radiation Sciences Program [NNX08AF79G]; NSF [ARC-1108451]; USACH-DICYT Postdoc; AIRS project at JPL; U.S. National Science Foundation [ANT-0944018, ANT-1245663]; Directorate For Geosciences; Office of Polar Programs (OPP) [1245663] Funding Source: National Science Foundation; Directorate For Geosciences; Office of Polar Programs (OPP) [1108451] Funding Source: National Science Foundation</t>
  </si>
  <si>
    <t>NASA Radiation Sciences Program(National Aeronautics &amp; Space Administration (NASA)); NSF(National Science Foundation (NSF)); USACH-DICYT Postdoc; AIRS project at JPL; U.S. National Science Foundation(National Science Foundation (NSF)); Directorate For Geosciences; Office of Polar Programs (OPP)(National Science Foundation (NSF)NSF - Directorate for Geosciences (GEO)); Directorate For Geosciences; Office of Polar Programs (OPP)(National Science Foundation (NSF)NSF - Directorate for Geosciences (GEO))</t>
  </si>
  <si>
    <t>The AIRS version 6 data sets were processed and obtained from the Goddard Earth Services Data and Information Services Center (http://daac.gsfc.nasa.gov) and the AIRS Project Science and Computing Facility at JPL. ERA-Interim data were obtained from the University Corporation for Atmospheric Research (UCAR) CISL Research Data Archive (http://rda.ucar.edu). D. Lubin, P. Rowe, and V.P. Walden were supported by the NASA Radiation Sciences Program under grant NNX08AF79G. P. Rowe also received support from NSF award ARC-1108451 and from USACH-DICYT Postdoc. B. H. Kahn was supported by the AIRS project at JPL. A portion of this research was carried out at the Jet Propulsion Laboratory (JPL), California Institute of Technology, under a contract with the National Aeronautics and Space Administration. We thank Linda Keller of the University of Wisconsin for timely processing of the Antarctic Automatic Weather Station (AWS) data. The AWS program appreciates the support of the U.S. National Science Foundation under ANT-0944018 and ANT-1245663.</t>
  </si>
  <si>
    <t>10.1002/2014GL062285</t>
  </si>
  <si>
    <t>WOS:000351851900037</t>
  </si>
  <si>
    <t>Calle, P; Alvarado, O; Monserrate, L; Cevallos, JM; Calle, N; Alava, JJ</t>
  </si>
  <si>
    <t>Calle, Paola; Alvarado, Omar; Monserrate, Lorena; Manuel Cevallos, Juan; Calle, Nastenka; Alava, Juan Jose</t>
  </si>
  <si>
    <t>Mercury accumulation in sediments and seabird feathers from the Antarctic Peninsula</t>
  </si>
  <si>
    <t>Mercury; Sediment; Seabirds; BMF; BSAF</t>
  </si>
  <si>
    <t>CATHARACTA-SKUA; BIRDS; SEA; CONTAMINATION; CRITERIA; SELENIUM; CADMIUM; ISLAND; AIR; AGE</t>
  </si>
  <si>
    <t>In an effort to assess the impact of mercury in the Antarctic Peninsula, we conducted ecotoxicological research in this region during the summer of 2012 and 2013. The objectives were to assess: (a) mercury levels in sediment samples; (b) mercury accumulation in Antarctic seabird feathers: Catharacta lonnbergi (brown skua), Pygoscelis papua (gentoo penguin) and Pygoscelis antarctica (chinstrap penguin); and (c) biomagnification (BMF predator/prey) and biota sediment accumulation (BSAF skuas/sediment) factors. Mercury concentrations in sediment were relatively low. Mercury concentrations were significantly higher in brown skuas and gentoo penguins than in chinstrap penguins (2012), and significantly higher in brown skuas than in both penguins (2013). BMF indicated 2-7.5 times greater mercury levels in brown skuas than in penguins. BSAF values suggested an apparent temporal decrease of 18.2% of this ratio from 2012 to 2013. Long-range environmental transport is the likely route of entry of mercury into the Antarctic Peninsula. (C) 2014 Elsevier Ltd. All rights reserved.</t>
  </si>
  <si>
    <t>[Calle, Paola; Alvarado, Omar] Escuela Super Politecn Litoral, Fac Ciencias Maritimes Ocean &amp; Recursos Nat, Guayaquil, Ecuador; [Monserrate, Lorena; Manuel Cevallos, Juan] Escuela Super Politecn Litoral, Ctr Invest Biotecnol Ecuador, Guayaquil, Ecuador; [Calle, Nastenka] Simon Fraser Univ, Pacific Inst Climate Solut, Burnaby, BC V5A 1S6, Canada; [Alava, Juan Jose] Simon Fraser Univ, Fac Environm, Sch Resource &amp; Environm Management, Burnaby, BC V5A 1S6, Canada</t>
  </si>
  <si>
    <t>Escuela Superior Politecnica del Litoral; Escuela Superior Politecnica del Litoral; Simon Fraser University; Simon Fraser University</t>
  </si>
  <si>
    <t>Calle, P (corresponding author), Escuela Super Politecn Litoral, Fac Ciencias Maritimes Ocean &amp; Recursos Nat, Guayaquil, Ecuador.</t>
  </si>
  <si>
    <t>pcalle@espol.edu.ec</t>
  </si>
  <si>
    <t>Alava, Juan Jose/Q-3968-2019</t>
  </si>
  <si>
    <t>Alava, Juan Jose/0000-0002-6312-7776; Calle, Paola/0000-0002-0236-2000; Monserrate-Maggi, Lorena/0000-0001-9161-9471; Cevallos-Cevallos, Juan/0000-0003-4609-7998</t>
  </si>
  <si>
    <t>Secretaria de Educacion Superior, Ciencia, Tecnologia e Innovacion (SENESCYT); INAE; Escuela Superior Politecnica del Litoral</t>
  </si>
  <si>
    <t>We thank the referees, Dr. W. Aguirre and Dr. J. Nieto for their review, insights and editorial work to improve the paper. Special thanks to COLACMAR and Dr. P. Muniz for the opportunity to publish this article in this special issue of the Marine Pollution Bulletin. We are in debt with the staff and military personnel of the Instituto Antartico Ecuatoriano/Ecuadorian Antarctic Institute (INAE), especially CPNV Jose Olmedo Moran, for the logistics and coordination for the XVI and XVII Ecuadorian-Antarctic expeditions. We thank Dr. Victoria Otton for providing valuable insights and suggestions to improve the article and we also thank Peter Olaya. This research was funded by Secretaria de Educacion Superior, Ciencia, Tecnologia e Innovacion (SENESCYT), INAE and the Escuela Superior Politecnica del Litoral.</t>
  </si>
  <si>
    <t>10.1016/j.marpolbul.2014.10.009</t>
  </si>
  <si>
    <t>CE6VU</t>
  </si>
  <si>
    <t>WOS:000351977100003</t>
  </si>
  <si>
    <t>Horne, RB</t>
  </si>
  <si>
    <t>Horne, Richard B.</t>
  </si>
  <si>
    <t>Trapping and acceleration of upflowing ionospheric electrons in the magnetosphere by electrostatic electron cyclotron harmonic waves</t>
  </si>
  <si>
    <t>FIELD OBSERVATIONS; POLAR CUSP; DISTRIBUTIONS; EMISSIONS; BEAMS; DIFFUSION; DRIVEN; HISS</t>
  </si>
  <si>
    <t>During geomagnetically active conditions upflowing field-aligned electrons which form part of the Birkland current system have been observed at energies of up to 100 eV. If the first adiabatic invariant is conserved, these electrons would reach the conjugate ionosphere without trapping in the magnetosphere. Here we show, by using quasi-linear diffusion theory, that electrostatic electron cyclotron harmonic (ECH) waves can diffuse these low-energy electrons in pitch angle via Doppler-shifted cyclotron resonance and trap them in the magnetosphere. We show that energy diffusion is comparable to pitch angle diffusion up to energies of a few keV. We suggest that ECH waves trap ionospheric electrons in the magnetosphere and accelerate them to produce butterfly pitch angle distributions at energies of up to a few keV. We suggest that ECH waves play a role in magnetosphere-ionosphere coupling and help provide the source electron population for the radiation belts.</t>
  </si>
  <si>
    <t>Horne, RB (corresponding author), British Antarctic Survey, Cambridge CB3 0ET, England.</t>
  </si>
  <si>
    <t>R.Horne@bas.ac.uk</t>
  </si>
  <si>
    <t>Horne, Richard B/U-3764-2019</t>
  </si>
  <si>
    <t>Horne, Richard B/0000-0002-0412-6407</t>
  </si>
  <si>
    <t>European Union [606716 SPACESTORM]; STFC [ST/I001727/1]; Natural Environment Research Council; NERC [bas0100023, bas0100031] Funding Source: UKRI; STFC [ST/M00130X/1, ST/I001727/1] Funding Source: UKRI; Natural Environment Research Council [bas0100031, bas0100023] Funding Source: researchfish; Science and Technology Facilities Council [ST/I001727/1, ST/M00130X/1] Funding Source: researchfish</t>
  </si>
  <si>
    <t>European Union(European Union (EU)); STFC(UK Research &amp; Innovation (UKRI)Science &amp; Technology Facilities Council (STFC)); Natural Environment Research Council(UK Research &amp; Innovation (UKRI)Natural Environment Research Council (NERC)); NERC(UK Research &amp; Innovation (UKRI)Natural Environment Research Council (NERC)); STFC(UK Research &amp; Innovation (UKRI)Science &amp; Technology Facilities Council (STFC)); Natural Environment Research Council(UK Research &amp; Innovation (UKRI)Natural Environment Research Council (NERC)); Science and Technology Facilities Council(UK Research &amp; Innovation (UKRI)Science &amp; Technology Facilities Council (STFC))</t>
  </si>
  <si>
    <t>The research leading to these results has received funding from the European Union Seventh Framework Programme (FP7/2007-2013) under grant agreement 606716 SPACESTORM, STFC grant ST/I001727/1, and the Natural Environment Research Council.</t>
  </si>
  <si>
    <t>10.1002/2014GL062406</t>
  </si>
  <si>
    <t>WOS:000351851900002</t>
  </si>
  <si>
    <t>Rosso, I; Hogg, AM; Kiss, AE; Gayen, B</t>
  </si>
  <si>
    <t>Rosso, Isabella; Hogg, Andrew McC.; Kiss, Andrew E.; Gayen, Bishakhdatta</t>
  </si>
  <si>
    <t>Topographic influence on submesoscale dynamics in the Southern Ocean</t>
  </si>
  <si>
    <t>ANTARCTIC CIRCUMPOLAR CURRENT; KERGUELEN PLATEAU; MIXED-LAYER; PART I; MESOSCALE; PHYTOPLANKTON; FRONTOGENESIS; TRANSPORT; RESTRATIFICATION; VARIABILITY</t>
  </si>
  <si>
    <t>Topography influences the circulation in the Southern Ocean, generating stationary meanders in the lee of topographic features, triggering hot spots of mesoscale eddy kinetic energy, and modifying jets and fronts. However, the relationship between topography and submesoscale flows (with length scales of order 1-10 km) has not yet been explored. The first submesoscale-resolving (1/80 degrees resolution) ocean model, with realistic topography of the Indian sector of the Southern Ocean, is used to investigate this interaction. The results show spatial inhomogeneity in submesoscale activity that is correlated with topography. Topographic influence is primarily indirect: topography controls mesoscale flows, which in turn generate submesoscale activity. Mesoscale eddy kinetic energy and strain rate can be used, to first order, to infer submesoscale vertical velocity, implying a possible route to parameterise submesoscale activity in coarser resolution models.</t>
  </si>
  <si>
    <t>[Rosso, Isabella; Hogg, Andrew McC.; Gayen, Bishakhdatta] Australian Natl Univ, Res Sch Earth Sci, Canberra, ACT, Australia; [Rosso, Isabella; Hogg, Andrew McC.; Kiss, Andrew E.] ARC Ctr Excellence Climate Syst Sci, Sydney, NSW, Australia; [Rosso, Isabella] CSIRO Wealth Oceans Res Flagship, Hobart, Tas, Australia; [Kiss, Andrew E.] Univ New S Wales, Sch Phys Environm &amp; Math Sci, Canberra, ACT, Australia; [Kiss, Andrew E.] Australian Def Force Acad, Canberra, ACT, Australia</t>
  </si>
  <si>
    <t>Australian National University; ARC Centre of Excellence for Climate System Science; Commonwealth Scientific &amp; Industrial Research Organisation (CSIRO); Australian Defense Force Academy; University of New South Wales Sydney; Australian Defense Force Academy</t>
  </si>
  <si>
    <t>Rosso, I (corresponding author), Australian Natl Univ, Res Sch Earth Sci, Canberra, ACT, Australia.</t>
  </si>
  <si>
    <t>isa.rosso@anu.edu.au</t>
  </si>
  <si>
    <t>Hogg, Andy McC./A-7553-2011; Hogg, Andy/AAZ-8733-2021; Gayen, Bishakhdatta/Y-4300-2019; Kiss, Andrew E/E-7733-2016</t>
  </si>
  <si>
    <t>Hogg, Andy McC./0000-0001-5898-7635; Hogg, Andy/0000-0001-5898-7635; Gayen, Bishakhdatta/0000-0001-6543-2590; Kiss, Andrew E/0000-0001-8960-9557; rosso, isabella/0000-0002-6761-7297</t>
  </si>
  <si>
    <t>Australian Research Council Future Fellowship [FT120100842]; ARC DECRA Fellowship [DE140100089]; Australian Research Council [DE140100089] Funding Source: Australian Research Council</t>
  </si>
  <si>
    <t>Australian Research Council Future Fellowship(Australian Research Council); ARC DECRA Fellowship(Australian Research Council); Australian Research Council(Australian Research Council)</t>
  </si>
  <si>
    <t>The MITgcm numerical model used for the simulations is available at http://mitgcm.org. SOSE fields used throughout the simulations were provided by M. Mazloff (Scripps Institution of Oceanography, UCSD), and data can be found at http://sose.ucsd.edu. A. Hogg was supported by Australian Research Council Future Fellowship FT120100842 and B. Gayen by ARC DECRA Fellowship DE140100089. Numerical simulations and analyses were conducted using the National Facility of the Australian National Computational Infrastructure. The authors greatly thank Maxim Nikurashin for helpful comments and suggestions.</t>
  </si>
  <si>
    <t>10.1002/2014GL062720</t>
  </si>
  <si>
    <t>WOS:000351851900023</t>
  </si>
  <si>
    <t>King, JC; Gadian, A; Kirchgaessner, A; Munneke, PK; Lachlan-Cope, TA; Orr, A; Reijmer, C; van den Broeke, MR; van Wessem, JM; Weeks, M</t>
  </si>
  <si>
    <t>King, J. C.; Gadian, A.; Kirchgaessner, A.; Munneke, P. Kuipers; Lachlan-Cope, T. A.; Orr, A.; Reijmer, C.; van den Broeke, M. R.; van Wessem, J. M.; Weeks, M.</t>
  </si>
  <si>
    <t>Validation of the summertime surface energy budget of Larsen C Ice Shelf (Antarctica) as represented in three high-resolution atmospheric models</t>
  </si>
  <si>
    <t>HEMISPHERE ANNULAR MODE; POLAR WEATHER RESEARCH; BOUNDARY-LAYER; CLIMATE MODEL; PART I; CONFIGURATION; PERFORMANCE; BALANCE; SCHEME; WATER</t>
  </si>
  <si>
    <t>We compare measurements of the turbulent and radiative surface energy fluxes from an automatic weather station (AWS) on Larsen C Ice Shelf, Antarctica with corresponding fluxes from three high-resolution atmospheric models over a 1 month period during austral summer. All three models produce a reasonable simulation of the (relatively small) turbulent energy fluxes at the AWS site. However, biases in the modeled radiative fluxes, which dominate the surface energy budget, are significant. There is a significant positive bias in net shortwave radiation in all three models, together with a corresponding negative bias in net longwave radiation. In two of the models, the longwave bias only partially offsets the positive shortwave bias, leading to an excessive amount of energy available for heating and melting the surface, while, in the third, the negative longwave bias exceeds the positive shortwave bias, leading to a deficiency in calculated surface melt. Biases in shortwave and longwave radiation are anticorrelated, suggesting that they both result from the models simulating too little cloud (or clouds that are too optically thin). We conclude that, while these models may be able to provide some useful information on surface energy fluxes, absolute values of modeled melt rate are significantly biased and should be used with caution. Efforts to improve model simulation of melt should initially focus on the radiative fluxes and, in particular, on the simulation of the clouds that control these fluxes.</t>
  </si>
  <si>
    <t>[King, J. C.; Kirchgaessner, A.; Lachlan-Cope, T. A.; Orr, A.] British Antarctic Survey, Cambridge CB3 0ET, England; [Gadian, A.] Univ Leeds, Natl Ctr Atmospher Sci, Leeds, W Yorkshire, England; [Munneke, P. Kuipers; Reijmer, C.; van den Broeke, M. R.; van Wessem, J. M.] Univ Utrecht, Inst Marine &amp; Atmospher Res, Utrecht, Netherlands; [Weeks, M.] Met Off, Exeter, Devon, England</t>
  </si>
  <si>
    <t>UK Research &amp; Innovation (UKRI); Natural Environment Research Council (NERC); NERC British Antarctic Survey; UK Research &amp; Innovation (UKRI); Natural Environment Research Council (NERC); NERC National Centre for Atmospheric Science; University of Leeds; Utrecht University; Met Office - UK</t>
  </si>
  <si>
    <t>King, JC (corresponding author), British Antarctic Survey, Cambridge CB3 0ET, England.</t>
  </si>
  <si>
    <t>jcki@bas.ac.uk</t>
  </si>
  <si>
    <t>van Wessem, Melchior/AAB-1987-2019; Reijmer, Carleen H/G-8736-2011; Kirchgaessner, Amelie/JGL-9010-2023; Van den Broeke, Michiel R./F-7867-2011</t>
  </si>
  <si>
    <t>Reijmer, Carleen H/0000-0001-8299-3883; Kirchgaessner, Amelie/0000-0001-7483-3652; Van den Broeke, Michiel R./0000-0003-4662-7565; van Wessem, Melchior/0000-0003-3221-791X</t>
  </si>
  <si>
    <t>UK Natural Environment Research Council (NERC) [NE/G014124/1]; Netherlands Organisation for Scientific Research [818.01.016]; Netherlands Polar Program(NPP); Netherlands Organization of Scientific Research, Earth and Life Sciences section (NWO/ALW); NERC [ncas10005, ncas10003, NE/G014124/1] Funding Source: UKRI; Natural Environment Research Council [ncas10005, NE/G014124/1, ncas10003] Funding Source: researchfish</t>
  </si>
  <si>
    <t>UK Natural Environment Research Council (NERC)(UK Research &amp; Innovation (UKRI)Natural Environment Research Council (NERC)); Netherlands Organisation for Scientific Research(Netherlands Organization for Scientific Research (NWO)); Netherlands Polar Program(NPP); Netherlands Organization of Scientific Research, Earth and Life Sciences section (NWO/ALW)(Netherlands Organization for Scientific Research (NWO)); NERC(UK Research &amp; Innovation (UKRI)Natural Environment Research Council (NERC)); Natural Environment Research Council(UK Research &amp; Innovation (UKRI)Natural Environment Research Council (NERC))</t>
  </si>
  <si>
    <t>Data from AWS14 are available on request from IMAU, University of Utrecht (contact c.h.tijm-reijmer@uu.nl). Radiosonde observations from the AWS14 site may be obtained from the British Atmospheric Data Centre. AMPS model data are available through the Earth System Grid (www.earthsystem-grid.org). Data from the RACMO2.3 run used in this study are available on request from IMAU, University of Utrecht (contact m.r.vandenbroeke@uu.nl). Data from the 4 km Unified Model run (run reference xfkye) are archived at the UK Meteorological Office. The work reported in this paper was supported by the UK Natural Environment Research Council (NERC) under grant NE/G014124/1 Orographic Flows and the Climate of the Antarctic Peninsula and by the Netherlands Organisation for Scientific Research under grant 818.01.016. The IMAU AWS are funded by the Netherlands Polar Program(NPP) and the Netherlands Organization of Scientific Research, Earth and Life Sciences section (NWO/ALW). The UM simulations were carried out on the MONSooN supercomputer system, a collaborative facility supplied under the Joint Weather and Climate Research Programme, which is a strategic partnership between the UK Met Office and the NERC. We thank the Mesoscale and Microscale Meteorology Division of the National Center for Atmospheric Research for giving us access to the AMPS forecast archive, and the British Antarctic Survey staff at Rothera Research Station for supporting the field measurement program.</t>
  </si>
  <si>
    <t>FEB 27</t>
  </si>
  <si>
    <t>10.1002/2014JD022604</t>
  </si>
  <si>
    <t>CD6EN</t>
  </si>
  <si>
    <t>WOS:000351182400007</t>
  </si>
  <si>
    <t>Hughes, KA; Cowan, DA; Wilmotte, A</t>
  </si>
  <si>
    <t>Hughes, Kevin A.; Cowan, Don A.; Wilmotte, Annick</t>
  </si>
  <si>
    <t>Protection of Antarctic microbial communities - 'out of sight, out of mind'</t>
  </si>
  <si>
    <t>Antarctica; conservation; microbial diversity; human impact; inviolate area</t>
  </si>
  <si>
    <t>NON-INDIGENOUS MICROORGANISMS; LONG-TERM SURVIVAL; BACTERIAL; DIVERSITY; CHALLENGES; VALLEY; CONTAMINATION; PATTERNS; ENDEMISM; ROCKS</t>
  </si>
  <si>
    <t>Recent advances in molecular biology techniques have shown the presence of diverse microbial communities and endemic species in Antarctica. Endemic microbes may be a potential source of novel biotechnologically important compounds, including, for example, new antibiotics. Thus, the scientific and biotechnological value of Antarctic terrestrial microbial habitats can be compromised by human visitation to a greater extent than previously realized. The ever-increasing human footprint in Antarctica makes consideration of this topic more pressing, as the number of locations known to be pristine habitats, where increasingly sophisticated cutting-edge research techniques may be used to their full potential, declines. Examination of the Protected Areas system of the Antarctic Treaty shows that microbial habitats are generally poorly protected. No other continent on Earth is dominated to the same degree by microbial species, and real opportunities exist to develop new ways of conceptualizing and implementing conservation of microbial biogeography on a continental scale. Here we highlight potential threats both to the conservation of terrestrial microbial ecosystems, and to future scientific research requiring their study.</t>
  </si>
  <si>
    <t>[Hughes, Kevin A.] British Antarctic Survey, NERC, Cambridge CB3 0ET, England; [Cowan, Don A.] Univ Pretoria, Dept Genet, Ctr Microbial Ecol &amp; Genom, ZA-0002 Pretoria, South Africa; [Wilmotte, Annick] Univ Liege, Dept Life Sci, Ctr Prot Engn, Bacterial Physiol &amp; Genet, Liege, Belgium</t>
  </si>
  <si>
    <t>UK Research &amp; Innovation (UKRI); Natural Environment Research Council (NERC); NERC British Antarctic Survey; University of Pretoria; University of Liege</t>
  </si>
  <si>
    <t>Hughes, KA (corresponding author), British Antarctic Survey, NERC, Madingley Rd, Cambridge CB3 0ET, England.</t>
  </si>
  <si>
    <t>Wilmotte, Annick/H-1686-2011; Cowan, Donald A/E-3991-2012; Hughes, Kevin/JVZ-0793-2024</t>
  </si>
  <si>
    <t>Cowan, Donald A/0000-0001-8059-861X; Wilmotte, Annick/0000-0003-3546-3489</t>
  </si>
  <si>
    <t>Belgian Science Policy Oftice [SD/BA/03A]; UK Natural Environment Research Council; NERC [bas010011] Funding Source: UKRI; Natural Environment Research Council [bas010011] Funding Source: researchfish</t>
  </si>
  <si>
    <t>Belgian Science Policy Oftice; UK Natural Environment Research Council(UK Research &amp; Innovation (UKRI)Natural Environment Research Council (NERC)); NERC(UK Research &amp; Innovation (UKRI)Natural Environment Research Council (NERC)); Natural Environment Research Council(UK Research &amp; Innovation (UKRI)Natural Environment Research Council (NERC))</t>
  </si>
  <si>
    <t>This paper is a contribution to the Scientific Committee on Antarctic Research (SCAR) AntEco (State of the Antarctic Ecosystem) research programme and the British Antarctic Survey's Polar Science for Planet Earth core programme EO-LEMS (Environment Office Long Term Monitoring and Survey). A. Wilmotte is Research Associate of the Belgian Funds for Scientific Research FRS-FNRS and thanks the Belgian Science Policy Oftice for the support of the CCAMBIO (SD/BA/03A) project and her participation to the Belgian delegation to the Committee on Environmental Protection (CEP) of the Antarctic Treaty. KH acknowledges ongoing funding by the UK Natural Environment Research Council in support of his research and his participation in the UK delegation to the CEP. Thanks are due to Prof. A. Choquet (Brest Business School, Prance) for useful discussions and to two reviewers for helpful comments.</t>
  </si>
  <si>
    <t>FEB 25</t>
  </si>
  <si>
    <t>10.3389/fmicb.2015.00151</t>
  </si>
  <si>
    <t>CC7PD</t>
  </si>
  <si>
    <t>WOS:000350559500002</t>
  </si>
  <si>
    <t>Kaczmarek, L; Michalczyk, L; Mcinnes, SJ</t>
  </si>
  <si>
    <t>Kaczmarek, Lukasz; Michalczyk, Lukasz; Mcinnes, Sandra J.</t>
  </si>
  <si>
    <t>Annotated zoogeography of non-marine Tardigrada. Part II: South America</t>
  </si>
  <si>
    <t>biogeography; Neotropic ecozone; species list; tardigrades; taxonomy</t>
  </si>
  <si>
    <t>MACROBIOTUS-HUFELANDI GROUP; MOUNTAINS NATIONAL-PARK; SP-NOV EUTARDIGRADA; MEDIUM-SIZED CITY; TIERRA-DEL-FUEGO; SPECIES TARDIGRADA; NORTH-CAROLINA; MOLECULAR-DATA; RE-DESCRIPTION; NEW-ZEALAND</t>
  </si>
  <si>
    <t>This paper is the second monograph of nine that describes the global records of limno-terrestrial water bears (Tardigrada). Here, we provide a comprehensive list of non-marine tardigrades recorded from South America, providing an updated and revised taxonomy accompanied by geographic co-ordinates, habitat, and biogeographic comments. It is hoped this work will serve as a reference point and background for further zoogeographical and taxonomical studies.</t>
  </si>
  <si>
    <t>[Kaczmarek, Lukasz] Adam Mickiewicz Univ, Fac Biol, Dept Anim Taxon &amp; Ecol, PL-61614 Poznan, Poland; [Michalczyk, Lukasz] Jagiellonian Univ, Inst Zool, Dept Entomol, PL-30387 Krakow, Poland; [Mcinnes, Sandra J.] British Antarctic Survey, Cambridge CB3 0ET, England; [Kaczmarek, Lukasz] Univ Estatal Amazon, Lab Ecol Nat &amp; Aplicada Invertebrados, Pastaza, Ecuador</t>
  </si>
  <si>
    <t>Adam Mickiewicz University; Jagiellonian University; UK Research &amp; Innovation (UKRI); Natural Environment Research Council (NERC); NERC British Antarctic Survey</t>
  </si>
  <si>
    <t>Kaczmarek, L (corresponding author), Adam Mickiewicz Univ, Fac Biol, Dept Anim Taxon &amp; Ecol, Umultowska 89, PL-61614 Poznan, Poland.</t>
  </si>
  <si>
    <t>kaczmar@amu.edu.pl; LM@tardigrada.net; s.mcinnes@bas.ac.uk</t>
  </si>
  <si>
    <t>McInnes, Sandra/AAN-4773-2020; Kaczmarek, Lukasz/A-2000-2008; Michalczyk, Lukasz/D-1362-2009</t>
  </si>
  <si>
    <t>McInnes, Sandra/0000-0003-3403-9379; Kaczmarek, Lukasz/0000-0002-5260-6253; Michalczyk, Lukasz/0000-0002-2912-4870</t>
  </si>
  <si>
    <t>Polish Ministry of Science and Higher Education via the Iuventus Plus programme [IP2010 015570]; Prometeo Project of the Secretariat for Higher Education, Science, Technology and Innovation of the Republic of Ecuador; Natural Environment Research Council [bas0100025] Funding Source: researchfish; NERC [bas0100025] Funding Source: UKRI</t>
  </si>
  <si>
    <t>Polish Ministry of Science and Higher Education via the Iuventus Plus programme; Prometeo Project of the Secretariat for Higher Education, Science, Technology and Innovation of the Republic of Ecuador; Natural Environment Research Council(UK Research &amp; Innovation (UKRI)Natural Environment Research Council (NERC)); NERC(UK Research &amp; Innovation (UKRI)Natural Environment Research Council (NERC))</t>
  </si>
  <si>
    <t>This work was partially supported by the Polish Ministry of Science and Higher Education via the Iuventus Plus programme (grant: IP2010 015570, Invertebrate biodiversity in temporary ponds of Costa Rica - verification of the Great American Biotic Interchange hypothesis) and by the Prometeo Project of the Secretariat for Higher Education, Science, Technology and Innovation of the Republic of Ecuador to LK.</t>
  </si>
  <si>
    <t>CB9UC</t>
  </si>
  <si>
    <t>WOS:000349977600001</t>
  </si>
  <si>
    <t>Uglietti, C; Gabrielli, P; Cooke, CA; Vallelonga, P; Thompson, LG</t>
  </si>
  <si>
    <t>Uglietti, Chiara; Gabrielli, Paolo; Cooke, Colin A.; Vallelonga, Paul; Thompson, Lonnie G.</t>
  </si>
  <si>
    <t>Widespread pollution of the South American atmosphere predates the industrial revolution by 240 y</t>
  </si>
  <si>
    <t>paleoenvironment; ice cores; metallurgy; Colonial period; Anthropocene</t>
  </si>
  <si>
    <t>ANTARCTIC SNOW RECORD; ICE CORE RECORDS; HEAVY-METALS; LAKE-SEDIMENTS; LEAD; GREENLAND; METALLURGY; COPPER; ROMAN; VARIABILITY</t>
  </si>
  <si>
    <t>In the Southern Hemisphere, evidence for preindustrial atmospheric pollution is restricted to a few geological archives of low temporal resolution that record trace element deposition originating from past mining and metallurgical operations in South America. Therefore, the timing and the spatial impact of these activities on the past atmosphere remain poorly constrained. Here we present an annually resolved ice core record (A.D. 793-1989) from the high-altitude drilling site of Quelccaya (Peru) that archives preindustrial and industrial variations in trace elements. During the precolonial period (i.e., pre-A. D. 1532), the deposition of trace elements was mainly dominated by the fallout of aeolian dust and of ash from occasional volcanic eruptions, indicating that metallurgic production during the Inca Empire (A.D. 1438-1532) had a negligible impact on the South American atmosphere. In contrast, a widespread anthropogenic signal is evident after around A.D. 1540, which corresponds with the beginning of colonial mining and metallurgy in Peru and Bolivia, similar to 240 y before the Industrial Revolution. This shift was due to a major technological transition for silver extraction in South America (A.D. 1572), from lead-based smelting to mercury amalgamation, which precipitated a massive increase in mining activities. However, deposition of toxic trace metals during the Colonial era was still several factors lower than 20th century pollution that was unprecedented over the entirety of human history.</t>
  </si>
  <si>
    <t>[Uglietti, Chiara; Gabrielli, Paolo; Thompson, Lonnie G.] Ohio State Univ, Byrd Polar &amp; Climate Res Ctr, Columbus, OH 43210 USA; [Gabrielli, Paolo; Thompson, Lonnie G.] Ohio State Univ, Sch Earth Sci, Columbus, OH 43210 USA; [Cooke, Colin A.] Yale Univ, Dept Geol &amp; Geophys, New Haven, CT 06520 USA; [Vallelonga, Paul] Univ Copenhagen, Niels Bohr Inst, Ctr Ice &amp; Climate, DK-2100 Copenhagen O, Denmark</t>
  </si>
  <si>
    <t>University System of Ohio; Ohio State University; University System of Ohio; Ohio State University; Yale University; University of Copenhagen; Niels Bohr Institute</t>
  </si>
  <si>
    <t>Gabrielli, P (corresponding author), Ohio State Univ, Byrd Polar &amp; Climate Res Ctr, Columbus, OH 43210 USA.</t>
  </si>
  <si>
    <t>gabrielli.1@osu.edu</t>
  </si>
  <si>
    <t>Cooke, Colin A/E-7842-2011; Vallelonga, Paul/I-9650-2016</t>
  </si>
  <si>
    <t>Vallelonga, Paul/0000-0003-1055-7235; Cooke, Colin/0000-0002-7417-5263</t>
  </si>
  <si>
    <t>National Science Foundation (NSF) Paleoclimate Program [ATM-0318430]; Ohio State University (OSU); NSF-Major Research Instrumentation Award [0820779]; Climate Water Carbon program of OSU; Office of Polar Programs (OPP); Directorate For Geosciences [0820779] Funding Source: National Science Foundation</t>
  </si>
  <si>
    <t>National Science Foundation (NSF) Paleoclimate Program(National Science Foundation (NSF)NSF - Directorate for Geosciences (GEO)); Ohio State University (OSU)(Ohio State University); NSF-Major Research Instrumentation Award(National Science Foundation (NSF)); Climate Water Carbon program of OSU; Office of Polar Programs (OPP); Directorate For Geosciences(National Science Foundation (NSF)NSF - Directorate for Geosciences (GEO))</t>
  </si>
  <si>
    <t>We are very grateful to Mary Davis for reviewing early drafts of this manuscript and to Francois De Vleeschouwer for providing Tierra del Fuego data. We thank all the field and laboratory team members, many from the Byrd Polar and Climate Research Center (BPCRC), who have worked so diligently over the years to acquire these ice cores and extract their preserved climate histories. We acknowledge the efforts of our Peruvian colleagues from the Servicio Nacional deMeteorologia e Hidrologia, particularly C. Portocarrero, and our mountaineers, led by B. Vicencio, who cooperated with us to make the project possible. This work was funded under the National Science Foundation (NSF) Paleoclimate Program Award ATM-0318430 and by The Ohio State University (OSU) as part of the Byrd Polar Research Fellowship 2011-2013. The mass spectrometer (ICP-SFMS) at the BPCRC was funded by NSF-Major Research Instrumentation Award 0820779 and by the Climate Water Carbon program of OSU. This is BPCRC contribution 1535.</t>
  </si>
  <si>
    <t>1091-6490</t>
  </si>
  <si>
    <t>FEB 24</t>
  </si>
  <si>
    <t>10.1073/pnas.1421119112</t>
  </si>
  <si>
    <t>CB8WE</t>
  </si>
  <si>
    <t>WOS:000349911700031</t>
  </si>
  <si>
    <t>Galloway, DJ</t>
  </si>
  <si>
    <t>Galloway, David J.</t>
  </si>
  <si>
    <t>Contributions to a history of New Zealand lichenology 5*. James Murray (1923-1961)</t>
  </si>
  <si>
    <t>Antarctic lichens; correspondence; Lobariaceae; New Zealand biography; New Zealand lichens</t>
  </si>
  <si>
    <t>LICHENISED ASCOMYCOTINA; MOLECULAR PHYLOGENY; S-LAT; PSEUDOCYPHELLARIA; GENUS; FUNGI; PELTIGERALES; EVOLUTION; GENERA; SPHAEROPHORACEAE</t>
  </si>
  <si>
    <t>James Murray (1923-1961), an organic chemist by profession, was also New Zealand's first modern lichenologist. Having a wide knowledge of New Zealand plants, and a very competent grasp of post-war natural product chemistry, he was well qualified to take up lichens at a period when chemosystematics was just becoming important in the group. His early published work was to influence the emerging field of lichen bioactive compounds, and 50 years later, generic concepts in the Lobariaceae. Murray's joint careers in organic chemistry and lichenology were tragically cut short by his early accidental death; his legacy being a handful of papers and an extensive lichen herbarium (now at OTA). However, James Murray's example and influence have resonated much more widely than these concrete accomplishments. To enable his contributions to be properly appreciated, the present biographical memoir outlines his life, work and legacy to modern lichenology. The genus Yarrumia D.J. Galloway is described in Murray's honour and two new combinations are made: Y. colensoi (C.Bab.) D.J. Galloway and Y. coronata (Mull.Arg.) D.J. Galloway.</t>
  </si>
  <si>
    <t>[Galloway, David J.] Landcare Res New Zealand Ltd, Dunedin 9054, New Zealand</t>
  </si>
  <si>
    <t>Landcare Research - New Zealand</t>
  </si>
  <si>
    <t>FEB 20</t>
  </si>
  <si>
    <t>CC3DX</t>
  </si>
  <si>
    <t>WOS:000350226400001</t>
  </si>
  <si>
    <t>Lowry, JK; Kilgallen, NM</t>
  </si>
  <si>
    <t>Lowry, J. K.; Kilgallen, N. M.</t>
  </si>
  <si>
    <t>Debroyerella gen. nov and Ulladulla gen. nov., two new lysianassoid genera (Crustacea, Amphipoda, Lysianassoidea)</t>
  </si>
  <si>
    <t>Australia; Antarctica; Lysianassoidea; new genus; new species; Debroyerella; Ulladulla</t>
  </si>
  <si>
    <t>ANTARCTICA</t>
  </si>
  <si>
    <t>Two new genera and a new species of lysianassoid amphipods are described. Debroyerella gen. nov. is described for three Antarctic species previously assigned to the genus Cheirimedon. Ulladulla gen. nov. is described to accommodate the new species U. selje, from Australian waters. Diagnostic descriptions are given for the genera and all species are described in full.</t>
  </si>
  <si>
    <t>[Lowry, J. K.; Kilgallen, N. M.] Australian Museum Res Inst, Sydney, NSW 2010, Australia</t>
  </si>
  <si>
    <t>Australian Museum</t>
  </si>
  <si>
    <t>Lowry, JK (corresponding author), Australian Museum Res Inst, 6 Coll St, Sydney, NSW 2010, Australia.</t>
  </si>
  <si>
    <t>jim.lowry@austmus.gov.au; niamh.kilgallen@austmus.gov.au</t>
  </si>
  <si>
    <t>ABRS grant [RF212-13]</t>
  </si>
  <si>
    <t>ABRS grant</t>
  </si>
  <si>
    <t>Thanks to Helen Stoddart for preliminary work on the taxa in this paper, Lauren Hughes for inking the plates, Stephen Keable and the Australian Museum collection management team, and Jo Taylor for making the Museum Victoria collections available for study. We thank two anonymous referees whose comments improved our paper. This study was funded by an ABRS grant (RF212-13).</t>
  </si>
  <si>
    <t>FEB 19</t>
  </si>
  <si>
    <t>10.11646/zootaxa.3920.1.7</t>
  </si>
  <si>
    <t>CB5VZ</t>
  </si>
  <si>
    <t>WOS:000349697100007</t>
  </si>
  <si>
    <t>Monniot, F; Dettai, A</t>
  </si>
  <si>
    <t>Monniot, Francoise; Dettai, Agnes</t>
  </si>
  <si>
    <t>Pedunculate Molgula species (Ascidiidae, Molgulidae) from the French Antarctic sector. Redescription and taxonomic revision</t>
  </si>
  <si>
    <t>Antarctic; Ascidians; Molgula species</t>
  </si>
  <si>
    <t>ASCIDIANS TUNICATA; POTTER COVE; SCOTIA ARC</t>
  </si>
  <si>
    <t>Following the Challenger Expedition in the southern Hemisphere, several international surveys have studied Antarctic ascidians. Several pedunculate Molgula were successively described under various names. From the French part of the Antarctic continent and the Kerguelen area, numerous Molgula were recently collected. They are described here in different species, but closely allied. Their taxonomy is revised with an historical review of the most detailed publications and a link to the ancient names.</t>
  </si>
  <si>
    <t>[Monniot, Francoise] Museum Natl Hist Nat, DMPA, F-75231 Paris 05, France; [Dettai, Agnes] Museum Natl Hist Nat, Inst Syst &amp; Evolut, YSYEB UMR 7205, UMPC EPHE, F-75231 Paris 05, France</t>
  </si>
  <si>
    <t>Museum National d'Histoire Naturelle (MNHN); Museum National d'Histoire Naturelle (MNHN); Sorbonne Universite</t>
  </si>
  <si>
    <t>Monniot, F (corresponding author), Museum Natl Hist Nat, DMPA, 57 Rue Cuvier Fr, F-75231 Paris 05, France.</t>
  </si>
  <si>
    <t>monniot@mnhn.fr; adettai@mnhn.fr</t>
  </si>
  <si>
    <t>Dettai, Agnes/Q-6743-2019</t>
  </si>
  <si>
    <t>IPY Project [53]; Australian Antarctic Division; Japanese Science Foundation; French Polar Institute IPEV; CNRS; MNHN; ANR (White Project ANTFLOCKs USAR) [07-BLAN-0213-01]; IPEV; ANR ANTFLOCKs; Bibliotheque du Vivant - CNRS; INRA; CEA (Genoscope); MNHN ATM Barcode; Service de Systematique Moleculaire [UMS 2700 OMSI]</t>
  </si>
  <si>
    <t>IPY Project; Australian Antarctic Division; Japanese Science Foundation; French Polar Institute IPEV; CNRS(Centre National de la Recherche Scientifique (CNRS)); MNHN; ANR (White Project ANTFLOCKs USAR)(Agence Nationale de la Recherche (ANR)); IPEV; ANR ANTFLOCKs(Agence Nationale de la Recherche (ANR)); Bibliotheque du Vivant - CNRS; INRA; CEA (Genoscope); MNHN ATM Barcode; Service de Systematique Moleculaire</t>
  </si>
  <si>
    <t>We thank Marcos Tatian for the informations given on his material and valuable discussions about taxonomy, and Philippe Bouchet for his advice on nomenclatural matters. Thanks to the crews of the ships and participants to the cruises involved in specimen collection. The POKER 2010, 2013 cruises were supported by the contributions of French ship owners involved in the Kerguelen Islands fisheries with the logistic help of TAA F. The cruises of Aurora Australis (IPY Project no 53) were supported by the Australian Antarctic Division, the Japanese Science Foundation, the French Polar Institute IPEV, the CNRS, the MNHN and the ANR (White Project ANTFLOCKs USAR no 07-BLAN-0213-01). REVOLTA is a research program supported by IPEV and the ANR ANTFLOCKs. The molecular data acquisition was supported by the network Bibliotheque du Vivant funded by the CNRS, the MNHN, the INRA and the CEA (Genoscope), by the MNHN ATM Barcode (PI S. Samadi-J.-N. Labat), with support from the Service de Systematique Moleculaire (UMS 2700 OMSI).</t>
  </si>
  <si>
    <t>10.11646/zootaxa.3920.1.9</t>
  </si>
  <si>
    <t>WOS:000349697100009</t>
  </si>
  <si>
    <t>Marzinelli, EM; Williams, SB; Babcock, RC; Barrett, NS; Johnson, CR; Jordan, A; Kendrick, GA; Pizarro, OR; Smale, DA; Steinberg, PD</t>
  </si>
  <si>
    <t>Marzinelli, Ezequiel M.; Williams, Stefan B.; Babcock, Russell C.; Barrett, Neville S.; Johnson, Craig R.; Jordan, Alan; Kendrick, Gary A.; Pizarro, Oscar R.; Smale, Dan A.; Steinberg, Peter D.</t>
  </si>
  <si>
    <t>Large-Scale Geographic Variation in Distribution and Abundance of Australian Deep-Water Kelp Forests</t>
  </si>
  <si>
    <t>NEW-SOUTH-WALES; ECKLONIA-RADIATA; CLIMATE-CHANGE; SUBTIDAL HABITAT; SEA-URCHINS; CORAL-REEFS; BIODIVERSITY; COMMUNITIES; TEMPERATURE; RESILIENCE</t>
  </si>
  <si>
    <t>Despite the significance of marine habitat-forming organisms, little is known about their largescale distribution and abundance in deeper waters, where they are difficult to access. Such information is necessary to develop sound conservation and management strategies. Kelps are main habitat-formers in temperate reefs worldwide; however, these habitats are highly sensitive to environmental change. The kelp Ecklonia radiate is the major habitat-forming organism on subtidal reefs in temperate Australia. Here, we provide large-scale ecological data encompassing the latitudinal distribution along the continent of these kelp forests, which is a necessary first step towards quantitative inferences about the effects of climatic change and other stressors on these valuable habitats. We used the Autonomous Underwater Vehicle (AUV) facility of Australia's IntegratedMarine Observing System (IMOS) to survey 157,000 m(2) of seabed, of which ca 13,000 m(2) were used to quantify kelp covers at multiple spatial scales (10100 m to 100-1,000 km) and depths (15-60 m) across several regions ca 2-6 degrees latitude apart along the East and West coast of Australia. We investigated the large-scale geographic variation in distribution and abundance of deep-water kelp (&gt;15 m depth) and their relationships with physical variables. Kelp cover generally increased with latitude despite great variability at smaller spatial scales. Maximum depth of kelp occurrence was 40-50 m. Kelp latitudinal distribution along the continent was most strongly related to water temperature and substratum availability. This extensive survey data, coupled with ongoing AUV missions, will allow for the detection of long-term shifts in the distribution and abundance of habitat-forming kelp and the organisms they support on a continental scale, and provide information necessary for successful implementation and management of conservation reserves.</t>
  </si>
  <si>
    <t>[Marzinelli, Ezequiel M.; Steinberg, Peter D.] Sydney Inst Marine Sci, Mosman, NSW, Australia; [Marzinelli, Ezequiel M.; Steinberg, Peter D.] Univ New S Wales, Ctr Marine Bioinnovat, Sydney, NSW, Australia; [Marzinelli, Ezequiel M.; Steinberg, Peter D.] Univ New S Wales, Sch Biol Earth &amp; Environm Sci, Sydney, NSW, Australia; [Williams, Stefan B.; Pizarro, Oscar R.] Univ Sydney, Australian Ctr Field Robot, Sydney, NSW 2006, Australia; [Babcock, Russell C.] CSIRO Marine &amp; Atmospher Res, Brisbane, Qld, Australia; [Barrett, Neville S.; Johnson, Craig R.] Univ Tasmania, Inst Marine &amp; Antarctic Studies, Hobart, Tas, Australia; [Jordan, Alan] New South Wales Govt, Port Stephens Fisheries Inst, Dept Primary Ind, Nelson Bay, NSW, Australia; [Kendrick, Gary A.; Smale, Dan A.] Univ Western Australia, Oceans Inst, Perth, WA 6009, Australia; [Kendrick, Gary A.; Smale, Dan A.] Univ Western Australia, Sch Plant Biol, Perth, WA 6009, Australia; [Smale, Dan A.] The Lab, Marine Biol Assoc United Kingdom, Plymouth, Devon, England</t>
  </si>
  <si>
    <t>Sydney Institute of Marine Science; University of New South Wales Sydney; University of New South Wales Sydney; University of Sydney; Commonwealth Scientific &amp; Industrial Research Organisation (CSIRO); University of Tasmania; NSW Department of Primary Industries; University of Western Australia; University of Western Australia; Marine Biological Association United Kingdom</t>
  </si>
  <si>
    <t>Marzinelli, EM (corresponding author), Sydney Inst Marine Sci, Mosman, NSW, Australia.</t>
  </si>
  <si>
    <t>e.marzinelli@unsw.edu.au</t>
  </si>
  <si>
    <t>Kendrick, Gary Andrew/B-3460-2011; Smale, Daniel/Y-2909-2019; Marzinelli, Ezequiel/AAH-2906-2019; Williams, Stefan/AAE-4376-2020; Smale, Dan A/B-3240-2011; Johnson, Craig/E-1788-2013; Barrett, Neville/J-7593-2014; Babcock, Russell/A-3794-2012</t>
  </si>
  <si>
    <t>Kendrick, Gary Andrew/0000-0002-0276-6064; Smale, Daniel/0000-0003-4157-541X; Marzinelli, Ezequiel/0000-0002-3762-3389; Williams, Stefan/0000-0001-9416-5639; Johnson, Craig/0000-0002-9511-905X; Steinberg, Peter/0000-0002-1781-0726; Barrett, Neville/0000-0002-6167-1356; Babcock, Russell/0000-0002-7756-1290; Pizarro, Oscar/0000-0001-6612-2738</t>
  </si>
  <si>
    <t>IMOS through the Department of Innovation, Industry, Science and Research National Collaborative Research Infrastructure Scheme and Education Investment Fund; Office of Science and Research; University of Western Australia; University of Sydney, Sydney Institute of Marine Science; NSW Office of Environment and Heritage; Institute of Marine and Antarctic Studies; Natural Environment Research Council [NE/K008439/1] Funding Source: researchfish; NERC [NE/K008439/1] Funding Source: UKRI</t>
  </si>
  <si>
    <t>IMOS through the Department of Innovation, Industry, Science and Research National Collaborative Research Infrastructure Scheme and Education Investment Fund; Office of Science and Research; University of Western Australia; University of Sydney, Sydney Institute of Marine Science; NSW Office of Environment and Heritage; Institute of Marine and Antarctic Studies; Natural Environment Research Council(UK Research &amp; Innovation (UKRI)Natural Environment Research Council (NERC)); NERC(UK Research &amp; Innovation (UKRI)Natural Environment Research Council (NERC))</t>
  </si>
  <si>
    <t>This work was supported by IMOS through the Department of Innovation, Industry, Science and Research National Collaborative Research Infrastructure Scheme and Education Investment Fund. Additional funding in NSW was provided by the Office of Science and Research. Logistic support was provided by the University of Western Australia, University of Sydney, Sydney Institute of Marine Science, NSW Office of Environment and Heritage, Institute of Marine and Antarctic Studies. The funders had no role in study design, data collection and analysis, decision to publish, or preparation of the manuscript.</t>
  </si>
  <si>
    <t>FEB 18</t>
  </si>
  <si>
    <t>e0118390</t>
  </si>
  <si>
    <t>10.1371/journal.pone.0118390</t>
  </si>
  <si>
    <t>CC0WZ</t>
  </si>
  <si>
    <t>WOS:000350061500121</t>
  </si>
  <si>
    <t>Tao, ZC; Li, CL; Sun, S</t>
  </si>
  <si>
    <t>Tao, Zhencheng; Li, Chaolun; Sun, Song</t>
  </si>
  <si>
    <t>Grazing and Metabolism of Euphausia pacifica in the Yellow Sea</t>
  </si>
  <si>
    <t>SPATIAL-DISTRIBUTION; TROPHIC INTERACTIONS; POPULATION-STRUCTURE; NITROGEN BUDGETS; ANTARCTIC KRILL; CHLOROPHYLL-A; JAPAN SEA; CARBON; GROWTH; ZOOPLANKTON</t>
  </si>
  <si>
    <t>Grazing and metabolism of Euphausia pacifica in the Yellow Sea were studied from September 2006 to August 2007. Euphausia pacifica is a selective-feeding omnivore and grazing rates among different months were monitored using a Coulter Counter and batch culture feeding experiments. Euphausia pacifica mainly grazed microzooplankton in August and September, which resulted in an increase in chlorophyll a concentration. Oxygen consumption rate of E. pacifica was 38.7-42.5 mu mol O-2 g(-1) DW h(-1) in March, which was four times higher than the oxygen consumption rates in September and December. The vigorous metabolism of E. pacifica in March consumed 3.1% of body carbon daily, which is likely related to its high reproduction and grazing rate. Respiration and metabolism of E. pacifica in September and December were similar and were lower. O:N ratio of E. pacifica was the highest (17.3-23.8) in March when spawning activity occurred and when food was abundant. The energetic source of E. pacifica during September and December was mostly protein from eating a carnivorous diet, including such items as microzooplankton. Euphausia pacifica was found in cold water at the bottom of the Yellow Sea in summer and autumn and maintained a low consumption status. O: N ratios of E. pacifica in March, September, and December were negatively correlated with SSTs and no significant correlation was found between O: N ratios and chlorophyll a concentration. Seawater temperature is clearly the most important parameter influencing the metabolism of E. pacifica.</t>
  </si>
  <si>
    <t>[Tao, Zhencheng; Li, Chaolun; Sun, Song] Chinese Acad Sci, Inst Oceanol, Key Lab Marine Ecol &amp; Environm Sci, Qingdao, Peoples R China; [Sun, Song] Chinese Acad Sci, Inst Oceanol, Jiaozhou Bay Marine Ecosyst Res Stn, Qingdao, Peoples R China</t>
  </si>
  <si>
    <t>Chinese Academy of Sciences; Institute of Oceanology, CAS; Chinese Academy of Sciences; Institute of Oceanology, CAS</t>
  </si>
  <si>
    <t>Sun, S (corresponding author), Chinese Acad Sci, Inst Oceanol, Key Lab Marine Ecol &amp; Environm Sci, Qingdao, Peoples R China.</t>
  </si>
  <si>
    <t>sunsong@qdio.ac.cn</t>
  </si>
  <si>
    <t>Li, Chao/GSM-8117-2022</t>
  </si>
  <si>
    <t>Li, Chao/0000-0001-6110-6210; Zhencheng, TAO/0000-0002-5948-0171; Li, Chaolun/0000-0003-1890-0587</t>
  </si>
  <si>
    <t>National Natural Science Foundation of P. R. China [41306155, 41230963]; National Key Basic Research Program of China [2011CB403604]</t>
  </si>
  <si>
    <t>National Natural Science Foundation of P. R. China(National Natural Science Foundation of China (NSFC)); National Key Basic Research Program of China(National Basic Research Program of China)</t>
  </si>
  <si>
    <t>This work was supported by National Natural Science Foundation of P. R. China (No. 41306155 and 41230963), and National Key Basic Research Program of China (No. 2011CB403604).</t>
  </si>
  <si>
    <t>FEB 17</t>
  </si>
  <si>
    <t>e0115825</t>
  </si>
  <si>
    <t>10.1371/journal.pone.0115825</t>
  </si>
  <si>
    <t>CC4KQ</t>
  </si>
  <si>
    <t>WOS:000350322700005</t>
  </si>
  <si>
    <t>Meade, J; Ciaglia, MB; Slip, DJ; Negrete, J; Márquez, MEI; Mennucci, J; Rogers, TL</t>
  </si>
  <si>
    <t>Meade, J.; Ciaglia, M. B.; Slip, D. J.; Negrete, J.; Marquez, M. E. I.; Mennucci, J.; Rogers, T. L.</t>
  </si>
  <si>
    <t>Spatial patterns in activity of leopard seals Hydrurga leptonyx in relation to sea ice</t>
  </si>
  <si>
    <t>Antarctica; Area-restricted behaviour; First-passage time; Krill; Pack ice; Cox proportional hazard model</t>
  </si>
  <si>
    <t>PRYDZ BAY; PACK-ICE; ENVIRONMENTAL-CHANGE; HABITAT SELECTION; 1ST-PASSAGE TIME; HOME-RANGE; KRILL; MOVEMENT; BEHAVIOR; ABUNDANCE</t>
  </si>
  <si>
    <t>Rapid changes to climate in the western Antarctic Peninsula region over the last 50 yr, which have led to decreases in the extent and duration of sea ice, are likely to have significant impacts upon the Antarctic ecosystem as a whole. Understanding the behaviour of higher trophic level animals occupying these regions is important, as they may be indicators of changes in prey availability and food-web structure. Leopard seals Hydrurga leptonyx are important components of the Antarctic ecosystem, because they are widespread and adapted to consuming prey at a range of trophic levels. They rely on sea ice for breeding, moulting and as a resting platform. Using tracks of 12 leopard seals, we calculated first-passage times (indicative of the intensity of area-restricted behaviour) and quantified relative habitat use, including both foraging and resting areas, using Cox proportional hazard models, in relation to coastline, bathymetry and sea ice. We also correlated monthly home range size with monthly sea-ice extent. We found that when sea-ice extent was low, leopard seals were restricted to coastal habitat, but that this effect was lost when sea-ice extent was greater. This was supported by the finding that leopard seal home range size decreased as the sea-ice extent decreased. Since leopard seals and other animals that consume krill are likely to be increasingly limited by sea-ice cover if the warming trend continues, we suggest that the krill fishery be restricted to offshore areas to avoid conflict with krill predators.</t>
  </si>
  <si>
    <t>[Meade, J.; Ciaglia, M. B.; Rogers, T. L.] Univ New S Wales, Sch Biol Earth &amp; Environm Sci, Sydney, NSW 2052, Australia; [Meade, J.; Slip, D. J.] Taronga Conservat Soc Australia, Sydney, NSW 2088, Australia; [Negrete, J.; Marquez, M. E. I.; Mennucci, J.] Inst Antartico Argentino, Buenos Aires, DF, Argentina</t>
  </si>
  <si>
    <t>University of New South Wales Sydney; Taronga Conservation Society Australia; Instituto Antartico Argentino</t>
  </si>
  <si>
    <t>Meade, J (corresponding author), Univ New S Wales, Sch Biol Earth &amp; Environm Sci, Sydney, NSW 2052, Australia.</t>
  </si>
  <si>
    <t>j.meade@unsw.edu.au</t>
  </si>
  <si>
    <t>Meade, Jessica/O-7771-2019; Rogers, Tracey L/C-3419-2008; Meade, Jessica/A-6411-2013</t>
  </si>
  <si>
    <t>Slip, David/0000-0002-9010-7236; Rogers, Tracey/0000-0002-7141-4177; Negrete, Javier/0000-0001-6853-8307</t>
  </si>
  <si>
    <t>ARC [LP0989933]; Australian Research Council [LP0989933] Funding Source: Australian Research Council</t>
  </si>
  <si>
    <t>ARC(Australian Research Council); Australian Research Council(Australian Research Council)</t>
  </si>
  <si>
    <t>We dedicate this publication to our dear colleague and friend Dr. Alejandro R. Carlini, with whom we shared many years of fruitful collaboration and friendship. This work is part of a collaboration between seal biologists from the Instituto Antartico Argentino, Taronga Conservation Society Australia and the University of New South Wales. The immobilisation and deployment of satellite transmitters on leopard seals within the Antarctic Specially Protected Area No. 134 were approved by the Direccion Nacional del Antartico, Buenos Aires, Argentina, and were carried out pursuant to the SCAR Code of Conduct for Animal Experiments under UNSW Animal Care and Ethics Committee Protocols 08/103B and 11/112A. We thank the support staff at Base Primavera for hospitality and excellent support during our stay there. We also thank Jorge Gomez, Sebastian Poljak, Federico Beaudoin, Miguel Gasco, Nigel Edwards, Larry Vogelnest, Tiffanie Nelson, Nadine Constantinou, Marie Attard, Marlee Tucker and Birgit Buhleier for assistance in the field. We thank 4 anonymous referees for helpful comments on the manuscript. This research was conducted under the ARC Linkage Program, grant no. LP0989933 to T.L.R. and D.J.S.</t>
  </si>
  <si>
    <t>10.3354/meps11120</t>
  </si>
  <si>
    <t>CC0AF</t>
  </si>
  <si>
    <t>WOS:000349996200019</t>
  </si>
  <si>
    <t>Thompson, DR; Torres, LG; Taylor, GA; Rayner, MJ; Sagar, PM; Shaffer, SA; Phillips, RA; Bury, SJ</t>
  </si>
  <si>
    <t>Thompson, David R.; Torres, Leigh G.; Taylor, Graeme A.; Rayner, Matt J.; Sagar, Paul M.; Shaffer, Scott A.; Phillips, Richard A.; Bury, Sarah J.</t>
  </si>
  <si>
    <t>Stable isotope values delineate the non-breeding distributions of sooty shearwaters Puffinus griseus in the North Pacific Ocean</t>
  </si>
  <si>
    <t>Isoscape; Migratory connectivity; New Zealand; Seabird; Spatial distribution</t>
  </si>
  <si>
    <t>HABITAT PREFERENCES; SOUTHERN-OCEAN; NEW-ZEALAND; MIGRATION; GEOLOCATION; SEABIRDS; ALBATROSSES; PATTERNS; SUCCESS</t>
  </si>
  <si>
    <t>Following breeding, sooty shearwaters Puffinus griseus leave New Zealand waters and migrate to 1 of 3 distinct areas in the North Pacific Ocean, effectively exploiting environmental resources across a large proportion of this northern ocean basin. In this study, we combined electronic tracking technology with stable isotope analyses (delta N-15 and delta C-13) of feathers grown during the non-breeding period in order to evaluate whether isotope signatures can be used to identify specific non-breeding areas used by sooty shearwaters. A region to the east of Japan was utilised by the majority of tracked birds, whereas others used areas off the west coast of North America. Stable isotope values of feathers allowed the discrimination of individuals that used each of the 3 different non-breeding areas, and suggested that birds off Japan can be further separated into 'coastal' and 'offshore' groups. Our results confirm the utility of using stable isotope analysis, validated by tracking devices, as a tool to determine distribution and habitat use of a long-range oceanic migrant, the sooty shearwater. These results also highlight the resource connectivity between the northern and southern Pacific Ocean basin.</t>
  </si>
  <si>
    <t>[Thompson, David R.; Torres, Leigh G.; Bury, Sarah J.] Natl Inst Water &amp; Atmospher Res Ltd, Wellington 6021, New Zealand; [Torres, Leigh G.] Oregon State Univ, Hatfield Marine Sci Ctr, Marine Mammal Inst, Dept Fisheries &amp; Wildlife, Newport, OR 97365 USA; [Taylor, Graeme A.] Dept Conservat, Wellington 6011, New Zealand; [Rayner, Matt J.] Univ Auckland, Ctr Biodivers &amp; Biosecur, Auckland 1142, New Zealand; [Sagar, Paul M.] Natl Inst Water &amp; Atmospher Res Ltd, Christchurch 8011, New Zealand; [Shaffer, Scott A.] San Jose State Univ, Dept Biol Sci, San Jose, CA 95192 USA; [Phillips, Richard A.] British Antarctic Survey, NERC, Cambridge CB3 0ET, England</t>
  </si>
  <si>
    <t>National Institute of Water &amp; Atmospheric Research (NIWA) - New Zealand; Oregon State University; University of Auckland; National Institute of Water &amp; Atmospheric Research (NIWA) - New Zealand; California State University System; San Jose State University; UK Research &amp; Innovation (UKRI); Natural Environment Research Council (NERC); NERC British Antarctic Survey</t>
  </si>
  <si>
    <t>Thompson, DR (corresponding author), Natl Inst Water &amp; Atmospher Res Ltd, 301 Evans Bay Parade, Wellington 6021, New Zealand.</t>
  </si>
  <si>
    <t>david.thompson@niwa.co.nz</t>
  </si>
  <si>
    <t>Bury, Sarah/JLN-0810-2023; Shaffer, Scott/D-5015-2009</t>
  </si>
  <si>
    <t>Shaffer, Scott/0000-0002-7751-5059; Rayner, Matt/0000-0002-1168-6699</t>
  </si>
  <si>
    <t>New Zealand Ministry of Research, Science and Technology postdoctoral fellowship; University of Auckland Faculty Research Development grant; Natural Environment Research Council [bas0100025] Funding Source: researchfish; NERC [bas0100025] Funding Source: UKRI</t>
  </si>
  <si>
    <t>New Zealand Ministry of Research, Science and Technology postdoctoral fellowship; University of Auckland Faculty Research Development grant; Natural Environment Research Council(UK Research &amp; Innovation (UKRI)Natural Environment Research Council (NERC)); NERC(UK Research &amp; Innovation (UKRI)Natural Environment Research Council (NERC))</t>
  </si>
  <si>
    <t>We thank the New Zealand Department of Conservation (Southland Conservancy) for permission to work at Whenua Hou, Mana Island rangers for boat transport to and from Mana Island, and John and Barbara Lusk and Dennis Woodward for supporting ongoing field access and accommodation at privately owned Kauwahaia Island. M.J.R. acknowledges the support of a New Zealand Ministry of Research, Science and Technology postdoctoral fellowship and a University of Auckland Faculty Research Development grant during completion of this research. Thanks to Julie Brown for preparation and stable isotope analysis of feather samples. Comments and suggestions by 2 anonymous reviewers improved an earlier version of this manuscript.</t>
  </si>
  <si>
    <t>10.3354/meps11128</t>
  </si>
  <si>
    <t>Green Submitted, Bronze, Green Accepted</t>
  </si>
  <si>
    <t>WOS:000349996200020</t>
  </si>
  <si>
    <t>Fong, WC; Chu, XZ; Lu, X; Chen, C; Fuller-Rowell, TJ; Codrescu, M; Richmond, AD</t>
  </si>
  <si>
    <t>Fong, Weichun; Chu, Xinzhao; Lu, Xian; Chen, Cao; Fuller-Rowell, Timothy J.; Codrescu, Mihail; Richmond, Arthur D.</t>
  </si>
  <si>
    <t>Lidar and CTIPe model studies of the fast amplitude growth with altitude of the diurnal temperature tides in the Antarctic winter lower thermosphere and dependence on geomagnetic activity</t>
  </si>
  <si>
    <t>adiabatic effects; Hall ion drag; diurnal temperature tides; CTIPe model; Antarctic lower thermosphere; lidar observations</t>
  </si>
  <si>
    <t>LATENT-HEAT RELEASE; UPPER-ATMOSPHERE; PREDICTIONS</t>
  </si>
  <si>
    <t>Four years of lidar observations at McMurdo reveal that the fast amplitude growth with altitude of diurnal temperature tides from 100 to 110km during Antarctic winters, exceeding that of the freely propagating tides from the lower atmosphere, increases in strength with the Kp magnetic activity index. Simulations with the Coupled Thermosphere Ionosphere Plasmasphere Electrodynamics (CTIPe) model reproduce the lidar observations and exhibit concentric ring structures of diurnal amplitudes encircling the south geomagnetic pole and overlapping the auroral zone. These findings point to a magnetospheric source origin. Mechanistic studies using CTIPe show that the adiabatic cooling/heating associated with Hall ion drag is the dominant source of this feature, while Joule heating is a minor contributor due to the counteraction by Joule-heating-induced adiabatic cooling. The sum of total dynamical effects and Joule heating explains similar to 80% of the diurnal amplitudes. Auroral particle heating, lower atmosphere tides, and direct solar heating have minor contributions.</t>
  </si>
  <si>
    <t>[Fong, Weichun; Chu, Xinzhao; Lu, Xian; Chen, Cao; Fuller-Rowell, Timothy J.] Univ Colorado, Cooperat Inst Res Environm Sci, Boulder, CO 80309 USA; [Fong, Weichun; Chu, Xinzhao; Chen, Cao] Univ Colorado, Dept Aerosp Engn Sci, Boulder, CO 80309 USA; [Fuller-Rowell, Timothy J.; Codrescu, Mihail] NOAA, Space Weather Predict Ctr, Boulder, CO USA; [Richmond, Arthur D.] Natl Ctr Atmospher Res, High Altitude Observ, Boulder, CO 80307 USA</t>
  </si>
  <si>
    <t>University of Colorado System; University of Colorado Boulder; University of Colorado System; University of Colorado Boulder; National Oceanic Atmospheric Admin (NOAA) - USA; National Center Atmospheric Research (NCAR) - USA</t>
  </si>
  <si>
    <t>Chu, XZ (corresponding author), Univ Colorado, Cooperat Inst Res Environm Sci, Boulder, CO 80309 USA.</t>
  </si>
  <si>
    <t>Weichun.Fong@Colorado.EDU; Xinzhao.Chu@Colorado.EDU</t>
  </si>
  <si>
    <t>Lu, Xian/AAZ-3385-2021; Lu, Xian/A-2980-2015; Chen, Cao/D-9851-2016; CHU, XINZHAO/I-5670-2015; Richmond, Arthur/V-2118-2017</t>
  </si>
  <si>
    <t>Lu, Xian/0000-0002-2535-8151; Chen, Cao/0000-0002-7780-2787; CHU, XINZHAO/0000-0001-6147-1963; Richmond, Arthur/0000-0002-6708-1023</t>
  </si>
  <si>
    <t>National Science Foundation (NSF) [ANT-0839091, PLR-1246405, CNS-0821794]; NSF CEDAR [AGS-1343106]; NASA [NNX13AD64G, NNX14AE08G]; National Science Foundation; University of Colorado (CU) Boulder; CU Denver and NCAR; Directorate For Geosciences; Office of Polar Programs (OPP) [1246405] Funding Source: National Science Foundation; Div Atmospheric &amp; Geospace Sciences; Directorate For Geosciences [1136272] Funding Source: National Science Foundation; NASA [685442, NNX14AE08G] Funding Source: Federal RePORTER</t>
  </si>
  <si>
    <t>National Science Foundation (NSF)(National Science Foundation (NSF)); NSF CEDAR(National Science Foundation (NSF)); NASA(National Aeronautics &amp; Space Administration (NASA)); National Science Foundation(National Science Foundation (NSF)); University of Colorado (CU) Boulder; CU Denver and NCAR; Directorate For Geosciences; Office of Polar Programs (OPP)(National Science Foundation (NSF)NSF - Directorate for Geosciences (GEO)); Div Atmospheric &amp; Geospace Sciences; Directorate For Geosciences(National Science Foundation (NSF)NSF - Directorate for Geosciences (GEO)); NASA(National Aeronautics &amp; Space Administration (NASA))</t>
  </si>
  <si>
    <t>We sincerely acknowledge Zhibin Yu and Brendan R. Roberts for their superb lidar work during 2011 and 2012 Antarctic winters at McMurdo. We are also grateful to Wentao Huang, Zhangjun Wang, John A. Smith, Jian Zhao, Chester S. Gardner, and Richard Dean for their contributions to the McMurdo lidar campaign and to Vladimir Papitashvili for the valuable discussion. We thank Mariangel Fedrizzi for providing CTIPe model input data. We thank the staff of United States Antarctic Program, McMurdo station, Antarctica New Zealand, and Scott Base for their support. This project was supported by the National Science Foundation (NSF) grants ANT-0839091 and PLR-1246405. Xian Lu's research was partially supported by NSF CEDAR grant AGS-1343106 and A. Richmond's by NASA grants NNX13AD64G and NNX14AE08G. The National Center for Atmospheric Research (NCAR) is sponsored by the National Science Foundation. The Janus supercomputer utilized in this work was supported by NSF (award CNS-0821794), University of Colorado (CU) Boulder, and CU Denver and NCAR. The Janus supercomputer is operated by CU Boulder. The data used in this work are available upon request.</t>
  </si>
  <si>
    <t>FEB 16</t>
  </si>
  <si>
    <t>10.1002/2014GL062784</t>
  </si>
  <si>
    <t>CD8OT</t>
  </si>
  <si>
    <t>WOS:000351355600004</t>
  </si>
  <si>
    <t>Boylan, P; Wang, JH; Cohn, SA; Fetzer, E; Maddy, ES; Wong, S</t>
  </si>
  <si>
    <t>Boylan, Patrick; Wang, Junhong; Cohn, Stephen A.; Fetzer, Eric; Maddy, Eric S.; Wong, Sun</t>
  </si>
  <si>
    <t>Validation of AIRS version 6 temperature profiles and surface-based inversions over Antarctica using Concordiasi dropsonde data</t>
  </si>
  <si>
    <t>surface-based inversions; AIRS; antarctica; dropsonde; temperature inversions; condordiasi</t>
  </si>
  <si>
    <t>SOUTH-POLE; MASS-BALANCE; CLIMATE; PARAMETERS; RETRIEVAL; STRENGTH; SOUNDER; HEAT; DOME</t>
  </si>
  <si>
    <t>During the 2010 Concordiasi field experiment, 635 dropsondes were released from the lower stratosphere providing in situ atmospheric profiles from the release height (similar to 60hPa) to the surface over Antarctica. They provide a unique data set of high vertical resolution temperature profiles over the entire Antarctic continent and surrounding ocean. This study uses temperature profiles and derived surface-based inversion (SBI) properties from the sonde data set to evaluate Atmospheric Infrared Sounder (AIRS) versions 5 (v5) and 6 (v6) temperature profiles. A total of 1486 matched pairs of profiles are available for analysis. The AIRS averaging kernel, representing the AIRS measurement sensitivity, is applied to the dropsonde profiles. The AIRS data are compared to kernel-averaged dropsonde profiles and found, on average, to have a small cold bias (similar to 0.5 degrees C) (for v6) in the troposphere. AIRS v6 is improved over v5 with both profile-averaged bias and root-mean-square errors reduced by over 25%. Compared to the kernel-averaged dropsonde profiles, AIRS v6 accurately detects the existence of SBIs in 79% of the profiles and agrees on the inversion depth 79% of the time. AIRS correctly identifies SBIs in 59% of cases when compared to the full-resolution sonde. AIRS systematically underestimates the SBI intensity. This is due to warmer reported AIRS surface air temperatures (T-a) than T-a measured with the dropsonde. Replacement of AIRS T-a with that measured by the dropsonde improves the agreement in both SBI detection and intensity. If AIRS T-a could be improved, AIRS has the potential to be a stand-alone SBI detection tool over Antarctica.</t>
  </si>
  <si>
    <t>[Boylan, Patrick; Cohn, Stephen A.] Natl Ctr Atmospher Res, Earth Observing Lab, Boulder, CO 80307 USA; [Wang, Junhong] SUNY Albany, Dept Atmospher &amp; Environm Sci, Albany, NY 12222 USA; [Fetzer, Eric; Wong, Sun] CALTECH, Jet Prop Lab, Pasadena, CA USA; [Maddy, Eric S.] Riverside Technol Inc, NOAA, NESDIS, JCSDA, College Pk, MD USA</t>
  </si>
  <si>
    <t>National Center Atmospheric Research (NCAR) - USA; State University of New York (SUNY) System; State University of New York (SUNY) Albany; California Institute of Technology; National Aeronautics &amp; Space Administration (NASA); NASA Jet Propulsion Laboratory (JPL); National Oceanic Atmospheric Admin (NOAA) - USA</t>
  </si>
  <si>
    <t>Boylan, P (corresponding author), Natl Ctr Atmospher Res, Earth Observing Lab, POB 3000, Boulder, CO 80307 USA.</t>
  </si>
  <si>
    <t>boylan@ucar.edu</t>
  </si>
  <si>
    <t>Wong, Sun/AAG-8757-2020; Boylan, Patrick J/A-5289-2010; Maddy, Eric S/G-3683-2010; Cohn, Stephen/GQH-2637-2022; Wang, JunHong/HKE-0286-2023</t>
  </si>
  <si>
    <t>/0000-0003-0453-6569</t>
  </si>
  <si>
    <t>NSF [ANT-0733007]; National Science Foundation</t>
  </si>
  <si>
    <t>NSF(National Science Foundation (NSF)); National Science Foundation(National Science Foundation (NSF))</t>
  </si>
  <si>
    <t>This project is supported by NSF project ANT-0733007. The National Center for Atmospheric Research is sponsored by the National Science Foundation. We would like to thank Minghui Diao, Jordan Powers, and Andrew Gettelman for their insightful comments. The dropsonde data are available at https://www.eol.ucar.edu/field_projects/concordiasi. The AIRS data products are available at http://disc.sci.gsfc.nasa.gov/AIRS/data-holdings/by-data-product-V6. Any opinions, findings, and conclusions or recommendations expressed in this publication are those of the authors and do not necessarily reflect the views of the National Science Foundation.</t>
  </si>
  <si>
    <t>10.1002/2014JD022551</t>
  </si>
  <si>
    <t>CC7KT</t>
  </si>
  <si>
    <t>WOS:000350547000008</t>
  </si>
  <si>
    <t>Cavan, EL; Le Moigne, FAC; Poulton, AJ; Tarling, GA; Ward, P; Daniels, CJ; Fragoso, GM; Sanders, RJ</t>
  </si>
  <si>
    <t>Cavan, E. L.; Le Moigne, F. A. C.; Poulton, A. J.; Tarling, G. A.; Ward, P.; Daniels, C. J.; Fragoso, G. M.; Sanders, R. J.</t>
  </si>
  <si>
    <t>Attenuation of particulate organic carbon flux in the Scotia Sea, Southern Ocean, is controlled by zooplankton fecal pellets</t>
  </si>
  <si>
    <t>carbon export; marine particles; transfer efficiency</t>
  </si>
  <si>
    <t>COMMUNITY STRUCTURE; ANTARCTIC PENINSULA; PARTICLE EXPORT; PHYTOPLANKTON; COPEPODS; SHELF; ZONE; ICE; ATLANTIC; GEORGIA</t>
  </si>
  <si>
    <t>The Southern Ocean (SO) is an important CO2 reservoir, some of which enters via the production, sinking, and remineralization of organic matter. Recent work suggests that the fraction of production that sinks is inversely related to production in the SO, a suggestion that we confirm from 20 stations in the Scotia Sea. The efficiency with which exported material is transferred to depth (transfer efficiency) is believed to be low in high-latitude systems. However, our estimates of transfer efficiency are bimodal, with stations in the seasonal ice zone showing intense losses and others displaying increases in flux with depth. Zooplankton fecal pellets dominated the organic carbon flux and at stations with transfer efficiency &gt;100% fecal pellets were brown, indicative of fresh phytodetritus. We suggest that active flux mediated by zooplankton vertical migration and the presence of sea ice regulates the transfer of organic carbon into the oceans interior in the Southern Ocean.</t>
  </si>
  <si>
    <t>[Cavan, E. L.; Daniels, C. J.; Fragoso, G. M.] Univ Southampton, Natl Oceanog Ctr, Southampton, Hants, England; [Le Moigne, F. A. C.; Poulton, A. J.; Sanders, R. J.] Natl Oceanog Ctr, Southampton, Hants, England; [Tarling, G. A.; Ward, P.] British Antarctic Survey, Cambridge CB3 0ET, England</t>
  </si>
  <si>
    <t>University of Southampton; NERC National Oceanography Centre; NERC National Oceanography Centre; UK Research &amp; Innovation (UKRI); Natural Environment Research Council (NERC); NERC British Antarctic Survey</t>
  </si>
  <si>
    <t>Cavan, EL (corresponding author), Univ Southampton, Natl Oceanog Ctr, Southampton, Hants, England.</t>
  </si>
  <si>
    <t>e.cavan@noc.soton.ac.uk</t>
  </si>
  <si>
    <t>Sanders, Richard J/B-8717-2012; Fragoso, Glaucia/P-9725-2016; Daniels, Chris/H-2627-2014; Poulton, Alex/A-9859-2012; Le Moigne, Frederic/O-9851-2014</t>
  </si>
  <si>
    <t>Sanders, Richard J/0000-0002-6884-7131; cavan, emma/0000-0003-1099-6705; Daniels, Chris/0000-0003-2453-267X; Fragoso, Glaucia/0000-0002-4497-2536; Poulton, Alex/0000-0002-5149-6961; Le Moigne, Frederic/0000-0001-7316-5111</t>
  </si>
  <si>
    <t>Natural Environmental Research Council via the UK Ocean Acidification research program [NE/H017097/1]; NERC [noc010009, bas0100025, NE/H017097/1] Funding Source: UKRI; Natural Environment Research Council [bas0100025, noc010009, NE/H017097/1] Funding Source: researchfish</t>
  </si>
  <si>
    <t>Natural Environmental Research Council via the UK Ocean Acidification research program; NERC(UK Research &amp; Innovation (UKRI)Natural Environment Research Council (NERC)); Natural Environment Research Council(UK Research &amp; Innovation (UKRI)Natural Environment Research Council (NERC))</t>
  </si>
  <si>
    <t>This work was supported by the Natural Environmental Research Council via the UK Ocean Acidification research program (grant NE/H017097/1). We would also like to thank the British Antarctic Survey for ship time, as well as the officers, crew, and scientific party on the JR274 cruise. Vicky Peck from the British Antarctic Survey is also thanked for the use of her microscope on board. Additionally, Mark Moore and Sophie Richier are thanked for the chlorophyll data. Thanks also to the reviewers who significantly improved the paper. Data are held at the British Oceanographic Data Centre, http://www.bodc.ac.uk.</t>
  </si>
  <si>
    <t>10.1002/2014GL062744</t>
  </si>
  <si>
    <t>WOS:000351355600020</t>
  </si>
  <si>
    <t>Bellio, P; Segatore, B; Mancini, A; Di Pietro, L; Bottoni, C; Sabatini, A; Brisdelli, F; Piovano, M; Nicoletti, M; Amicosante, G; Perilli, M; Celenza, G</t>
  </si>
  <si>
    <t>Bellio, Pierangelo; Segatore, Bernardetta; Mancini, Alisia; Di Pietro, Letizia; Bottoni, Carlo; Sabatini, Alessia; Brisdelli, Fabrizia; Piovano, Marisa; Nicoletti, Marcello; Amicosante, Gianfranco; Perilli, Mariagrazia; Celenza, Giuseppe</t>
  </si>
  <si>
    <t>Interaction between lichen secondary metabolites and antibiotics against clinical isolates methicillin-resistant Staphylococcus aureus strains</t>
  </si>
  <si>
    <t>PHYTOMEDICINE</t>
  </si>
  <si>
    <t>Lichen secondary metabolites; MRSA; Checkerboard assay; Antimicrobial activity</t>
  </si>
  <si>
    <t>PUMP INHIBITORS; SYNERGY; COMBINATIONS; ANTAGONISM; VANCOMYCIN; SUSCEPTIBILITY; SEARCH; DRUGS</t>
  </si>
  <si>
    <t>The in vitro antimicrobial activities of five compounds isolated from lichens, collected in several Southern regions of Chile (including the Chilean Antarctic Territory), were evaluated alone and in combination with five therapeutically available antibiotics, using checkerboard microdilution assay against methicillin-resistant clinical isolates strains ofSfaphylococcus nureus. MIC90, MIC90, as well as MBC90 and MBC90, for the lichen compounds were evaluated. The MIC90 was ranging from 32 mu g/ml for perlatolic acid to 128 mu g/ml for alpha-collatolic acid. MBC90 was ranging from onefold up to twofold the MIC90 for each compound. A synergistic action was observed in combination with gentarnicin, whilst antagonism was observed for some lichen compounds in combination with levofloxacin. All combinations with erythromycin were indifferent, whilst variability was observed for clindamycin and oxacillin combinations. Data from checkerboard assay were analysed and interpreted using the fractional inhibitory concentration index and the response surface approach using the Delta E model. Discrepancies were found between both methods for some combinations. These could mainly be explained by the failure of FIC approach, being too much subjective and sensitive to experimental errors. These findings suggest, however, that the natural compounds from lichens are good candidates for the individuation of novel templates for the development of new antimicrobial agents or combinations of drugs for chemotherapy. (C) 2015 Elsevier GmbH. All rights reserved.</t>
  </si>
  <si>
    <t>[Bellio, Pierangelo; Segatore, Bernardetta; Mancini, Alisia; Di Pietro, Letizia; Bottoni, Carlo; Sabatini, Alessia; Brisdelli, Fabrizia; Amicosante, Gianfranco; Perilli, Mariagrazia; Celenza, Giuseppe] Univ Aquila, Dept Biotechnol &amp; Appl Clin Sci, I-67100 Laquila, Italy; [Piovano, Marisa] Univ Tecn F Santa Maria, Dept Chem, Valparaiso 6, Chile; [Nicoletti, Marcello] Univ Roma La Sapienza, Dept Environm Biol, I-00185 Rome, Italy</t>
  </si>
  <si>
    <t>University of L'Aquila; Universidad Tecnica Federico Santa Maria; Sapienza University Rome</t>
  </si>
  <si>
    <t>Celenza, G (corresponding author), Univ Aquila, Dept Biotechnol &amp; Appl Clin Sci, Via Vetoio 1, I-67100 Laquila, Italy.</t>
  </si>
  <si>
    <t>celenza@univaq.it</t>
  </si>
  <si>
    <t>Bellio, Pierangelo/AAM-7096-2020; Celenza, Giuseppe/A-4940-2016</t>
  </si>
  <si>
    <t>Bellio, Pierangelo/0000-0001-6488-8027; Celenza, Giuseppe/0000-0003-2796-9228</t>
  </si>
  <si>
    <t>0944-7113</t>
  </si>
  <si>
    <t>Phytomedicine</t>
  </si>
  <si>
    <t>FEB 15</t>
  </si>
  <si>
    <t>10.1016/j.phymed.2014.12.005</t>
  </si>
  <si>
    <t>Plant Sciences; Chemistry, Medicinal; Integrative &amp; Complementary Medicine; Pharmacology &amp; Pharmacy</t>
  </si>
  <si>
    <t>Plant Sciences; Pharmacology &amp; Pharmacy; Integrative &amp; Complementary Medicine</t>
  </si>
  <si>
    <t>CD3LZ</t>
  </si>
  <si>
    <t>WOS:000350981400001</t>
  </si>
  <si>
    <t>Lane, TP; Roberts, DH; Rea, BR; Cofaigh, CO; Vieli, A</t>
  </si>
  <si>
    <t>Lane, Timothy P.; Roberts, David H.; Rea, Brice R.; Cofaigh, Colm O.; Vieli, Andreas</t>
  </si>
  <si>
    <t>Controls on bedrock bedform development beneath the Uummannaq Ice Stream onset zone, West Greenland</t>
  </si>
  <si>
    <t>Ice stream; Glacial erosion; Bedrock bedform; Abrasion; Quarrying; Greenland ice sheet</t>
  </si>
  <si>
    <t>LAST GLACIAL MAXIMUM; EROSIONAL LANDFORMS; ANTARCTIC PENINSULA; SUBMARINE LANDFORMS; CONTINENTAL-SHELF; SHEET DYNAMICS; HIGH-LATITUDE; FLOW; EVOLUTION; SYSTEM</t>
  </si>
  <si>
    <t>This paper investigates the controls on the formation of subglacially eroded bedrock bedforms beneath the topographically confined region upstream of the Uummannaq Ice Stream (UIS). During the last glacial cycle, palaeoglaciological conditions are believed to have been similar for all sites in the study, characterised by thick, fast-flowing ice moving over a rigid bedrock bed. Classic bedrock bedforms indicative of glacially eroded terrain were mapped, including p-forms, roches moutonnees, and whalebacks. Bedform long axes and plucked face orientations display close correlation (parallel and perpendicular) to palaeo-ice flow directions inferred from striae measurements. Across all sites, elongation ratios (length to width) varied by an order of magnitude between 0.8:1 and 8.4:1. Bedform properties (length, height, width, and long axis orientation) from four subsample areas, form morphometrically distinct populations, despite their close proximity and hypothesised similarity in palaeoglaciological conditions. Variations in lithology and geological structures (e.g., joint frequency; joint dip; joint orientation; bedding plane thickness; and bedding plane dip) provide lines of geological weakness, which focus the glacial erosion, in turn controlling bedform geometries. Determining the relationship (s) between bedding plane dip relative to palaeo-ice flow and bedform shape, relative length, amplitude, and wavelength has important ramifications for understanding subglacial bed roughness, cavity formation, and likely erosion style (quarrying and/or abrasion) at the ice-bed interface. This paper demonstrates a direct link between bedrock bedform geometries and geological structure and emphasises the need to understand bedrock bedform characteristics when reconstructing palaeoglaciological conditions. (C) 2014 Elsevier B.V. All rights reserved.</t>
  </si>
  <si>
    <t>[Lane, Timothy P.; Roberts, David H.; Cofaigh, Colm O.] Univ Durham, Dept Geog, Durham, England; [Lane, Timothy P.] Liverpool John Moores Univ, Dept Geog, Liverpool L3 3AF, Merseyside, England; [Rea, Brice R.] Univ Aberdeen, Sch Geosci, Old Aberdeen AB24 3UE, Scotland; [Vieli, Andreas] Univ Zurich Irchel, Dept Geog, CH-8057 Zurich, Switzerland</t>
  </si>
  <si>
    <t>Durham University; University of Liverpool; Liverpool John Moores University; University of Aberdeen; University of Zurich</t>
  </si>
  <si>
    <t>Lane, TP (corresponding author), Liverpool John Moores Univ, Dept Geog, Byrom St, Liverpool L3 3AF, Merseyside, England.</t>
  </si>
  <si>
    <t>tp.lane@ljmu.ac.uk</t>
  </si>
  <si>
    <t>Vieli, Andreas/A-6767-2011; Lane, Timothy/AAA-8909-2022</t>
  </si>
  <si>
    <t>Lane, Timothy/0000-0002-7116-9976; Rea, Brice/0000-0002-9928-145X</t>
  </si>
  <si>
    <t>Department of Geography (Durham University); Department of Geography and the Environment (University of Aberdeen); Royal Geographical Society-IBG; Carnegie Trust for the Universities of Scotland</t>
  </si>
  <si>
    <t>This work was supported by the Department of Geography (Durham University), the Department of Geography and the Environment (University of Aberdeen), the Royal Geographical Society-IBG, and the Carnegie Trust for the Universities of Scotland. Thanks to Arne Neumann, Birte Orum, and Barbara Stroem-Baris for logistical support during fieldwork. Reproduced aerial photographs were provided by Kort and Matrikelstyrelsen. Arjen Stroeven, Emrys Phillips, two anonymous reviewers, and the editor are thanked for their comments, which assisted in improving and clarifying this manuscript</t>
  </si>
  <si>
    <t>10.1016/j.geomorph.2014.12.019</t>
  </si>
  <si>
    <t>CA5OG</t>
  </si>
  <si>
    <t>WOS:000348957100026</t>
  </si>
  <si>
    <t>Tauxe, L; Sugisaki, S; Jiménez-Espejo, F; Escutia, C; Cook, CP; van de Flierdt, T; Iwai, M</t>
  </si>
  <si>
    <t>Tauxe, L.; Sugisaki, S.; Jimenez-Espejo, F.; Escutia, C.; Cook, C. P.; van de Flierdt, T.; Iwai, M.</t>
  </si>
  <si>
    <t>Geology of the Wilkes land sub-basin and stability of the East Antarctic Ice Sheet: Insights from rock magnetism at IODP Site U1361</t>
  </si>
  <si>
    <t>East Antarctic Ice Sheet stability rock magnetism; Pliocene paleoclimate; Integrated Ocean Drilling Program; Joides resolution; Expedition 318; Site U1361</t>
  </si>
  <si>
    <t>SOUTH-AUSTRALIA; SEA-LEVEL; PLIOCENE; THICKNESS; GREENLAND</t>
  </si>
  <si>
    <t>IODP Expedition 318 drilled Site U1361 on the continental rise offshore of Adelie Land and the Wilkes subglacial basin. The objective was to reconstruct the stability of the East Antarctic Ice Sheet (EAIS) during Neogene warm periods, such as the late Miocene and the early Pliocene. The sedimentary record tells a complex story of compaction, and erosion (thus hiatuses). Teasing out the paleoenvironmental implications is essential for understanding the evolution of the EAIS. Anisotropy of magnetic susceptibility CAMS) is sensitive to differential compaction and other rock magnetic parameters like isothermal remanence and anhysteretic remanence are very sensitive to changes in the terrestrial source region. In general, highly anisotropic layers correspond with laminated clay-rich units, while more isotropic layers are bioturbated and have less clay. Layers enriched in diatoms are associated with the latter, which also have higher Ba/Al ratios consistent with higher productivity. Higher anisotropy layers have lower porosity and moisture contents and have fine grained magnetic mineralogy dominated by maghemite, the more oxidized form of iron oxide, while the lower anisotropy layers have magnetic mineralogies dominated by magnetite. The different magnetic mineralogies support the suggestion based on isotopic signatures by Cook et al. (2013) of different source regions during low productivity (cooler) and high productivity (warmer) times. These two facies were tied to the coastal outcrops of the Lower Paleozoic granitic terranes and the Ferrar Large Igneous Province in the more inland Wilkes Subglacial Basin respectively. Here we present evidence for a third geological unit, one eroded at the boundaries between the high and low clay zone with a hard (mostly hematite) dominated magnetic mineralogy. This unit likely outcrops in the Wilkes subglacial basin and could be hydrothermally altered Beacon sandstone similar to that detected by Craw and Findlay (1984) in Taylor Valley or the equivalent to the Elatina Formation in the Adelaide Geosyncline in Southern Australia (Schmidt and Williams, 2013). Correlation of the hard events with global oxygen isotope stacks of Zachos et al. (2001) and Lisiecki and Raymo (2005) suggest that the source region was eroded during times with higher global ice volume. (C) 2014 Elsevier B.V. All rights reserved.</t>
  </si>
  <si>
    <t>[Tauxe, L.; Sugisaki, S.] Univ Calif San Diego, Scripps Inst Oceanog, La Jolla, CA 92093 USA; [Sugisaki, S.] Univ Tokyo, Dept Earth &amp; Planetary Sci, Bunkyo Ku, Tokyo 1130033, Japan; [Jimenez-Espejo, F.] Japan Agcy Marine Earth Sci &amp; Technol JAMSTEC, Dept Biogeochem, Yokosuka, Kanagawa 2370061, Japan; [Escutia, C.] Univ Granada, CSIC, Inst Andaluz Ciencias Tierra, Armilla 18100, Granada, Spain; [Cook, C. P.] Univ Florida, Dept Geol Sci, Gainesville, FL USA; [van de Flierdt, T.] Univ London Imperial Coll Sci Technol &amp; Med, Dept Earth Sci &amp; Engn, London SW7 2AZ, England; [Iwai, M.] Kochi Univ, Dept Nat Environm Sci, Kochi 7808520, Japan</t>
  </si>
  <si>
    <t>University of California System; University of California San Diego; Scripps Institution of Oceanography; University of Tokyo; Japan Agency for Marine-Earth Science &amp; Technology (JAMSTEC); University of Granada; Consejo Superior de Investigaciones Cientificas (CSIC); CSIC - Instituto Andaluz de Ciencias de la Tierra (IACT); State University System of Florida; University of Florida; Imperial College London; Kochi University</t>
  </si>
  <si>
    <t>Tauxe, L (corresponding author), Univ Calif San Diego, Scripps Inst Oceanog, La Jolla, CA 92093 USA.</t>
  </si>
  <si>
    <t>ltauxe@ucsd.edu</t>
  </si>
  <si>
    <t>Jimenez-Espejo, Francisco J/F-4486-2016; Jimenez-Espejo, Francisco J./AAR-2318-2020; Escutia, Carlota/B-8614-2015</t>
  </si>
  <si>
    <t>Jimenez-Espejo, Francisco J/0000-0002-0335-8580; Escutia, Carlota/0000-0002-4932-8619; Tauxe, Lisa/0000-0002-4837-8200; Iwai, Masao/0000-0001-7489-1262</t>
  </si>
  <si>
    <t>National Science Foundation [OCE1058858, EAR1141840]; Spanish Ministry of Science [CTM2011-24079]; Natural Environment Research Council [NE/H025162/1, NE/H014144/1] Funding Source: researchfish; NERC [NE/H025162/1, NE/H014144/1] Funding Source: UKRI</t>
  </si>
  <si>
    <t>National Science Foundation(National Science Foundation (NSF)); Spanish Ministry of Science(Spanish Government); Natural Environment Research Council(UK Research &amp; Innovation (UKRI)Natural Environment Research Council (NERC)); NERC(UK Research &amp; Innovation (UKRI)Natural Environment Research Council (NERC))</t>
  </si>
  <si>
    <t>We acknowledge all the hard work by the shipboard scientific party (Stickley, C.E., Bijl, P.K., Bohaty, S., Brinkhuis, H., McKay, R., Passchier, S., Pross, J., Riesselman, C., Rohl, U., Welsh, K., Klaus, A., Fehr, A., Bendle, J.A.P., Carr, S.A., Dunbar, R., Gonzalez, J., Hayden, T., Katsuki, K., Kong, G.S., Nakai, M., Olney, M.P., Pekar, S.F., Sakai, T., Shrivastava, P.K., Tuo, S., Williams, T., Yamane, M.) and the crew aboard the JOIDES Resolution for making all things possible. In particular, we wish to thank Maggie Hastedt whose tireless and cheerful help in the paleomagnetic laboratory was essential to the success of our investigations. We also thank Jason Steindorf for making many of the measurements. This research used samples and data provided by the Integrated Ocean Drilling Program (IODP). Funding for this research was provided by National Science Foundation grants OCE1058858 and EAR1141840 to L.T. We also acknowledge support of Spanish Ministry of Science Grant CTM2011-24079 to CE.</t>
  </si>
  <si>
    <t>10.1016/j.epsl.2014.12.034</t>
  </si>
  <si>
    <t>CB1YW</t>
  </si>
  <si>
    <t>WOS:000349424900008</t>
  </si>
  <si>
    <t>Pollard, D; DeConto, RM; Alley, RB</t>
  </si>
  <si>
    <t>Pollard, David; DeConto, Robert M.; Alley, Richard B.</t>
  </si>
  <si>
    <t>Potential Antarctic Ice Sheet retreat driven by hydrofracturing and ice cliff failure</t>
  </si>
  <si>
    <t>ice sheet; Antarctica; sea level; subglacial basin; ice cliff; hydrofracture</t>
  </si>
  <si>
    <t>SEA-LEVEL RISE; EAST ANTARCTICA; DYNAMIC TOPOGRAPHY; CALVING GLACIERS; OUTLET GLACIERS; SOUTHERN-OCEAN; MASS-BALANCE; PLIOCENE; CLIMATE; GREENLAND</t>
  </si>
  <si>
    <t>Geological data indicate that global mean sea level has fluctuated on 10(3) to 10(6) yr time scales during the last similar to 25 million years, at times reaching 20 m or more above modern. If correct, this implies substantial variations in the size of the East Antarctic Ice Sheet (EAIS). However, most climate and ice sheet models have not been able to simulate significant EAIS retreat from continental size, given that atmospheric CO2 levels were relatively low throughout this period. Here, we use a continental ice sheet model to show that mechanisms based on recent observations and analysis have the potential to resolve this model-data conflict. In response to atmospheric and ocean temperatures typical of past warm periods, floating ice shelves may be drastically reduced or removed completely by increased oceanic melting, and by hydrofracturing due to surface melt draining into crevasses. Ice at deep grounding lines may be weakened by hydrofracturing and reduced buttressing, and may fail structurally if stresses exceed the ice yield strength, producing rapid retreat. Incorporating these mechanisms in our ice-sheet model accelerates the expected collapse of the West Antarctic Ice Sheet to decadal time scales, and also causes retreat into major East Antarctic subglacial basins, producing similar to 17 m global sea-level rise within a few thousand years. The mechanisms are highly parameterized and should be tested by further process studies. But if accurate, they offer one explanation for past sea-level high stands, and suggest that Antarctica may be more vulnerable to warm climates than in most previous studies. (C) 2014 The Authors. Published by Elsevier B.V.</t>
  </si>
  <si>
    <t>[Pollard, David; Alley, Richard B.] Penn State Univ, Earth &amp; Environm Syst Inst, University Pk, PA 16802 USA; [DeConto, Robert M.] Univ Massachusetts, Dept Geosci, Amherst, MA 01003 USA; [Alley, Richard B.] Penn State Univ, Dept Geosci, University Pk, PA 16802 USA</t>
  </si>
  <si>
    <t>Pennsylvania Commonwealth System of Higher Education (PCSHE); Pennsylvania State University; Pennsylvania State University - University Park; University of Massachusetts System; University of Massachusetts Amherst; Pennsylvania Commonwealth System of Higher Education (PCSHE); Pennsylvania State University; Pennsylvania State University - University Park</t>
  </si>
  <si>
    <t>Pollard, D (corresponding author), Penn State Univ, Earth &amp; Environm Syst Inst, 2217 Earth Engn Sci Bldg, University Pk, PA 16802 USA.</t>
  </si>
  <si>
    <t>pollard@essc.psu.edu</t>
  </si>
  <si>
    <t>National Science Foundation [ANT 1043018, OCE 1202632, AGS 1203910/1203792, ANT 0424589]; National Aeronautics and Space Administration [NNX-10-AI04G]; Directorate For Geosciences [1240507] Funding Source: National Science Foundation; Directorate For Geosciences; Div Atmospheric &amp; Geospace Sciences [1203792] Funding Source: National Science Foundation; Div Atmospheric &amp; Geospace Sciences; Directorate For Geosciences [1203910] Funding Source: National Science Foundation; Office of Polar Programs (OPP); Directorate For Geosciences [1443190, 1043018, 1417886] Funding Source: National Science Foundation</t>
  </si>
  <si>
    <t>National Science Foundation(National Science Foundation (NSF)); National Aeronautics and Space Administration(National Aeronautics &amp; Space Administration (NASA)); Directorate For Geosciences(National Science Foundation (NSF)NSF - Directorate for Geosciences (GEO)); Directorate For Geosciences; Div Atmospheric &amp; Geospace Sciences(National Science Foundation (NSF)NSF - Directorate for Geosciences (GEO)); Div Atmospheric &amp; Geospace Sciences; Directorate For Geosciences(National Science Foundation (NSF)NSF - Directorate for Geosciences (GEO)); Office of Polar Programs (OPP); Directorate For Geosciences(National Science Foundation (NSF)NSF - Directorate for Geosciences (GEO))</t>
  </si>
  <si>
    <t>We thank two anonymous reviewers and Anders Levermann for their thoughtful reviews. This research was funded by the National Science Foundation under awards ANT 1043018 (D.P.), OCE 1202632, AGS 1203910/1203792 (R.D., D.P.), ANT 0424589 (R.A., D.P.), and by the National Aeronautics and Space Administration under award NNX-10-AI04G (R.A.).</t>
  </si>
  <si>
    <t>10.1016/j.epsl.2014.12.035</t>
  </si>
  <si>
    <t>WOS:000349424900013</t>
  </si>
  <si>
    <t>Green, H; Pickering, R; Drysdale, R; Johnson, BC; Hellstrom, J; Wallace, M</t>
  </si>
  <si>
    <t>Green, Helen; Pickering, Robyn; Drysdale, Russell; Johnson, Brett C.; Hellstrom, John; Wallace, Malcolm</t>
  </si>
  <si>
    <t>Evidence for global teleconnections in a late Pleistocene speleothem record of water balance and vegetation change at Sudwala Cave, South Africa</t>
  </si>
  <si>
    <t>U-Th dating; Sudwala Cave; Stalagmite; South African palaeoclimate; Aragonite inversion; Raman spectrometry</t>
  </si>
  <si>
    <t>LAST GLACIAL MAXIMUM; NORTH-ATLANTIC OCEAN; PAST 25,000 YEARS; YOUNGER DRYAS; CLIMATE-CHANGE; NEW-ZEALAND; HIGH-RESOLUTION; VARIABILITY; TERMINATION; GREENLAND</t>
  </si>
  <si>
    <t>Understanding the global response to millennial-scale climatic events is essential to our comprehension of climatic teleconnections and projection of future change, however the extent and nature of their expression in areas of the Southern Hemisphere is often viewed as equivocal. Here we report uranium thorium dating of speleothem formations sampled at Sudwala Cave in the north-eastern Lowveld region of South Africa's summer rainfall zone (SRZ). The growth intervals of multiple formations, alongside a detailed chronology and multi-proxy analysis of two periods of growth, 40-35 ka and 13.8-12.8 ka, in a stalagmite (SC1), provide information regarding key fluctuations in the palaeoclimatic and palaeoenvironmental conditions during the Late Pleistocene. High-resolution stable isotope, trace element, and micro-Raman analysis are used alongside petrographic investigation to provide a detailed assessment of the climatic conditions associated with the onset and termination of growth in SC1. The combined Raman and petrographic analysis represents a rare approach, enabling the identification of aragonite calcite shifts both within and across growth intervals and diagenetic events, potentially significantly influencing the recorded signal and often resulting in the major loss of chemical information. Consequently, the identification of this post-depositional chemical alteration could become a crucial prerequisite in speleothem palaeoclimatology, particularly in areas prone to aragonite speleothem deposition susceptible to calcite conversion, such as cave sites hosted by dolomitic karst systems. The multiple proxies used in this study highlight the complex forcing relationships between climatically related environmental change and local cave conditions on speleothem precipitation, contesting a common paradigm by associating drier conditions at Sudwala with the initiation of speleothem growth. The growth interval identified in stalagmite SC1 during the late deglaciation (13.85-12.79 ka) coincides convincingly with both the Southern Hemispherically-Forced Antarctic Cold Reversal (14.1-12.8 ka), and the Younger Dryas (12.9-11.5 ka) of Northern Hemispheric origin, identifying Southern Africa as a vital location for the investigation of the hemispheric to global expression of the millennial-scale fluctuations of the last deglaciation. (C) 2014 Elsevier Ltd. All rights reserved.</t>
  </si>
  <si>
    <t>[Green, Helen; Pickering, Robyn; Hellstrom, John; Wallace, Malcolm] Univ Melbourne, Sch Earth Sci, Parkville, Vic 3010, Australia; [Drysdale, Russell] Univ Melbourne, Sch Land &amp; Environm, Parkville, Vic 3010, Australia; [Johnson, Brett C.] Univ Melbourne, Sch Phys, Parkville, Vic 3010, Australia</t>
  </si>
  <si>
    <t>University of Melbourne; University of Melbourne; University of Melbourne</t>
  </si>
  <si>
    <t>Green, H (corresponding author), Univ Melbourne, Sch Earth Sci, McCoy Bldg,Cnr Swanston &amp; Elgin St, Parkville, Vic 3010, Australia.</t>
  </si>
  <si>
    <t>Greenhe@unimelb.edu.au</t>
  </si>
  <si>
    <t>Hellstrom, John C/B-1770-2008; Johnson, Brett C/ABD-9134-2021; Green, Helen/HTL-4943-2023; Drysdale, Russell/AAH-9376-2019</t>
  </si>
  <si>
    <t>Johnson, Brett C/0000-0002-2174-4178; Green, Helen/0000-0002-7842-6007; Drysdale, Russell/0000-0001-7867-031X; Hellstrom, John/0000-0001-9427-3525; Wallace, Malcolm/0000-0003-3188-6409</t>
  </si>
  <si>
    <t>University of Melbourne [0023249]; Australian Research Council [DE120102504]; Australian Research Council [DE120102504] Funding Source: Australian Research Council</t>
  </si>
  <si>
    <t>University of Melbourne(University of Melbourne); Australian Research Council(Australian Research Council); Australian Research Council(Australian Research Council)</t>
  </si>
  <si>
    <t>We gratefully acknowledge Phillip Owen, Stefa and the staff at Sudwala Caves for their enthusiasm and for making our visits to the caves such a pleasure. Collection and excavation permits were granted by the South African Heritage Resource Agency. Funding received from the University of Melbourne (0023249 McKenzie Fellowship to RP) and the Australian Research Council (DE120102504 to RP). Thanks to Alan Greig for his patient assistance with the laser ablation, to Warrick Joe for stable isotope analyses.</t>
  </si>
  <si>
    <t>10.1016/j.quascirev.2014.11.016</t>
  </si>
  <si>
    <t>CB6IJ</t>
  </si>
  <si>
    <t>WOS:000349730400009</t>
  </si>
  <si>
    <t>Suparta, W; Alhasa, KM</t>
  </si>
  <si>
    <t>Suparta, Wayan; Alhasa, Kemal Maulana</t>
  </si>
  <si>
    <t>Modeling of zenith path delay over Antarctica using an adaptive neuro fuzzy inference system technique</t>
  </si>
  <si>
    <t>EXPERT SYSTEMS WITH APPLICATIONS</t>
  </si>
  <si>
    <t>Modeling; ANFIS; GPS ZPD; Surface meteorological data; Antarctica</t>
  </si>
  <si>
    <t>WATER-VAPOR; PREDICTION; ANFIS</t>
  </si>
  <si>
    <t>Accessibility and accurate estimation of the tropospheric delay plays a crucial role in meteorological studies and weather forecasts as well as improving positioning accuracy. We propose to employ an adaptive neuro fuzzy inference system (ANFIS) to build estimation and prediction models for zenith path delay (ZPD). Five selected stations over Antarctica were used to examine the applicability of ANFIS. GPS ZPD data of 2010 with five-minute resolution was used as the target output. A fuzzy clustering algorithm is adopted to enhance the performance of the models, which is able to minimize the number of membership functions and rules for better efficiency in the models. To investigate the accuracy of models developed, a combination of the surface pressure (P), temperature (T) and relative humidity (H) is performed to obtain the best estimation of ZPD. The results demonstrated that ANFIS models with three inputs network (P, T and H) agreed very well with ZPD obtained from GPS than separated input only coming from P or T, or P and T, or P and H. Finally, the input network (P, T and H) is selected in developing the ZPD predictive models. The prediction resulted from one-step to eight-step ahead development, demonstrated that the high-resolution of data used in training process will increase the accuracy of the predictive model. (C) 2014 Elsevier Ltd. All rights reserved.</t>
  </si>
  <si>
    <t>[Suparta, Wayan; Alhasa, Kemal Maulana] Univ Kebangsaan Malaysia, Space Sci Ctr ANGKASA, Inst Climate Change, Bangi 43600, Selangor, Malaysia</t>
  </si>
  <si>
    <t>Universiti Kebangsaan Malaysia</t>
  </si>
  <si>
    <t>Suparta, W (corresponding author), Univ Kebangsaan Malaysia, Space Sci Ctr ANGKASA, Inst Climate Change, Bangi 43600, Selangor, Malaysia.</t>
  </si>
  <si>
    <t>wayan@ukm.edu.my; kemalalhasa@gmail.com</t>
  </si>
  <si>
    <t>SUPARTA, WAYAN/K-3110-2013; Alhasa, Kemal/AFI-7394-2022</t>
  </si>
  <si>
    <t>SUPARTA, WAYAN/0000-0002-6193-1867;</t>
  </si>
  <si>
    <t>Ministry of Science, Technology and Innovation Malaysia (MOSTI) under Grant Science Fund [06-01-02-SF0808]; Ministry of Education Malaysia (MoE) [FRGS/2/2013/SG02/UKM/02/3]</t>
  </si>
  <si>
    <t>Ministry of Science, Technology and Innovation Malaysia (MOSTI) under Grant Science Fund; Ministry of Education Malaysia (MoE)</t>
  </si>
  <si>
    <t>This study is partially supported by the Ministry of Science, Technology and Innovation Malaysia (MOSTI) under Grant Science Fund 06-01-02-SF0808 and Ministry of Education Malaysia (MoE) under Grant FRGS/2/2013/SG02/UKM/02/3. The authors sincerely thank to Crustal Dynamics Data Information System (CDDIS) NASA for archiving the ZPD data, the Australian Antarctic Division (AAD) and the British Antarctic Survey (BAS) for the surface meteorological data, and ANZ and NIWA for the Scott Base data.</t>
  </si>
  <si>
    <t>0957-4174</t>
  </si>
  <si>
    <t>1873-6793</t>
  </si>
  <si>
    <t>EXPERT SYST APPL</t>
  </si>
  <si>
    <t>Expert Syst. Appl.</t>
  </si>
  <si>
    <t>10.1016/j.eswa.2014.09.029</t>
  </si>
  <si>
    <t>Computer Science, Artificial Intelligence; Engineering, Electrical &amp; Electronic; Operations Research &amp; Management Science</t>
  </si>
  <si>
    <t>Computer Science; Engineering; Operations Research &amp; Management Science</t>
  </si>
  <si>
    <t>AU6TN</t>
  </si>
  <si>
    <t>WOS:000345734700008</t>
  </si>
  <si>
    <t>Martínez-Botí, MA; Marino, G; Foster, GL; Ziveri, P; Henehan, MJ; Rae, JWB; Mortyn, PG; Vance, D</t>
  </si>
  <si>
    <t>Martinez-Boti, M. A.; Marino, G.; Foster, G. L.; Ziveri, P.; Henehan, M. J.; Rae, J. W. B.; Mortyn, P. G.; Vance, D.</t>
  </si>
  <si>
    <t>Boron isotope evidence for oceanic carbon dioxide leakage during the last deglaciation</t>
  </si>
  <si>
    <t>WESTERN EQUATORIAL PACIFIC; PLANKTONIC-FORAMINIFERA; SOUTHERN-OCEAN; ATMOSPHERIC CO2; DEEP-OCEAN; GLOBIGERINOIDES-SACCULIFER; SEASONAL-CHANGES; ATLANTIC SECTOR; SURFACE WATERS; NORTH PACIFIC</t>
  </si>
  <si>
    <t>Atmospheric CO2 fluctuations over glacial-interglacial cycles remain a major challenge to our understanding of the carbon cycle and the climate system. Leading hypotheses put forward to explain glacial-interglacial atmospheric CO2 variations invoke changes in deep-ocean carbon storage(1,2), probably modulated by processes in the Southern Ocean, where much of the deep ocean is ventilated(3). A central aspect of such models is that, during deglaciations, an isolated glacial deep-ocean carbon reservoir is reconnected with the atmosphere, driving the atmospheric CO2 rise observed in ice-core records(4-6). However, direct documentation of changes in surface ocean carbon content and the associated transfer of carbon to the atmosphere during deglaciations has been hindered by the lack of proxy reconstructions that unambiguously reflect the oceanic carbonate system. Radiocarbon activity tracks changes in ocean ventilation(6), but not in ocean carbon content, whereas proxies that record increased deglacial upwelling(4,7) do not constrain the proportion of upwelled carbon that is degassed relative to that which is taken up by the biological pump. Here we apply the boron isotope pH proxy in planktic foraminifera to two sediment cores from the sub-Antarctic Atlantic and the eastern equatorial Pacific as a more direct tracer of oceanic CO2 outgassing. We show that surface waters at both locations, which partly derive from deep water upwelled in the Southern Ocean(8,9), became a significant source of carbon to the atmosphere during the last deglaciation, when the concentration of atmospheric CO2 was increasing. This oceanic CO2 outgassing supports the view that the ventilation of a deep-ocean carbon reservoir in the Southern Ocean had a key role in the deglacial CO2 rise, although our results allow for the possibility that processes operating in other regions may also have been important for the glacial-interglacial ocean-atmosphere exchange of carbon.</t>
  </si>
  <si>
    <t>[Martinez-Boti, M. A.; Foster, G. L.; Henehan, M. J.] Univ Southampton, Natl Oceanog Ctr Southampton, Southampton SO14 3ZH, Hants, England; [Marino, G.; Ziveri, P.; Mortyn, P. G.] Univ Autonoma Barcelona, Inst Environm Sci &amp; Technol ICTA, Bellaterra 08193, Catalonia, Spain; [Marino, G.] Australian Natl Univ, Res Sch Earth Sci, Canberra, ACT 2601, Australia; [Ziveri, P.] ICREA, Barcelona 08010, Catalonia, Spain; [Ziveri, P.] Vrije Univ Amsterdam, Fac Earth &amp; Life Sci, Dept Earth Sci, Earth &amp; Climate Cluster, NL-1081 HV Amsterdam, Netherlands; [Henehan, M. J.] Yale Univ, Dept Geol &amp; Geophys, New Haven, CT 06511 USA; [Rae, J. W. B.] CALTECH, Div Geol &amp; Planetary Sci, Pasadena, CA 91125 USA; [Rae, J. W. B.] Univ St Andrews, Dept Earth &amp; Environm Sci, St Andrews KY16 9AL, Fife, Scotland; [Mortyn, P. G.] Univ Autonoma Barcelona, Dept Geog, Bellaterra 08193, Catalonia, Spain; [Vance, D.] ETH, Dept Earth Sci, Inst Geochem &amp; Petrol, CH-8092 Zurich, Switzerland</t>
  </si>
  <si>
    <t>University of Southampton; NERC National Oceanography Centre; Autonomous University of Barcelona; Australian National University; ICREA; Vrije Universiteit Amsterdam; Yale University; California Institute of Technology; University of St Andrews; Autonomous University of Barcelona; Swiss Federal Institutes of Technology Domain; ETH Zurich</t>
  </si>
  <si>
    <t>Martínez-Botí, MA (corresponding author), Univ Southampton, Natl Oceanog Ctr Southampton, Waterfront Campus, Southampton SO14 3ZH, Hants, England.</t>
  </si>
  <si>
    <t>m.a.martinez-boti@noc.soton.ac.uk; gianluca.marino@anu.edu.au</t>
  </si>
  <si>
    <t>Ziveri, Patrizia/I-3856-2015; Foster, Gavin/W-5968-2019; Marino, Gianluca/AAN-3969-2020; Henehan, Michael James/AAY-8536-2020; Foster, Gavin/CAF-4654-2022; Rae, James/R-3812-2017; Mortyn, P. Graham/I-3860-2015</t>
  </si>
  <si>
    <t>Ziveri, Patrizia/0000-0002-5576-0301; Marino, Gianluca/0000-0001-9795-5337; Henehan, Michael James/0000-0003-4706-1233; Foster, Gavin/0000-0003-3688-9668; Rae, James/0000-0003-3904-2526; Mortyn, P. Graham/0000-0002-9473-4309</t>
  </si>
  <si>
    <t>European Community; Universitat Autonoma de Barcelona; Spanish Ministry of Science and Innovation (PROCARSO) [CGL2009-10806]; NERC [NE/D00876/X2]; NOAA/UCAR Climate and Global Change Postdoctoral Fellowship; Australian Laureate Fellowship [FL120100050]; ICREA Funding Source: Custom</t>
  </si>
  <si>
    <t>European Community; Universitat Autonoma de Barcelona; Spanish Ministry of Science and Innovation (PROCARSO); NERC(UK Research &amp; Innovation (UKRI)Natural Environment Research Council (NERC)); NOAA/UCAR Climate and Global Change Postdoctoral Fellowship; Australian Laureate Fellowship; ICREA(ICREA)</t>
  </si>
  <si>
    <t>We thank the International Ocean Drilling Program for providing samples from ODP Leg 202, R. Gersonde and A. Mackensen for the PS2498-1 core material, J. F. McManus for sharing his unpublished benthic isotope data for ODP1238, and E. J. Rohling, M. P. Hain and C. Beaulieu for discussions. For the calibration of G. bulloides, we thank M. Kucera for providing core-top samples from the archives at the University of Tubingen, H. C. Bostock for samples from the National Institute for Water and Atmospheric Research, Wellington, and B. J. Marshall and R. Thunell for samples from the Cariaco Basin sediment trap time series. J. A. Milton, M. J. Cooper and A. Michalik provided assistance during ICP-MS analyses and sample preparation in the laboratory. C. Alt and M. T. Horigome helped with foraminifera picking. We thank the other members of 'The B-Team' at the National Oceanography Centre Southampton for their contributions. Financial support was provided by the European Community through a Marie Curie Intra-European Fellowship for Career Development to M.A.M.-B., the Universitat Autonoma de Barcelona through a Postdoctoral Research Grant to G.M., the Spanish Ministry of Science and Innovation (PROCARSO project CGL2009-10806) to G.M., P.Z. and P.G.M., a NERC PhD studentship awarded to M.J.H., a NOAA/UCAR Climate and Global Change Postdoctoral Fellowship to J.W.B.R., and NERC grant NE/D00876/X2 to G.L.F. G.M. was also supported by the Australian Laureate Fellowship project FL120100050 (E J. Rohling).</t>
  </si>
  <si>
    <t>FEB 12</t>
  </si>
  <si>
    <t>U154</t>
  </si>
  <si>
    <t>10.1038/nature14155</t>
  </si>
  <si>
    <t>CA8SD</t>
  </si>
  <si>
    <t>WOS:000349190300035</t>
  </si>
  <si>
    <t>Are the broad optical Balmer lines in PG 1613+658 from the central accretion disc?</t>
  </si>
  <si>
    <t>galaxies: active; galaxies: individual: PG1613+658; galaxies: nuclei; quasars: emission lines</t>
  </si>
  <si>
    <t>ACTIVE GALACTIC NUCLEI; VELOCITY-DELAY MAPS; BLACK-HOLE; H-ALPHA; EMISSION-LINES; 3C 390.3; REGION; GALAXIES; AGN; LUMINOSITY</t>
  </si>
  <si>
    <t>In this letter, we report on the positive correlations between the broad-line width and broadline flux for the broad Balmer lines of the active galactic nucleus (AGN) PG 1613+658, which has been observed for a long time. Rather than the expected negative correlations that come with the widely accepted virialization assumption for AGN broad emission-line regions (BLRs), the positive correlations indicate very different BLR structures of PG 1613+658 from the commonly considered BLR structures that are dominated by the equilibrium between radiation pressure and gas pressure. Therefore, it is preferable to assume that the observed broad single-peaked optical Balmer lines of PG 1613+658 originate from the accretion disc, because the mainly gravity-dominated disc-like BLRs with radial structures have few effects from radiation pressure.</t>
  </si>
  <si>
    <t>Chinese Academy of Sciences; Nanjing Institute of Astronomical Optics &amp; Technology, NAOC, CAS; Purple Mountain Observatory, CAS</t>
  </si>
  <si>
    <t>NSFC [11003043, 11178003]</t>
  </si>
  <si>
    <t>NSFC(National Natural Science Foundation of China (NSFC))</t>
  </si>
  <si>
    <t>The author is very grateful to the anonymous referee for giving constructive comments and suggestions that have greatly improved the paper. The author acknowledges the support from the NSFC (grants no. 11003043 and 11178003), and thanks Dr S. Kaspi for providing the publicly available observed spectra of PG 1613+658 (http://wise-obs.tau.ac.il/similar to shai/PG/).</t>
  </si>
  <si>
    <t>FEB 11</t>
  </si>
  <si>
    <t>L39</t>
  </si>
  <si>
    <t>10.1093/mnrasl/slu172</t>
  </si>
  <si>
    <t>CQ4CR</t>
  </si>
  <si>
    <t>WOS:000360552300008</t>
  </si>
  <si>
    <t>Cosmological tests using the angular size of galaxy clusters</t>
  </si>
  <si>
    <t>galaxies: clusters: general; galaxies: evolution; cosmological parameters; cosmology: theory; distance scale; large-scale structure of Universe</t>
  </si>
  <si>
    <t>PROBE WMAP OBSERVATIONS; DISTANCE-DUALITY RELATION; ACTIVE GALACTIC NUCLEI; REDSHIFT RELATION; DARK ENERGY; DATA CONSTRAINTS; RADIO-SOURCES; EVOLUTION; QUASARS; DIAGRAM</t>
  </si>
  <si>
    <t>We use measurements of the galaxy-cluster angular size versus redshift to test and compare the standard model (Lambda CDM) and the R-h = ct Universe. We show that the latter fits the data with a reduced chi(2)(dof) = 0.786 for a Hubble constant H-0 = 72.6(-3.4)(+3.8) km s(-1) Mpc(-1), and H-0 is the sole parameter in this model. By comparison, the optimal flat Lambda cold dark matter (Lambda CDM) model, with two free parameters (including Omega(m) = 0.50 and H-0 = 73.9(-9.5)(+10.6) km s(-1) Mpc(-1)), fits the angular-size data with a reduced chi(2)(dof) = 0.806. On the basis of their chi(2)(dof) values alone, both models appear to account for the data very well in spite of the fact that the R-h = ct Universe expands at a constant rate, while Lambda CDM does not. However, because of the different number of free parameters in these models, selection tools, such as the Bayes Information Criterion, favour R-h = ct over Lambda CDM with a likelihood of similar to 86 per cent versus similar to 14 per cent. These results impact the question of galaxy growth at large redshifts. Previous work suggested an inconsistency with the underlying cosmological model unless elliptical and disc galaxies grew in size by a surprisingly large factor similar to 6 from z similar to 3 to 0. The fact that both Lambda CDM and R-h = ct fit the cluster-size measurements quite well casts some doubt on the suggestion that the unexpected result with individual galaxies may be due to the use of an incorrect expansion scenario, rather than astrophysical causes, such as mergers and/or selection effects.</t>
  </si>
  <si>
    <t>[Wei, Jun-Jie; Wu, Xue-Feng; Melia, Fulvio] Chinese Acad Sci, Purple Mt Observ, Nanjing 210008, Peoples R China; [Wei, Jun-Jie] Univ Chinese Acad Sci, Beijing 100049, Peoples R China; [Wu, Xue-Feng] Chinese Ctr Antarctic Astron, Nanjing 210008, Peoples R China; [Wu, Xue-Feng] Nanjing Univ, Purple Mt Observ, Joint Ctr Particle Nucl Phys &amp; Cosmol, Nanjing 210008, Peoples R China; [Melia, Fulvio] Univ Arizona, Program Appl Math, Dept Phys, Tucson, AZ 85721 USA; [Melia, Fulvio] Univ Arizona, Dept Astron, Tucson, AZ 85721 USA</t>
  </si>
  <si>
    <t>Chinese Academy of Sciences; Nanjing Institute of Astronomical Optics &amp; Technology, NAOC, CAS; Purple Mountain Observatory, CAS; Chinese Academy of Sciences; University of Chinese Academy of Sciences, CAS; Purple Mountain Observatory, CAS; Chinese Academy of Sciences; Nanjing Institute of Astronomical Optics &amp; Technology, NAOC, CAS; Nanjing University; University of Arizona; University of Arizona</t>
  </si>
  <si>
    <t>Wei, JJ (corresponding author), Chinese Acad Sci, Purple Mt Observ, Nanjing 210008, Peoples R China.</t>
  </si>
  <si>
    <t>jjwei@pmo.ac.cn; xfwu@pmo.ac.cn; melia@physics.arizona.edu</t>
  </si>
  <si>
    <t>National Basic Research Program ('973' Program) of China [2014CB845800, 2013CB834900]; National Natural Science Foundation of China [11322328, 11373068]; One-Hundred-Talents Program; Youth Innovation Promotion Association; Chinese Academy of Sciences [XDB09000000, 2012T1J0011]; Natural Science Foundation of Jiangsu Province; Amherst College; Chinese State Administration of Foreign Experts Affairs [GDJ20120491013]</t>
  </si>
  <si>
    <t>National Basic Research Program ('973' Program) of China(National Basic Research Program of China); National Natural Science Foundation of China(National Natural Science Foundation of China (NSFC)); One-Hundred-Talents Program(Chinese Academy of Sciences); Youth Innovation Promotion Association; Chinese Academy of Sciences(Chinese Academy of Sciences); Natural Science Foundation of Jiangsu Province(Natural Science Foundation of Jiangsu Province); Amherst College; Chinese State Administration of Foreign Experts Affairs</t>
  </si>
  <si>
    <t>We acknowledge Yun Chen for his kind assistance. This work is partially supported by the National Basic Research Program ('973' Program) of China (Grants 2014CB845800 and 2013CB834900), the National Natural Science Foundation of China (grant nos 11322328 and 11373068), the One-Hundred-Talents Program, the Youth Innovation Promotion Association, and the Strategic Priority Research Program 'The Emergence of Cosmological Structures' (Grant No. XDB09000000) of the Chinese Academy of Sciences, and the Natural Science Foundation of Jiangsu Province. FM is grateful to Amherst College for its support through a John Woodruff Simpson Lectureship, and to Purple Mountain Observatory in Nanjing, China, for its hospitality while this work was being carried out. This work was partially supported by grant 2012T1J0011 from The Chinese Academy of Sciences Visiting Professorships for Senior International Scientists, and grant GDJ20120491013 from the Chinese State Administration of Foreign Experts Affairs.</t>
  </si>
  <si>
    <t>10.1093/mnras/stu2470</t>
  </si>
  <si>
    <t>CC3TK</t>
  </si>
  <si>
    <t>Green Submitted, Bronze, Green Published</t>
  </si>
  <si>
    <t>WOS:000350272700037</t>
  </si>
  <si>
    <t>Mishra, R; Pandey, DK; Ramesh, P</t>
  </si>
  <si>
    <t>Mishra, Ravi; Pandey, D. K.; Ramesh, P.</t>
  </si>
  <si>
    <t>Shipboard Sci Party SK-306</t>
  </si>
  <si>
    <t>Active channel systems in the middle Indus fan: results from high-resolution bathymetry surveys</t>
  </si>
  <si>
    <t>Active channel systems; bathymetry survey; morphological features; submarine fan</t>
  </si>
  <si>
    <t>DEEP-SEA; GEOMETRY; INDIA</t>
  </si>
  <si>
    <t>Multibeam swath bathymetry survey was carried out in the middle Indus fan region in the eastern Arabian Sea. Using high-resolution bathymetry data, major morphological features such as the Raman seamount and the Laxmi ridge have been mapped. This study also reveals the presence of sinuous channel systems, continuing towards the distal fan. Though there are several reports on the presence of channels in different regions of the Indus fan, we report here the presence of active channels to the east of the Laxmi ridge. The total length of all channels along the channel axis is about 915 km. The individual spreads of the channels vary from 189.8 to 1980.5 m. Most of the channels are shallow with the average depth measuring about 60 m. The longest channel is about 256.3 km long, 702 m wide and about 57 m deep. The channels observed are similar to the land-based fluvial channels. The channels identified are highly sinuous in nature, their meanders and cut-off meanders are similar to the characteristics of fluvial channels. In general, average channel course in the study area is more than twice the straight course.</t>
  </si>
  <si>
    <t>[Mishra, Ravi; Pandey, D. K.; Ramesh, P.; Shipboard Sci Party SK-306] Natl Ctr Antarctic &amp; Ocean Res, Minist Earth Sci, GoI, Vasco Da Gama 403804, Goa, India</t>
  </si>
  <si>
    <t>Ministry of Earth Sciences (MoES) - India; National Centre for Polar and Ocean Research (NCPOR)</t>
  </si>
  <si>
    <t>Mishra, R (corresponding author), Natl Ctr Antarctic &amp; Ocean Res, Minist Earth Sci, GoI, Vasco Da Gama 403804, Goa, India.</t>
  </si>
  <si>
    <t>ravimishra@ncaor.gov.in</t>
  </si>
  <si>
    <t>Pandey, Dhananjai/S-3843-2019</t>
  </si>
  <si>
    <t>Pandey, Dhananjai/0000-0001-6899-8995</t>
  </si>
  <si>
    <t>FEB 10</t>
  </si>
  <si>
    <t>CC3RD</t>
  </si>
  <si>
    <t>WOS:000350265900017</t>
  </si>
  <si>
    <t>Dsouza, M; Taylor, MW; Turner, SJ; Aislabie, J</t>
  </si>
  <si>
    <t>Dsouza, Melissa; Taylor, Michael W.; Turner, Susan J.; Aislabie, Jackie</t>
  </si>
  <si>
    <t>Genomic and phenotypic insights into the ecology of Arthrobacter from Antarctic soils</t>
  </si>
  <si>
    <t>Antarctica; Comparative genomics; Arthrobacter</t>
  </si>
  <si>
    <t>COLD SHOCK RESPONSE; ROSS SEA REGION; SP NOV.; PERMAFROST BACTERIUM; LOW-TEMPERATURE; VICTORIA LAND; CELL-WALL; SEQUENCE; DIVERSITY; GLOBIFORMIS</t>
  </si>
  <si>
    <t>Background: Members of the bacterial genus Arthrobacter are both readily cultured and commonly identified in Antarctic soil communities. Currently, relatively little is known about the physiological traits that allow these bacteria to survive in the harsh Antarctic soil environment. The aim of this study is to investigate if Antarctic strains of Arthrobacter owe their resilience to substantial genomic changes compared to Arthrobacter spp. isolated from temperate soil environments. Results: Quantitative PCR-based analysis revealed that up to 4% of the soil bacterial communities were comprised of Arthrobacter spp. at four locations in the Ross Sea Region. Genome analysis of the seven Antarctic Arthrobacter isolates revealed several features that are commonly observed in psychrophilic/psychrotolerant bacteria. These include genes primarily associated with sigma factors, signal transduction pathways, the carotenoid biosynthesis pathway and genes induced by cold-shock, oxidative and osmotic stresses. However, these genes were also identified in genomes of seven temperate Arthrobacter spp., suggesting that these mechanisms are beneficial for growth and survival in a range of soil environments. Phenotypic characterisation revealed that Antarctic Arthrobacter isolates demonstrate significantly lower metabolic versatility and a narrower salinity tolerance range compared to temperate Arthrobacter species. Comparative analyses also revealed fewer protein-coding sequences and a significant decrease in genes associated with transcription and carbohydrate transport and metabolism in four of the seven Antarctic Arthrobacter isolates. Notwithstanding genome incompleteness, these differences together with the decreased metabolic versatility are indicative of genome content scaling. Conclusions: The genomes of the seven Antarctic Arthrobacter isolates contained several features that may be beneficial for growth and survival in the Antarctic soil environment, although these features were not unique to the Antarctic isolates. These genome sequences allow further investigations into the expression of physiological traits that enable survival under extreme conditions and, more importantly, into the ability of these bacteria to respond to future perturbations including climate change and human impacts.</t>
  </si>
  <si>
    <t>[Dsouza, Melissa; Taylor, Michael W.; Turner, Susan J.] Univ Auckland, Sch Biol Sci, Ctr Microbial Innovat, Auckland 1142, New Zealand; [Turner, Susan J.] BioDiscovery New Zealand Ltd, Auckland, New Zealand; [Aislabie, Jackie] Landcare Res, Hamilton, New Zealand</t>
  </si>
  <si>
    <t>University of Auckland; Landcare Research - New Zealand</t>
  </si>
  <si>
    <t>Dsouza, M (corresponding author), Univ Auckland, Sch Biol Sci, Ctr Microbial Innovat, Private Bag 92019, Auckland 1142, New Zealand.</t>
  </si>
  <si>
    <t>melissa33in@gmail.com</t>
  </si>
  <si>
    <t>Taylor, Michael/0000-0002-0463-7813</t>
  </si>
  <si>
    <t>Ministry of Business, Innovation and Employment's Science and Innovation Group, New Zealand</t>
  </si>
  <si>
    <t>Ministry of Business, Innovation and Employment's Science and Innovation Group, New Zealand(New Zealand Ministry of Business, Innovation and Employment (MBIE))</t>
  </si>
  <si>
    <t>This research was supported by Core funding for Crown Research Institutes from the Ministry of Business, Innovation and Employment's Science and Innovation Group, New Zealand. We thank Antarctica New Zealand for providing logistic support during sample collection.</t>
  </si>
  <si>
    <t>FEB 5</t>
  </si>
  <si>
    <t>10.1186/s12864-015-1220-2</t>
  </si>
  <si>
    <t>CA9OM</t>
  </si>
  <si>
    <t>WOS:000349254300001</t>
  </si>
  <si>
    <t>Lou, Z; Gu, XH; Zhong, HZ</t>
  </si>
  <si>
    <t>Lou, Zheng; Gu, Xue-Hui; Zhong, Hai-Zhong</t>
  </si>
  <si>
    <t>Medical Care Experiences of the 30th Chinese Antarctic Research Expedition: A Retrospective Study</t>
  </si>
  <si>
    <t>CHINESE MEDICAL JOURNAL</t>
  </si>
  <si>
    <t>Antarctic Research Expedition; Diseases; Injury; Medical Care; Summer Team</t>
  </si>
  <si>
    <t>IRRITABLE-BOWEL-SYNDROME</t>
  </si>
  <si>
    <t>[Lou, Zheng] Second Mil Med Univ, Changhai Hosp, Dept Colorectal Surg, Shanghai 200433, Peoples R China; [Lou, Zheng; Gu, Xue-Hui; Zhong, Hai-Zhong] Second Mil Med Univ, Changhai Hosp, Dept Field Med Stn, Shanghai 200433, Peoples R China</t>
  </si>
  <si>
    <t>Naval Medical University; Naval Medical University</t>
  </si>
  <si>
    <t>Zhong, HZ (corresponding author), Second Mil Med Univ, Changhai Hosp, Dept Field Med Stn, Shanghai 200433, Peoples R China.</t>
  </si>
  <si>
    <t>louzhengpro@126.com</t>
  </si>
  <si>
    <t>CHINESE MEDICAL ASSOC</t>
  </si>
  <si>
    <t>42 DONGSI XIDAJIE, BEIJING 100710, PEOPLES R CHINA</t>
  </si>
  <si>
    <t>0366-6999</t>
  </si>
  <si>
    <t>CHINESE MED J-PEKING</t>
  </si>
  <si>
    <t>Chin. Med. J.</t>
  </si>
  <si>
    <t>10.4103/0366-6999.150116</t>
  </si>
  <si>
    <t>Medicine, General &amp; Internal</t>
  </si>
  <si>
    <t>General &amp; Internal Medicine</t>
  </si>
  <si>
    <t>CB3JD</t>
  </si>
  <si>
    <t>WOS:000349523200019</t>
  </si>
  <si>
    <t>Laurenceau-Cornec, EC; Trull, TW; Davies, DM; De La Rocha, CL; Blain, S</t>
  </si>
  <si>
    <t>Laurenceau-Cornec, Emmanuel C.; Trull, Thomas W.; Davies, Diana M.; De la Rocha, Christina L.; Blain, Stephane</t>
  </si>
  <si>
    <t>Phytoplankton morphology controls on marine snow sinking velocity</t>
  </si>
  <si>
    <t>Sinking velocity Marine snow; Aggregation; Phytoplankton; Porosity</t>
  </si>
  <si>
    <t>NATURAL IRON FERTILIZATION; PARTICULATE ORGANIC-MATTER; EXOPOLYMER PARTICLES TEP; SETTLING VELOCITIES; CARBON FLUX; COAGULATION EFFICIENCY; AGGREGATE FORMATION; FECAL PELLETS; EXPORT FLUXES; DIATOM BLOOMS</t>
  </si>
  <si>
    <t>During the second KErguelen Ocean and Plateau compared Study (KEOPS2) in October-November 2011, marine snow was formed in roller tanks by physical aggregation of phytoplankton assemblages sampled at 6 stations over and downstream of the Kerguelen Plateau. Sinking velocities, morphology, bulk composition (transparent exopolymer particles, biogenic silica, particulate organic carbon), and phytoplankton contents were measured individually on 66 aggregates to identify controls on sinking velocities. Equivalent spherical diameters (ESD) ranged from 1 to 12 mm, and the particle aspect ratios, Corey shape factors, and fractal dimensions (D-F1 = 1.5, D-F2 = 1.8) were close to those of smaller natural aggregates (0.2 to 1.5 mm) collected in polyacrylamide gel-filled sediment traps (D-F1 = 1.2, D-F2 = 1.9). Sinking velocities ranged between 13 and 260 m d(-1), and were correlated with aggregate size only when considering individually the experiments conducted at each station, suggesting that a site-dependent control prevailed over the general influence of size. Variation in dominant diatom morphologies among the sites (classified as small spine-forming or chain without spines) appeared to be a determinant parameter influencing the sinking velocity (SV [m d(-1)] = 168 -1.48 x (% small spine-forming cells), r(2) = 0.98), possibly via a control on species-specific coagulation efficiency affecting particle structure and excess density. Our results emphasize the importance of ecological considerations over that of simple compositional perspectives in the control of particle formation, and in accurate parameterizations of marine snow sinking velocities that are essential to predictions of biological carbon sequestration.</t>
  </si>
  <si>
    <t>[Laurenceau-Cornec, Emmanuel C.] Univ Tasmania, Inst Marine &amp; Antarctic Studies, Hobart, Tas 7001, Australia; [Laurenceau-Cornec, Emmanuel C.; Trull, Thomas W.; Davies, Diana M.] Univ Tasmania, Antarctic Climate &amp; Ecosyst Cooperat Res Ctr, Hobart, Tas 7001, Australia; [Laurenceau-Cornec, Emmanuel C.; Trull, Thomas W.] Commonwealth Sci &amp; Ind Res Org, Hobart, Tas 7000, Australia; [De la Rocha, Christina L.] Univ Bretagne Occidentale, Inst Univ Europeen Mer, UMR 6539, CNRS, F-29280 Plouzane, France; [Blain, Stephane] CNRS, F-66650 Banyuls Sur Mer, France; [Blain, Stephane] Univ Paris 06, UMR 7621, LOMIC, Observ Oceanol, F-66650 Banyuls Sur Mer, France</t>
  </si>
  <si>
    <t>University of Tasmania; University of Tasmania; Antarctic Climate &amp; Ecosystems Cooperative Research Centre (ACE CRC); Commonwealth Scientific &amp; Industrial Research Organisation (CSIRO); Centre National de la Recherche Scientifique (CNRS); CNRS - Institute of Ecology &amp; Environment (INEE); Ifremer; Institut de Recherche pour le Developpement (IRD); Universite de Bretagne Occidentale; Institut Universitaire Europeen de la Mer (IUEM); Centre National de la Recherche Scientifique (CNRS); Sorbonne Universite; Centre National de la Recherche Scientifique (CNRS); CNRS - National Institute for Earth Sciences &amp; Astronomy (INSU)</t>
  </si>
  <si>
    <t>Laurenceau-Cornec, EC (corresponding author), Univ Tasmania, Inst Marine &amp; Antarctic Studies, Private Bag 129, Hobart, Tas 7001, Australia.</t>
  </si>
  <si>
    <t>emmanuel.laurenceau@utas.edu.au</t>
  </si>
  <si>
    <t>Trull, Tom W/B-7028-2014; blain, stephane/F-6917-2010</t>
  </si>
  <si>
    <t>Laurenceau-Cornec, Emmanuel/0000-0002-4041-4377; blain, stephane/0000-0002-5234-2446; Davies, Diana M./0000-0001-6304-3938</t>
  </si>
  <si>
    <t>Australian Commonwealth Cooperative Research Centres Program; Australian National Network in Marine Science via UTAS IMAS; CNES</t>
  </si>
  <si>
    <t>Australian Commonwealth Cooperative Research Centres Program(Australian GovernmentDepartment of Industry, Innovation and ScienceCooperative Research Centres (CRC) Programme); Australian National Network in Marine Science via UTAS IMAS; CNES(Centre National D'etudes Spatiales)</t>
  </si>
  <si>
    <t>This work received support from the Australian Commonwealth Cooperative Research Centres Program to the ACE CRC, and the Australian National Network in Marine Science via UTAS IMAS. We thank the personnel of the RV 'Marion Dufresne', Institut Paul Emile Victor, Institut National des Sciences de l'Univers, and the KEOPS2 voyage leader Bernard Queguiner and KEOPS2 science team for assistance at sea. Stephen Bray (ACE CRC), Peter Jansen (IMOS), and David Cherry (CSIRO) prepared the free-drifting sediment trap arrays. The MODIS (NASA) satellite ocean-colour image is courtesy of Francesco d'Ovidio (Univ. Paris). The altimeter and colour/temperature products for the Kerguelen area were produced by Ssalto/Duacs and CLS with support from CNES. We thank Simon Wotherspoon (IMAS) for his precious insights into statistical analysis. We thank the 3 anonymous reviewers for their constructive and thorough comments which helped improve the manuscript.</t>
  </si>
  <si>
    <t>FEB 3</t>
  </si>
  <si>
    <t>10.3354/meps11116</t>
  </si>
  <si>
    <t>CB0GA</t>
  </si>
  <si>
    <t>WOS:000349302600003</t>
  </si>
  <si>
    <t>Hackwon, D; Kim, SJ; Lee, CW; Kim, HW; Park, HH; Kim, HM; Park, H; Park, H; Lee, JH</t>
  </si>
  <si>
    <t>Hackwon, Do; Kim, Soo Jin; Lee, Chang Woo; Kim, Han-Woo; Park, Hyun Ho; Kim, Ho Min; Park, Hyun; Park, HaJeung; Lee, Jun Hyuck</t>
  </si>
  <si>
    <t>Crystal structure of UbiX, an aromatic acid decarboxylase from the psychrophilic bacterium Colwellia psychrerythraea that undergoes FMN-induced conformational changes</t>
  </si>
  <si>
    <t>UBIQUINONE BIOSYNTHESIS; PROTEIN; MODEL</t>
  </si>
  <si>
    <t>The ubiX gene of Colwellia psychrerythraea strain 34H encodes a 3-octaprenyl-4-hydroxybenzoate carboxylase (CpsUbiX, UniProtKB code: Q489U8) that is involved in the third step of the ubiquinone biosynthesis pathway and harbors a flavin mononucleotide (FMN) as a potential cofactor. Here, we report the crystal structures of two forms of CpsUbiX: an FMN-bound wild type form and an FMN-unbound V47S mutant form. CpsUbiX is a dodecameric enzyme, and each monomer possesses a typical Rossmann-fold structure. The FMN-binding domain of UbiX is composed of three neighboring subunits. The highly conserved Gly15, Ser41, Val47, and Tyr171 residues play important roles in FMN binding. Structural comparison of the FMN-bound wild type form with the FMN-free form reveals a significant conformational difference in the C-terminal loop region (comprising residues 170-176 and 195-206). Subsequent computational modeling and liposome binding assay both suggest that the conformational flexibility observed in the C-terminal loops plays an important role in substrate and lipid bindings. The crystal structures presented in this work provide structural framework and insights into the catalytic mechanism of CpsUbiX.</t>
  </si>
  <si>
    <t>[Hackwon, Do; Lee, Chang Woo; Kim, Han-Woo; Park, Hyun; Lee, Jun Hyuck] Korea Polar Res Inst, Div Polar Life Sci, Inchon 406840, South Korea; [Lee, Chang Woo; Kim, Han-Woo; Park, Hyun; Lee, Jun Hyuck] Korea Univ Sci &amp; Technol, Dept Polar Sci, Inchon 406840, South Korea; [Kim, Soo Jin; Kim, Ho Min] Korea Adv Inst Sci &amp; Technol, Grad Sch Med Sci &amp; Engn, Taejon 305701, South Korea; [Park, Hyun Ho] Yeungnam Univ, Sch Biotechnol, Dept Biochem, Gyongsan, South Korea; [Park, Hyun Ho] Yeungnam Univ, Grad Sch Biochem, Gyongsan, South Korea; [Park, HaJeung] Scripps Florida, Xray Core, Jupiter, FL 33458 USA</t>
  </si>
  <si>
    <t>Korea Polar Research Institute (KOPRI); Korea Institute of Ocean Science &amp; Technology (KIOST); Korea Advanced Institute of Science &amp; Technology (KAIST); Yeungnam University; Yeungnam University; State University System of Florida; University of Florida; Herbert Wertheim UF Scripps Institute for Biomedical Innovation &amp; Technology</t>
  </si>
  <si>
    <t>Lee, JH (corresponding author), Korea Polar Res Inst, Div Polar Life Sci, Inchon 406840, South Korea.</t>
  </si>
  <si>
    <t>hajpark@scripps.edu; junhyucklee@kopri.re.kr</t>
  </si>
  <si>
    <t>park, hyun ho/D-2627-2011; Kim, Ho Min/G-2712-2011</t>
  </si>
  <si>
    <t>Park, Hyun/0000-0002-8055-2010; , Hackwon/0000-0001-7663-2010; park, hyun ho/0000-0001-9928-0847</t>
  </si>
  <si>
    <t>Antarctic organisms: Cold-Adaptation Mechanisms [PE14070, PE15070]; Korea Polar Research Institute</t>
  </si>
  <si>
    <t>Antarctic organisms: Cold-Adaptation Mechanisms; Korea Polar Research Institute(Korea Polar Research Institute of Marine Research Placement (KOPRI))</t>
  </si>
  <si>
    <t>We would like to thank the staff at the X-ray core facility of the Korea Basic Science Institute (KBSI; Ochang, Korea) and BL-5C and BL-7A of the Pohang Accelerator Laboratory (Pohang, Korea) for their kind help with data collection. This work was supported by the Antarctic organisms: Cold-Adaptation Mechanisms and its application grant (PE14070 and PE15070) funded by the Korea Polar Research Institute.</t>
  </si>
  <si>
    <t>10.1038/srep08196</t>
  </si>
  <si>
    <t>CA1XW</t>
  </si>
  <si>
    <t>WOS:000348703200007</t>
  </si>
  <si>
    <t>Pilia, S; Rawlinson, N; Cayley, RA; Bodin, T; Musgrave, R; Reading, AM; Direen, NG; Young, MK</t>
  </si>
  <si>
    <t>Pilia, S.; Rawlinson, N.; Cayley, R. A.; Bodin, T.; Musgrave, R.; Reading, A. M.; Direen, N. G.; Young, M. K.</t>
  </si>
  <si>
    <t>Evidence of micro-continent entrainment during crustal accretion</t>
  </si>
  <si>
    <t>LACHLAN FOLD BELT; TELESEISMIC TOMOGRAPHY; CENTRAL VICTORIA; OROGEN; MARGIN</t>
  </si>
  <si>
    <t>Simple models involving the gradual outboard accretion of material along curvilinear subduction zones are often inconsistent with field-based evidence. A recent study using 3-D geodynamic modelling has shown that the entrainment of an exotic continental fragment within a simple subduction system can result in a complex phase of growth. Although kinematic models based on structural mapping and high-resolution gravity and magnetic maps indicate that the pre-Carboniferous Tasmanides in southeastern Australia may have been subjected to this process, to date there has been little corroboration from crustal scale geophysical imaging. Here, we apply Bayesian transdimensional tomography to ambient noise data recorded by the WOMBAT transportable seismic array to constrain a detailed (20 km resolution in some areas) 3-D shear velocity model of the crust beneath southeast Australia. We find that many of the velocity variations that emerge from our inversion support the recently developed geodynamic and kinematic models. In particular, the full thickness of the exotic continental block, responsible for orocline formation and the tectonic escape of the back arc region, is imaged here for the first time. Our seismic results provide the first direct evidence that exotic continental fragments may profoundly affect the development of an accretionary orogen.</t>
  </si>
  <si>
    <t>[Pilia, S.] Australian Natl Univ, Res Sch Earth Sci, Canberra, ACT 0200, Australia; [Rawlinson, N.] Univ Aberdeen, Sch Geosci, Aberdeen AB24 3UE, Scotland; [Cayley, R. A.] Geol Survey Victoria, Dept State Dev Business &amp; Innovat, Melbourne, Vic 3001, Australia; [Bodin, T.] Univ Calif Berkeley, Berkeley Seismol Lab, Berkeley, CA 94720 USA; [Musgrave, R.] NSW Trade &amp; Investment, Geol Survey New South Wales, Maitland, NSW 2320, Australia; [Reading, A. M.; Direen, N. G.] Univ Tasmania, Sch Earth Sci, Inst Marine &amp; Antarctic Studies, Hobart, Tas 7001, Australia; [Reading, A. M.; Direen, N. G.] Univ Tasmania, CODES Ctr Excellence, Hobart, Tas 7001, Australia; [Young, M. K.] DownUnder GeoSolut Pty Ltd, Perth, WA 6005, Australia</t>
  </si>
  <si>
    <t>Australian National University; University of Aberdeen; Melbourne Genomics Health Alliance; University of California System; University of California Berkeley; NSW Department of Primary Industries; University of Tasmania; University of Tasmania</t>
  </si>
  <si>
    <t>Pilia, S (corresponding author), Petr Inst, Petr Geosci Dept, POB 2533, Abu Dhabi, U Arab Emirates.</t>
  </si>
  <si>
    <t>spilia@pi.ac.ae</t>
  </si>
  <si>
    <t>Musgrave, Robert John/J-3902-2019; Direen, Nicholas/P-5949-2019; Reading, Anya M/E-6728-2012</t>
  </si>
  <si>
    <t>Musgrave, Robert John/0000-0003-0485-4081; Direen, Nicholas/0000-0002-4466-7064; Reading, Anya M/0000-0002-9316-7605; Rawlinson, Nicholas/0000-0002-6977-291X; Pilia, Simone/0000-0002-3805-9257</t>
  </si>
  <si>
    <t>Australian Research Council [LP110100256]; CSIRO scholarship; Australian Research Council [LP110100256] Funding Source: Australian Research Council</t>
  </si>
  <si>
    <t>Australian Research Council(Australian Research Council); CSIRO scholarship; Australian Research Council(Australian Research Council)</t>
  </si>
  <si>
    <t>Major project support including that of S.P. was provided through the Australian Research Council grant LP110100256 and a CSIRO scholarship. We would like to thank Andreas Fichtner for his useful comments. Calculations were performed on the Terrawulf II cluster, a computational facility supported through the AuScope Australian Geophysical Observing System (AGOS).</t>
  </si>
  <si>
    <t>10.1038/srep08218</t>
  </si>
  <si>
    <t>gold, Green Submitted, Green Accepted, Green Published</t>
  </si>
  <si>
    <t>WOS:000348703200029</t>
  </si>
  <si>
    <t>Elphick, MR; Semmens, DC; Blowes, LM; Levine, J; Lowe, CJ; Arnone, MI; Clark, MS</t>
  </si>
  <si>
    <t>Elphick, Maurice R.; Semmens, Dean C.; Blowes, Liisa M.; Levine, Judith; Lowe, Christopher J.; Arnone, Maria I.; Clark, Melody S.</t>
  </si>
  <si>
    <t>Reconstructing SALMFamide neuropeptide precursor evolution in the phylum Echinodermata: ophiuroid and crinoid sequence data provide new insights</t>
  </si>
  <si>
    <t>FRONTIERS IN ENDOCRINOLOGY</t>
  </si>
  <si>
    <t>neuropeptide; echinoderm; SALMFamide; evolution; ophiuroid; crinoid</t>
  </si>
  <si>
    <t>STARFISH ASTERIAS-RUBENS; CUCUMBER HOLOTHURIA-GLABERRIMA; POLYCLONAL ANTIBODIES; TISSUE DISTRIBUTION; MUSCLE; RELAXATION; FAMILY; S1; S2</t>
  </si>
  <si>
    <t>The SALMFamides are a family of neuropeptides that act as muscle relaxants in echinoderms. Analysis of genome/transcriptome sequence data from the sea urchin Strongylocentrotus purpuratus (Echinoidea), the sea cucumber Apostichopus japonicus (Holothuroidea), and the starfish Patina miniata (Asteroidea) reveals that in each species there are two types of SALMFamide precursor: an L-type precursor comprising peptides with a C-terminal LxFamide-type motif and an F-type precursor solely or largely comprising peptides with a C-terminal FxFamide-type motif. Here, we have identified transcripts encoding SALMFamide precursors in the brittle star Ophionotus victoriae (Ophiuroidea) and the feather star Antedon mediterranea (Crinoidea). We have also identified SALMFamide precursors in other species belonging to each of the five echinoderm classes. As in S. purpuratus, A. japonicus, and P miniata, in O. victoriae there is one L-type precursor and one F-type precursor. However, in A. mediterranea only a single SALMFamide precursor was found, comprising two peptides with a LxFamide-type motif, one with a FxFamide-type motif, five with a FxLamide-type motif, and four with a LxLamide-type motif. As crinoids are basal to the Echinozoa (Holothuroidea + Echinoidea) and Asterozoa (Asteroidea + Ophiuroidea) in echinoderm phylogeny, one model of SALMFamide precursor evolution would be that ancestrally there was a single SALMFamide gene encoding a variety of SALMFamides (as in crinoids), which duplicated in a common ancestor of the Echinozoa and Asterozoa and then specialized to encode L-type SALMFamides or F-type SALMFamides. Alternatively, a second SALMFamide precursor may remain to be discovered or may have been lost in crinoids. Further insights will be obtained if SALMFamide receptors are identified, which would provide a molecular basis for experimental analysis of the functional significance of the cocktails of SALMFamides that exist in echinoderms.</t>
  </si>
  <si>
    <t>[Elphick, Maurice R.; Semmens, Dean C.; Blowes, Liisa M.] Queen Mary Univ London, Sch Biol &amp; Chem Sci, Mile End Rd, London E1 4NS, England; [Levine, Judith; Lowe, Christopher J.] Stanford Univ, Hopkins Marine Stn, Pacific Grove, CA 93950 USA; [Arnone, Maria I.] Stn Zool Anton Dohrn, Naples, Italy; [Clark, Melody S.] British Antarctic Survey, Cambridge CB3 0ET, England</t>
  </si>
  <si>
    <t>University of London; Queen Mary University London; Stanford University; Stazione Zoologica Anton Dohrn di Napoli; UK Research &amp; Innovation (UKRI); Natural Environment Research Council (NERC); NERC British Antarctic Survey</t>
  </si>
  <si>
    <t>Elphick, MR (corresponding author), Queen Mary Univ London, Sch Biol &amp; Chem Sci, Mile End Rd, London E1 4NS, England.</t>
  </si>
  <si>
    <t>m.r.elphick@qmul.ac.uk</t>
  </si>
  <si>
    <t>Semmens, Dean C/E-5897-2013; Clark, Melody/D-7371-2014</t>
  </si>
  <si>
    <t>Semmens, Dean C/0000-0002-7933-805X; Blowes, Liisa/0000-0002-9614-9074; Elphick, Maurice/0000-0002-9169-0048; Clark, Melody/0000-0002-3442-3824; ARNONE, Maria Immacolata/0000-0002-9012-7624; Lowe, Christopher/0000-0002-7789-8643</t>
  </si>
  <si>
    <t>Queen Mary University of London; Natural Environmental Research Council [NE-C300-62202-3215]; National Institute for Health Research (NIHR) Biomedical Research Center based at Guy's and St Thomas' NHS Foundation Trust and King's College London; NERC [bas0100025] Funding Source: UKRI; Natural Environment Research Council [bas0100025] Funding Source: researchfish</t>
  </si>
  <si>
    <t>Queen Mary University of London; Natural Environmental Research Council(UK Research &amp; Innovation (UKRI)Natural Environment Research Council (NERC)); National Institute for Health Research (NIHR) Biomedical Research Center based at Guy's and St Thomas' NHS Foundation Trust and King's College London; NERC(UK Research &amp; Innovation (UKRI)Natural Environment Research Council (NERC)); Natural Environment Research Council(UK Research &amp; Innovation (UKRI)Natural Environment Research Council (NERC))</t>
  </si>
  <si>
    <t>This work was supported by a Ph.D. studentship awarded to Dean C. Semmens by Queen Mary University of London. Sequencing of the O. victoriae and A. mediterranea transcriptomes was funded by the Natural Environmental Research Council (NE-C300-62202-3215; British Antarctic Survey, Cambridge). This research was also supported by the National Institute for Health Research (NIHR) Biomedical Research Center based at Guy's and St Thomas' NHS Foundation Trust and King's College London. The views expressed are those of the authors and not necessarily those of the NHS, the NIHR or the Department of Health. We are very grateful to Dr. Timothy O'Hara and Dr. Andrew Hugall (Museum Victoria, Melbourne, VIC, Australia) for providing access to their echinoderm transcriptome sequence data.</t>
  </si>
  <si>
    <t>1664-2392</t>
  </si>
  <si>
    <t>FRONT ENDOCRINOL</t>
  </si>
  <si>
    <t>Front. Endocrinol.</t>
  </si>
  <si>
    <t>FEB 2</t>
  </si>
  <si>
    <t>10.3389/fendo.2015.00002</t>
  </si>
  <si>
    <t>DP3LI</t>
  </si>
  <si>
    <t>WOS:000378394600001</t>
  </si>
  <si>
    <t>Harrison, MF; Johnson, BD</t>
  </si>
  <si>
    <t>Harrison, Michael F.; Johnson, Bruce D.</t>
  </si>
  <si>
    <t>Statin Use and the Development of Acute Mountain Sickness</t>
  </si>
  <si>
    <t>LDL; cholesterol; altitude sickness; South Pole</t>
  </si>
  <si>
    <t>C-REACTIVE PROTEIN; HIGH-ALTITUDE ILLNESS; DENSITY-LIPOPROTEIN CHOLESTEROL; REDUCTASE INHIBITORS; ENDOTHELIAL-CELLS; LDL CHOLESTEROL; THERAPY; SIMVASTATIN; SEPSIS; PRAVASTATIN</t>
  </si>
  <si>
    <t>INTRODUCTION: Our prior publication suggested that elevated serum concentrations of low-density lipoprotein (LDL) was protective against the development of acute mountain sickness (AMS) while an inflammatory response was contributory to its development. The use of 3-hydroxy-3-methylglutaryl-coenzyme-A-reductase inhibitors (statins) may be of interest to those traveling to altitude - these medications will lower serum LDL concentrations, but are also reported to have anti-inflammatory properties. METHODS: Prior to flying from sea level to the South Pole (similar to 10,498.7 ft or 3200 m) during the austral summer months of 2005-2006 and 2006-2007, the 248 subjects provided informed consent. Questionnaires related to AMS symptoms, acetazolamide use, personal history, and anthropometrics were paired with results from blood samples. Statin use was reported by six subjects who were matched for age, sex, altitude of residence, and acetazolamide use with seven subjects not using a statin. RESULTS: No significant differences were identified in any of the matched variables between the groups. No statin users reported symptoms of AMS while 57% of participants not using a statin did report AMS symptoms (P = 0.03). No significant difference was noted between LDL levels in the statin group (108.3 = 61.0) as compared to the group not taking statins (104.6 = 22.1) (P = 0.88). DISCUSSION: Our previous results suggested that elevated LDL was protective while an inflammatory response was contributory with respect to AMS development. The present results suggest that statin use may provide protection against AMS symptoms, possibly through an anti-inflammatory property, despite its lipid-lowering capacity.</t>
  </si>
  <si>
    <t>Mayo Clin, Div Cardiovasc Dis, Rochester, MN USA; [Harrison, Michael F.] Henry Ford Hosp, Dept Emergency Med, Detroit, MI 48202 USA</t>
  </si>
  <si>
    <t>Mayo Clinic; Henry Ford Health System; Henry Ford Hospital</t>
  </si>
  <si>
    <t>Harrison, MF (corresponding author), Henry Ford Hosp, Dept Emergency Med, 2799 W Grand Blvd, Detroit, MI 48202 USA.</t>
  </si>
  <si>
    <t>harrison.mf@unb.ca</t>
  </si>
  <si>
    <t>Harrison, Michael/GYD-8608-2022</t>
  </si>
  <si>
    <t>National Science Foundation [B-179-M]; Mayo Clinic Center for Translational Science Activity (CTSA), Clinical Research Unit; National Center for Research Resources [1 UL1 RR024150]</t>
  </si>
  <si>
    <t>National Science Foundation(National Science Foundation (NSF)); Mayo Clinic Center for Translational Science Activity (CTSA), Clinical Research Unit; National Center for Research Resources(United States Department of Health &amp; Human ServicesNational Institutes of Health (NIH) - USANIH National Center for Research Resources (NCRR))</t>
  </si>
  <si>
    <t>We would like to thank the employees of the U.S. Antarctic Program. This includes general science support, station management, and cargo crew at South Pole, Crary Lab, medical team, and transportation/shipping at both McMurdo and South Pole. We would also like to thank Dr. Paul J. Anderson, Dr. Maile L. Richert, Andrew D. Miller, Kathy A. O'Malley, Jacob Johnson, Dr. Kenneth Beck, Jay O'Brien, Kent Bailey, and Josh Mueller for assistance with many aspects of data collection and analysis. This study was supported by a grant from the National Science Foundation, B-179-M, and funding through Mayo Clinic Center for Translational Science Activity (CTSA), Clinical Research Unit, Grant Number 1 UL1 RR024150 from the National Center for Research Resources.</t>
  </si>
  <si>
    <t>FEB</t>
  </si>
  <si>
    <t>10.3357/AMHP.4029.2015</t>
  </si>
  <si>
    <t>CM0AG</t>
  </si>
  <si>
    <t>WOS:000357340000005</t>
  </si>
  <si>
    <t>Pandit, D</t>
  </si>
  <si>
    <t>Pandit, Dinesh</t>
  </si>
  <si>
    <t>Geochemistry of Feldspar Intergrowth Microtextures from Paleoproterozoic Granitoids in Central India: Implications to Exsolution Processes in Granitic System</t>
  </si>
  <si>
    <t>Granitoids; Intergrowth microtexture; Perthites; Myrmekites; Central India</t>
  </si>
  <si>
    <t>PALAEOPROTEROZOIC MALANJKHAND GRANITOIDS; MUTUAL REPLACEMENT REACTIONS; AQUEOUS PHASE SATURATION; PORPHYRY COPPER-DEPOSIT; SAUSAR-MOBILE BELT; ALKALI-FELDSPARS; MICROGRANULAR ENCLAVES; CONTINENTAL COLLISIONS; PROTEROZOIC PERIOD; SOUTHERN MARGIN</t>
  </si>
  <si>
    <t>Various forms of feldspar intergrowth microtextures occurred in granitic rocks. Characteristically, two distinct types of microtextures formed due to intergrowth between K-feldspar and plagioclase i.e. perthites and myrmekites. Malanjkhand and Dongargarh granitoids are two contemporaneous units of Paleoproterozoic granitoids in central India. Three varieties of perthites have been identified in these granitoids i.e. flame, braid, and vein types. Flame perthite bearing K-feldspar is common. Braid and vein perthites occur occasionally. Paleopiezometry estimation indicates that flame perthite formed under the influence of low to moderate differential stress on granitoids. Most of the perthites occurs in these granitoids are compositionally albite to oligoclase in nature. The composition ranges X-Ab : 0.98-0.49 for the Malanjkhand and X-Ab : 0.96-0.49 for Dongargarh granitoids. Binary feldspar thermometry calculation indicates that perthites have formed at moderate to high temperature conditions in the Malanjkhand granitoid whereas low to moderate temperature conditions in Dongargarh granitoids during sub-solidus phase. Myrmekites is another feldspar intergrowth microtexture found in these granitoids. Myrmekites are identified in these granitoids based on their characteristic morphologies such as ghost, bulbous, rim, etc. These myrmekites were formed under moderate temperature conditions during magmatic-hydrothermal transition phase. Formation of flame perthite can be explained by replacement reaction mechanism (Na-K exchange) between K-feldspar and plagioclase under low to moderate differential stress condition during rapid cooling. Further, extensive deuteric alteration results in the formation of braid and vein perthites. Formation of myrmekites can be assumed by couple of replacement mechanisms (Na-K and Ca-K exchange) between K-feldspar and plagioclase. Paleopiezometry and feldspar thermometry results infer that orthomagmatic-hydrothermal transition in the Malanjkhand and Dongargarh granitoids were favored at upper or shallow levels in the continental crust.</t>
  </si>
  <si>
    <t>Natl Ctr Antarctic &amp; Ocean Res, Vasco Da Gama 403804, Goa, India</t>
  </si>
  <si>
    <t>Pandit, D (corresponding author), Natl Ctr Antarctic &amp; Ocean Res, Vasco Da Gama 403804, Goa, India.</t>
  </si>
  <si>
    <t>dpandit@hotmail.com</t>
  </si>
  <si>
    <t>Pandit, Dinesh/AAM-6990-2021</t>
  </si>
  <si>
    <t>Pandit, Dinesh/0000-0003-1722-6586</t>
  </si>
  <si>
    <t>Council of Scientific and Industrial Research (CSIR), Government of India</t>
  </si>
  <si>
    <t>Council of Scientific and Industrial Research (CSIR), Government of India(Council of Scientific &amp; Industrial Research (CSIR) - India)</t>
  </si>
  <si>
    <t>DP acknowledged to Council of Scientific and Industrial Research (CSIR), Government of India for financial support in terms of research fellowship and the present paper is a part of his Ph. D research program. Prof. Mruganka K. Panigrahi, IIT Kharagpur and Dr. Rajesh K. Naik, Geological Survey of India, Kolkata is duly acknowledged for their consistent support in research during my tenure at IIT Kharagpur. Author also likes to thanks for technical support from B. Chattopadhyay, S. K. Sengupta, and S. Nandi, EPMA Laboratory, Geological Survey of India, for the EPMA analysis at Kolkata. The instructive comments of an anonymous reviewer greatly improved the content and structure of the manuscript and the editorial advised by Prof. B. Mahabaleswar is greatly appreciated.</t>
  </si>
  <si>
    <t>10.1007/s12594-015-0204-9</t>
  </si>
  <si>
    <t>CJ1PE</t>
  </si>
  <si>
    <t>WOS:000355255200004</t>
  </si>
  <si>
    <t>McDonnell, AMP; Boyd, PW; Buesseler, KO</t>
  </si>
  <si>
    <t>McDonnell, A. M. P.; Boyd, P. W.; Buesseler, K. O.</t>
  </si>
  <si>
    <t>Effects of sinking velocities and microbial respiration rates on the attenuation of particulate carbon fluxes through the mesopelagic zone</t>
  </si>
  <si>
    <t>ATLANTIC TIME-SERIES; ANTARCTIC PENINSULA; ORGANIC-MATTER; MARINE SNOW; BACTERIAL-GROWTH; PARTICLE FLUXES; AUSTRAL SUMMER; UPPER-OCEAN; NEUTRALLY BUOYANT; CONTINENTAL-SHELF</t>
  </si>
  <si>
    <t>The attenuation of sinking particle fluxes through the mesopelagic zone is an important process that controls the sequestration of carbon and the distribution of other elements throughout the oceans. Case studies at two contrasting sites, the oligotrophic regime of the Bermuda Atlantic Time-series Study (BATS) and the mesotrophic waters of the west Antarctic Peninsula (WAP) sector of the Southern Ocean, revealed large differences in the rates of particle-attached microbial respiration and the average sinking velocities of marine particles, two parameters that affect the transfer efficiency of particulate matter from the base of the euphotic zone into the deep ocean. Rapid average sinking velocities of 270 +/- 150 md(-1) were observed along the WAP, whereas the average velocity was 49 +/- 25 md(-1) at the BATS site. Respiration rates of particle-attached microbes were measured using novel RESPIRE (REspiration of Sinking Particles In the subsuRface ocEan) sediment traps that first intercepts sinking particles then incubates them in situ. RESPIRE experiments yielded flux-normalized respiration rates of 0.4 +/- 0.1 day(-1) at BATS when excluding an outlier of 1.52 day(-1), while these rates were undetectable along the WAP (0.01 +/- 0.02 day(-1)). At BATS, flux-normalized respiration rates decreased exponentially with respect to depth below the euphotic zone with a 75% reduction between the 150 and 500 m depths. These findings provide quantitative and mechanistic insights into the processes that control the transfer efficiency of particle flux through the mesopelagic and its variability throughout the global oceans.</t>
  </si>
  <si>
    <t>[McDonnell, A. M. P.] Univ Alaska Fairbanks, Sch Fisheries &amp; Ocean Sci, Fairbanks, AK 99775 USA; [Boyd, P. W.] Univ Tasmania, Inst Marine &amp; Antarctic Studies, Hobart, Tas, Australia; [Boyd, P. W.] Univ Otago, Dept Chem, NIWA Ctr Chem &amp; Phys Oceanog, Dunedin, New Zealand; [Buesseler, K. O.] Woods Hole Oceanog Inst, Dept Marine Chem &amp; Geochem, Woods Hole, MA 02543 USA</t>
  </si>
  <si>
    <t>University of Alaska System; University of Alaska Fairbanks; University of Tasmania; University of Otago; Woods Hole Oceanographic Institution</t>
  </si>
  <si>
    <t>McDonnell, AMP (corresponding author), Univ Alaska Fairbanks, Sch Fisheries &amp; Ocean Sci, Fairbanks, AK 99775 USA.</t>
  </si>
  <si>
    <t>amcdonnell@alaska.edu</t>
  </si>
  <si>
    <t>; Boyd, Philip/J-7624-2014</t>
  </si>
  <si>
    <t>McDonnell, Andrew/0000-0003-1408-4869; Boyd, Philip/0000-0001-7850-1911</t>
  </si>
  <si>
    <t>University of Alaska Fairbanks; Woods Hole Oceanographic Institution (WHOI); WHOI Coastal Oceans Institute; WHOI Academic Programs Office; National Science Foundation (NSF) [ANT-0823101, ANT-83886600]; NSF Carbon and Water Program [06028416]</t>
  </si>
  <si>
    <t>University of Alaska Fairbanks; Woods Hole Oceanographic Institution (WHOI); WHOI Coastal Oceans Institute; WHOI Academic Programs Office; National Science Foundation (NSF)(National Science Foundation (NSF)); NSF Carbon and Water Program</t>
  </si>
  <si>
    <t>Estimates of NPP for Figure 6 were obtained from the BATS and PAL online databases. All other original data used to create the figures are included in the data tables of this manuscript or can be requested directly from the corresponding author A. McDonnell at amcdonnell@alaska.edu. We thank Palmer LTER and the Food For Benthos on the Antarctic Continental Shelf Project (FOODBANCS) for accommodating our science on their respective cruises to the west Antarctic Peninsula. Funding was provided by the University of Alaska Fairbanks, Woods Hole Oceanographic Institution (WHOI) Rinehart Access to the Sea Program, the WHOI Coastal Oceans Institute, WHOI Academic Programs Office, and the National Science Foundation (NSF) for support of PAL (ANT-0823101), FOODBANCS, and WAPflux (ANT-83886600) projects. A grant from the NSF Carbon and Water Program (06028416) supported the development of these methods.</t>
  </si>
  <si>
    <t>10.1002/2014GB004935</t>
  </si>
  <si>
    <t>CH9UF</t>
  </si>
  <si>
    <t>WOS:000354381200005</t>
  </si>
  <si>
    <t>Puddick, J; Prinsep, MR; Wood, SA; Cary, SC; Hamilton, DP; Holland, PT</t>
  </si>
  <si>
    <t>Puddick, Jonathan; Prinsep, Michele R.; Wood, Susanna A.; Cary, Stephen Craig; Hamilton, David P.; Holland, Patrick T.</t>
  </si>
  <si>
    <t>Further Characterization of Glycine-Containing Microcystins from the McMurdo Dry Valleys of Antarctica</t>
  </si>
  <si>
    <t>TOXINS</t>
  </si>
  <si>
    <t>CYCLIC HEPTAPEPTIDE HEPATOTOXINS; TANDEM MASS-SPECTROMETRY; CONSTITUENT AMINO-ACIDS; SP STRAIN 152; STRUCTURAL-CHARACTERIZATION; LIQUID-CHROMATOGRAPHY; ABSOLUTE-CONFIGURATION; OSCILLATORIA-AGARDHII; THIOL DERIVATIZATION; CYANOBACTERIAL MATS</t>
  </si>
  <si>
    <t>Microcystins are hepatotoxic cyclic peptides produced by several cyanobacterial genera worldwide. In 2008, our research group identified eight new glycine-containing microcystin congeners in two hydro-terrestrial mat samples from the McMurdo Dry Valleys of Eastern Antarctica. During the present study, high-resolution mass spectrometry, amino acid analysis and micro-scale thiol derivatization were used to further elucidate their structures. The Antarctic microcystin congeners contained the rare substitution of the position-1 d-alanine for glycine, as well as the acetyl desmethyl modification of the position-5 Adda moiety (3S-amino-9S-methoxy-2S,6,8S-trimethyl-10-phenyldeca-4E,6E-dienoic acid). Amino acid analysis was used to determine the stereochemistry of several of the amino acids and conclusively demonstrated the presence of glycine in the microcystins. A recently developed thiol derivatization technique showed that each microcystin contained dehydrobutyrine in position-7 instead of the commonly observed N-methyl dehydroalanine.</t>
  </si>
  <si>
    <t>[Puddick, Jonathan; Wood, Susanna A.; Holland, Patrick T.] Cawthron Inst, Nelson 7010, New Zealand; [Prinsep, Michele R.] Univ Waikato, Sch Sci, Dept Chem, Hamilton 3240, New Zealand; [Wood, Susanna A.; Hamilton, David P.] Univ Waikato, Environm Res Inst, Hamilton 3240, New Zealand; [Cary, Stephen Craig] Univ Waikato, Sch Sci, Dept Biol Sci, Hamilton 3240, New Zealand</t>
  </si>
  <si>
    <t>Cawthron Institute; University of Waikato; University of Waikato; University of Waikato</t>
  </si>
  <si>
    <t>Puddick, J (corresponding author), Cawthron Inst, Private Bag 2, Nelson 7010, New Zealand.</t>
  </si>
  <si>
    <t>jonathan.puddick@cawthron.org.nz; m.prinsep@waikato.ac.nz; susie.wood@cawthron.org.nz; caryc@waikato.ac.nz; d.hamilton@waikato.ac.nz; pth_consultancy@xtra.co.nz</t>
  </si>
  <si>
    <t>Hamilton, David P/F-5039-2012; Hamilton, David/AAI-9851-2020; Hamilton, David/ABI-6870-2020; Prinsep, Michele/AAU-2396-2021</t>
  </si>
  <si>
    <t>Hamilton, David P/0000-0002-9341-8777; Hamilton, David/0000-0002-9341-8777; Puddick, Jonathan/0000-0001-7000-9180; Cary, Stephen/0000-0002-2876-2387</t>
  </si>
  <si>
    <t>New Zealand Ministry of Business, Innovation and Employment [UOWX0505]; Marsden Fund of the Royal Society of New Zealand [12-UOW-087]; University of Waikato</t>
  </si>
  <si>
    <t>New Zealand Ministry of Business, Innovation and Employment(New Zealand Ministry of Business, Innovation and Employment (MBIE)); Marsden Fund of the Royal Society of New Zealand(Royal Society of New ZealandMarsden Fund (NZ)); University of Waikato</t>
  </si>
  <si>
    <t>The authors thank Wendy Jackson, Pat Gread (University of Waikato, New Zealand), Janet Adamson and Michael Boundy (Cawthron Institute, New Zealand) for their valued technical assistance, Andy Selwood (Cawthron Institute, New Zealand) and Christopher Miles (Norwegian Veterinary Institute, Norway) for helpful discussions and technical guidance and the anonymous peer-reviewers for their comments, which have improved this manuscript. Susanna Wood and Craig Cary thank Antarctica New Zealand for logistical assistance during sample collection. This research was supported by the New Zealand Ministry of Business, Innovation and Employment (UOWX0505; Lake Biodiversity Restoration), the Marsden Fund of the Royal Society of New Zealand (12-UOW-087) and a University of Waikato Doctoral Scholarship (Jonathan Puddick).</t>
  </si>
  <si>
    <t>2072-6651</t>
  </si>
  <si>
    <t>Toxins</t>
  </si>
  <si>
    <t>10.3390/toxins7020493</t>
  </si>
  <si>
    <t>Food Science &amp; Technology; Toxicology</t>
  </si>
  <si>
    <t>CH3YP</t>
  </si>
  <si>
    <t>WOS:000353967500017</t>
  </si>
  <si>
    <t>Mohan, R; Shetye, SS; Tiwari, M; Anilkumar, N</t>
  </si>
  <si>
    <t>Mohan, Rahul; Shetye, Suhas S.; Tiwari, Manish; Anilkumar, Narayanpillai</t>
  </si>
  <si>
    <t>Secondary Calcification of Planktic Foraminifera from the Indian Sector of Southern Ocean</t>
  </si>
  <si>
    <t>ACTA GEOLOGICA SINICA-ENGLISH EDITION</t>
  </si>
  <si>
    <t>Southern Ocean; foraminifera; climate change; stable isotopes; shell weight</t>
  </si>
  <si>
    <t>ISOTOPIC COMPOSITION; CALCITE DISSOLUTION; GAMETOGENIC CALCIFICATION; SURFACE-WATER; SARGASSO SEA; OXYGEN; DELTA-O-18; FRONTS; SW; PHOTOSYNTHESIS</t>
  </si>
  <si>
    <t>This study focused on planktic foraminifera in plankton tows and surface sediments from the western Indian sector of Southern Ocean in order to evaluate the potential foraminiferal secondary calcification and/or dissolution in the sediment. It is found that the symbiotic foraminiferal species are abundant in the subtropical region, whereas non-symbiotic species dominate in the sub-Antarctic and polar frontal regions. The distribution of the symbiotic and non-symbiotic foraminiferal species is controlled by temperature, salinity, light, nutrients and phytoplankton biomass. There is also a lateral southern extent in abundance of planktic foraminifera from surface sediments to plankton tows. The shell weights of the planktic foraminifera N. pachyderma, G. bulloides and G. ruber within the surface sediments are on an average heavier by 27%, 34% and 40% respectively than shells of the same size within the plankton tows, indicative of secondary calcification. The planktic foraminiferal isotopes show the presence of heavier isotopes in the surface sediment foraminifera as compared to plankton tows, thus confirming secondary calcification. Secondary calcification in G. ruber occurs in the euphotic zone, whereas in case of N. pachyderma and G. bulloides it is at deeper depths. We also observed a decrease in the shell spines in surface sediment foraminifera as compared to plankton tows, indicative of the morphological changes that foraminifera underwent during gametogenesis.</t>
  </si>
  <si>
    <t>[Mohan, Rahul; Shetye, Suhas S.; Tiwari, Manish; Anilkumar, Narayanpillai] Natl Ctr Antarctic &amp; Ocean Res, Headland Sada 403804, Goa, India; [Shetye, Suhas S.] Natl Inst Oceanog, Panaji 403004, Goa, India</t>
  </si>
  <si>
    <t>Ministry of Earth Sciences (MoES) - India; National Centre for Polar and Ocean Research (NCPOR); Council of Scientific &amp; Industrial Research (CSIR) - India; CSIR - National Institute of Oceanography (NIO)</t>
  </si>
  <si>
    <t>Mohan, R (corresponding author), Natl Ctr Antarctic &amp; Ocean Res, Headland Sada 403804, Goa, India.</t>
  </si>
  <si>
    <t>rahulmohan@ncaor.gov.in</t>
  </si>
  <si>
    <t>Tiwari, Manish/0000-0003-3143-1658</t>
  </si>
  <si>
    <t>1000-9515</t>
  </si>
  <si>
    <t>1755-6724</t>
  </si>
  <si>
    <t>ACTA GEOL SIN-ENGL</t>
  </si>
  <si>
    <t>Acta Geol. Sin.-Engl. Ed.</t>
  </si>
  <si>
    <t>CF8RD</t>
  </si>
  <si>
    <t>WOS:000352828700004</t>
  </si>
  <si>
    <t>Cai, XB; Gan, WX; Ji, W; Zhao, X; Wang, XL; Chen, XL</t>
  </si>
  <si>
    <t>Cai, Xiaobin; Gan, Wenxia; Ji, Wei; Zhao, Xi; Wang, Xuelei; Chen, Xiaoling</t>
  </si>
  <si>
    <t>Optimizing Remote Sensing-Based Level-Area Modeling of Large Lake Wetlands: Case Study of Poyang Lake</t>
  </si>
  <si>
    <t>IEEE JOURNAL OF SELECTED TOPICS IN APPLIED EARTH OBSERVATIONS AND REMOTE SENSING</t>
  </si>
  <si>
    <t>Accuracy impact; large lake; level-area model; wetlands</t>
  </si>
  <si>
    <t>FLOOD FREQUENCY; INUNDATION AREA</t>
  </si>
  <si>
    <t>Remote sensing-derived level-area models have been widely used in inundation analysis of large lakes. The current study aimed to optimize the model for Poyang Lake, the largest freshwater lake in China, where the hydrological connections are highly dynamic and complex. The inundation data delineated using 217 MODIS images between 2003 and 2005 together with concurrent water level data were used to analyze the level-area model accuracy and its associated influential factors. It has been demonstrated that the primary model uncertainty was introduced by the image selection in terms of both magnitude and temporal distribution. The results from random sampling simulations indicate that at least 40 remotely sensed images are required to assure a stable linear regression model. In addition, the selection of gauging stations, where the water level measurements were collected, could serve as another error source to the model. If the model input (water level) changes between different gauging stations, the variability of the output (inundation area) could reach to 144.49 km(2). Moreover, the model performance could be improved through the matched regression functions, where the average improvement among different regression functions is 134.44 km(2). Of the 40 selected models, the logistic regression based on the lake's inundation patterns appears to be the best, resulting in an R-2 of 0.98 and uncertainty of 100.45 km(2). This report describes the first attempt in which the logistic function has been used in level-area models development.</t>
  </si>
  <si>
    <t>[Cai, Xiaobin; Wang, Xuelei] Chinese Acad Sci, Inst Geodesy &amp; Geophys, Wuhan 430077, Peoples R China; [Cai, Xiaobin; Wang, Xuelei] Key Lab Environm &amp; Disaster Monitoring &amp; Evaluat, Wuhan 430077, Hubei, Peoples R China; [Cai, Xiaobin] Jiangxi Normal Univ, Minist Educ, Key Lab Poyang Lake Wetland &amp; Watershed Res, Nanchang 330022, Peoples R China; [Gan, Wenxia; Chen, Xiaoling] Wuhan Univ, State Key Lab Informat Engn Surveying Mapping &amp;, Wuhan 430079, Peoples R China; [Ji, Wei] Univ Missouri, Dept Geosci, Kansas City, MO 64110 USA; [Zhao, Xi] Wuhan Univ, Chinese Antarctic Ctr Surveying &amp; Mapping, Wuhan 430079, Peoples R China</t>
  </si>
  <si>
    <t>Chinese Academy of Sciences; Innovation Academy for Precision Measurement Science &amp; Technology, CAS; Jiangxi Normal University; Wuhan University; University of Missouri System; University of Missouri Kansas City; Wuhan University</t>
  </si>
  <si>
    <t>Chen, XL (corresponding author), Chinese Acad Sci, Inst Geodesy &amp; Geophys, Wuhan 430077, Peoples R China.</t>
  </si>
  <si>
    <t>xbcai@whigg.ac.cn; ganwenxiagw@gmail.com; jiwei@umkc.edu; xi.zhao@whu.edu.cn; xlwang@whigg.ac.cn; cecxl@yahoo.com</t>
  </si>
  <si>
    <t>zhao, xi/HJY-6017-2023</t>
  </si>
  <si>
    <t>National Natural Science Foundation of China [41101427, 41331174, 41101413, 41101415]; Opening Research Fund Program of LIESMARS [11-key-01]; Key Laboratory of Poyang Lake Wetland and Watershed Research, Ministry of Education [PK2012004]</t>
  </si>
  <si>
    <t>National Natural Science Foundation of China(National Natural Science Foundation of China (NSFC)); Opening Research Fund Program of LIESMARS; Key Laboratory of Poyang Lake Wetland and Watershed Research, Ministry of Education</t>
  </si>
  <si>
    <t>This work was supported in part by the National Natural Science Foundation of China under Grant 41101427, Grant 41331174, Grant 41101413, and Grant 41101415, in part by the Opening Research Fund Program of LIESMARS under Grant 11-key-01, and in part by the Key Laboratory of Poyang Lake Wetland and Watershed Research, Ministry of Education under Grant PK2012004. (Corresponding author: Xiaoling Chen.)</t>
  </si>
  <si>
    <t>1939-1404</t>
  </si>
  <si>
    <t>2151-1535</t>
  </si>
  <si>
    <t>IEEE J-STARS</t>
  </si>
  <si>
    <t>IEEE J. Sel. Top. Appl. Earth Observ. Remote Sens.</t>
  </si>
  <si>
    <t>10.1109/JSTARS.2014.2342742</t>
  </si>
  <si>
    <t>Engineering, Electrical &amp; Electronic; Geography, Physical; Remote Sensing; Imaging Science &amp; Photographic Technology</t>
  </si>
  <si>
    <t>Engineering; Physical Geography; Remote Sensing; Imaging Science &amp; Photographic Technology</t>
  </si>
  <si>
    <t>CF1AY</t>
  </si>
  <si>
    <t>WOS:000352277100004</t>
  </si>
  <si>
    <t>Zhao, TJ; Shi, JC; Bindlish, R; Jackson, TJ; Kerr, YH; Cosh, MH; Cui, Q; Li, YQ; Xiong, C; Che, T</t>
  </si>
  <si>
    <t>Zhao, Tianjie; Shi, Jiancheng; Bindlish, Rajat; Jackson, Thomas J.; Kerr, Yann H.; Cosh, Michael H.; Cui, Qian; Li, Yunqing; Xiong, Chuan; Che, Tao</t>
  </si>
  <si>
    <t>Refinement of SMOS Multiangular Brightness Temperature Toward Soil Moisture Retrieval and Its Analysis Over Reference Targets</t>
  </si>
  <si>
    <t>Brightness temperature; intercomparison; soil moisture; soil moisture ocean salinity (SMOS); WindSat</t>
  </si>
  <si>
    <t>MICROWAVE EMISSION; L-BAND; MODEL; VALIDATION; PRODUCTS; MISSION; RADIOMETRY; SURFACE; CALIBRATION; ALGORITHM</t>
  </si>
  <si>
    <t>Soil moisture ocean salinity (SMOS) mission has been providing L-band multiangular brightness temperature observations at a global scale since its launch in November 2009 and has performed well in the retrieval of soil moisture. The multiple incidence angle observations also allow for the retrieval of additional parameters beyond soil moisture, but these are not obtained at fixed values and the resolution and accuracy change with the grid locations over SMOS snapshot images. Radio-frequency interference (RFI) issues and aliasing at lower look angles increase the uncertainty of observations and thereby affect the soil moisture retrieval that utilizes observations at specific angles. In this study, we proposed a two-step regression approach that uses a mixed objective function based on SMOS L1c data products to refine characteristics of multiangular observations. The approach was found to be robust by validation using simulations from a radiative transfer model, and valuable in improving soil moisture estimates from SMOS. In addition, refined brightness temperatures were analyzed over three external targets: Antarctic ice sheet, Amazon rainforest, and Sahara desert, by comparing with WindSat observations. These results provide insights for selecting and utilizing external targets as part of the upcoming soil moisture active passive (SMAP) mission.</t>
  </si>
  <si>
    <t>[Zhao, Tianjie; Shi, Jiancheng; Cui, Qian; Li, Yunqing; Xiong, Chuan] Chinese Acad Sci, Inst Remote Sensing &amp; Digital Earth RADI, State Key Lab Remote Sensing Sci, Beijing 100101, Peoples R China; [Zhao, Tianjie; Shi, Jiancheng; Cui, Qian; Li, Yunqing; Xiong, Chuan] Beijing Normal Univ, Beijing 100101, Peoples R China; [Zhao, Tianjie; Shi, Jiancheng; Cui, Qian; Li, Yunqing; Xiong, Chuan] Joint Ctr Global Change Studies, Beijing 100875, Peoples R China; [Bindlish, Rajat; Jackson, Thomas J.; Cosh, Michael H.] ARS, HRSL, USDA, Beltsville, MD USA; [Kerr, Yann H.] Ctr EtudesSpatiales Biosphere CESBIO, F-31401 Toulouse, France; [Che, Tao] Chinese Acad Sci, Cold &amp; Arid Reg Environm &amp; Engn Res Inst, Lanzhou 730000, Peoples R China</t>
  </si>
  <si>
    <t>Chinese Academy of Sciences; The Institute of Remote Sensing &amp; Digital Earth, CAS; Beijing Normal University; United States Department of Agriculture (USDA); Chinese Academy of Sciences; Cold &amp; Arid Regions Environmental &amp; Engineering Research Institute, CAS</t>
  </si>
  <si>
    <t>Zhao, TJ (corresponding author), Chinese Acad Sci, Inst Remote Sensing &amp; Digital Earth RADI, State Key Lab Remote Sensing Sci, Beijing 100101, Peoples R China.</t>
  </si>
  <si>
    <t>zhaotj@radi.ac.cn; shijc@radi.ac.cn; rajat.bindlish@ars.usda.gov; tom.jackson@ars.usda.gov; yann.kerr@cesbio.cnes.fr; chetao@lzb.ac.cn</t>
  </si>
  <si>
    <t>Shi, Jiancheng/HIU-0908-2022; Kerr, Yann/Z-2432-2019; Cosh, Michael H./A-8858-2015; Che, Tao/K-7136-2013</t>
  </si>
  <si>
    <t>Cosh, Michael H./0000-0003-4776-1918; Bindlish, Rajat/0000-0002-1913-0353</t>
  </si>
  <si>
    <t>National Natural Science Foundation of China [41301396]; CAS/SAFEA International Partnership Program for Creative Research Teams [KZZD-EW-TZ-09]; French National Center for Scientific Research (CNRS); National Natural Science Foundation of China (NSFC)</t>
  </si>
  <si>
    <t>National Natural Science Foundation of China(National Natural Science Foundation of China (NSFC)); CAS/SAFEA International Partnership Program for Creative Research Teams(Chinese Academy of Sciences); French National Center for Scientific Research (CNRS)(Centre National de la Recherche Scientifique (CNRS)); National Natural Science Foundation of China (NSFC)(National Natural Science Foundation of China (NSFC))</t>
  </si>
  <si>
    <t>This work was supported in part by the National Natural Science Foundation of China under Grant 41301396 and in part by CAS/SAFEA International Partnership Program for Creative Research Teams (KZZD-EW-TZ-09) and the cooperation project between the French National Center for Scientific Research (CNRS) and National Natural Science Foundation of China (NSFC).</t>
  </si>
  <si>
    <t>10.1109/JSTARS.2014.2336664</t>
  </si>
  <si>
    <t>WOS:000352277100014</t>
  </si>
  <si>
    <t>Schreider, AA; Schreider, AA; Galindo-Zaldivar, J; Maldonado, A; Gamboa, L; Martos, Y; Lobo, F; Evsenko, EI</t>
  </si>
  <si>
    <t>Schreider, Al. A.; Schreider, A. A.; Galindo-Zaldivar, J.; Maldonado, A.; Gamboa, L.; Martos, Y.; Lobo, F.; Evsenko, E. I.</t>
  </si>
  <si>
    <t>Structure of the Bransfield Strait Crust</t>
  </si>
  <si>
    <t>ANTARCTIC PENINSULA; WEST-ANTARCTICA; HYDROTHERMAL ACTIVITY; HOOK RIDGE; BASIN; EVOLUTION; MAGMATISM; OCEAN; ARC; LITHOSPHERE</t>
  </si>
  <si>
    <t>Data on the high heat flow, active volcanism, and extensional folding, in combination with modeling of the gravity and magnetic anomalies and earthquake focal mechanisms, indicate that the Bransfield strait floor represents a zone of lithosphere extension forming in the Antarctic Peninsula. The most important structural element of the strait floor is the neovolcanic zone near the South Shetland Islands and the diapirism zone near the Antarctic Peninsula. The discussed stages of rifting of the Bransfield floor reflect the propagating of the American-Antarctic Ridge into the continental lithosphere of the Antarctic Peninsula. The propagating causes thrusting of the South Shetland Island arc onto the peripheral part of the relict Phoenix plate, which is accompanied by the seismicity in the South Shetland trench.</t>
  </si>
  <si>
    <t>[Schreider, Al. A.] OOO NIIGazekonomika, Moscow, Russia; [Schreider, A. A.; Evsenko, E. I.] Russian Acad Sci, Shirshov Inst Oceanol, Moscow, Russia; [Galindo-Zaldivar, J.] Univ Granada, Dept Geodinam, Granada, Spain; [Maldonado, A.; Martos, Y.; Lobo, F.] Univ Granada, Inst Andaluz Ciencias Tierra, CSIC, Granada, Spain; [Gamboa, L.] Petrobaz, Rio De Janeiro, Brazil</t>
  </si>
  <si>
    <t>Russian Academy of Sciences; Shirshov Institute of Oceanology; University of Granada; University of Granada; Consejo Superior de Investigaciones Cientificas (CSIC); CSIC - Instituto Andaluz de Ciencias de la Tierra (IACT)</t>
  </si>
  <si>
    <t>Schreider, AA (corresponding author), OOO NIIGazekonomika, Moscow, Russia.</t>
  </si>
  <si>
    <t>aschr@ocean.ru</t>
  </si>
  <si>
    <t>Sazhneva, Alexandra/HPG-9897-2023; Galindo-Zaldivar, Jesus/K-3640-2012; Lobo, Francisco José/J-9836-2012</t>
  </si>
  <si>
    <t>Galindo-Zaldivar, Jesus/0000-0002-3493-2637; Lobo, Francisco José/0000-0002-3294-7202</t>
  </si>
  <si>
    <t>Russian Foundation for Basic Research [11-05-00066-a, 11-05-93981-INIS_a]</t>
  </si>
  <si>
    <t>This work was supported by the Russian Foundation for Basic Research (project nos. 11-05-00066-a and 11-05-93981-INIS_a).</t>
  </si>
  <si>
    <t>10.1134/S0001437014060101</t>
  </si>
  <si>
    <t>CF3ZV</t>
  </si>
  <si>
    <t>WOS:000352488700012</t>
  </si>
  <si>
    <t>Nitsche, F; Arndt, H</t>
  </si>
  <si>
    <t>Nitsche, Frank; Arndt, Hartmut</t>
  </si>
  <si>
    <t>Comparison of Similar Arctic and Antarctic Morphotypes of Heterotrophic Protists Regarding their Genotypes and Ecotypes</t>
  </si>
  <si>
    <t>Protist; polar biology; salinity tolerance; temperature tolerance; choanoflagellates; ciliates</t>
  </si>
  <si>
    <t>RNA GENE-SEQUENCES; CRYPTIC DIVERSITY; WATER-COLUMN; SEDIMENTS; MARINE; POPULATIONS; SALINITY; BAY; MICROORGANISMS; BIODIVERSITY</t>
  </si>
  <si>
    <t>The polar regions offer the opportunity to study possible diversification processes of spatially and temporally separated populations. We focused our study on similar morphotypes/species (e.g. species with the same morphology) of heterotrophic flagellates and ciliates originating from both, Antarctic and Arctic waters: 38 populations of six choanoflagellate morphospecies (Acanthocorbis unguiculata, Helgoeca nana, Diaphanoeca grandis, Savillea micropora, Stephanoeca apheles, Salpingoeca tuba), four other flagellate morphospecies (Cafeteria roenbergensis, Podomonas magma, Procryptobia sorokini, Protaspis sp.) and three ciliate morphospecies (Holosticha sp., Uronema marinum, Pseudocohnilembus persalinus). We analysed similarities and differences regarding their genotypes (SSU rDNA) and for several species regarding morphotypes and autecology (temperature and salinity tolerance). Most of the investigated polar protists were psychrophilic and showed a high salinity tolerance. Morphologically well defined acanthoecid choanoflagellates isolated from both poles showed the lowest intraspecific diversity (&lt;0.5% p-distance). No intragenomic polymorphism of SSU rDNA within one individual and among clones from one population occurred. The way of dispersal for acanthoecid choanoflagellates still remains unclear. Even under extreme stress none of the examined cultures formed cysts. Single cell PCR appeared to be an appropriate method to investigate species not available as monoclonal cultures. As a prerequisite for barcoding, acanthoecid choanoflagellate species have a very low intraspecific variability regarding SSU rDNA. There was a clear correlation between autecological, morphological and molecular data sets, which may help interpreting molecular data from clone libraries or next generation sequencing. (C) 2014 Elsevier GmbH. All rights reserved.</t>
  </si>
  <si>
    <t>[Nitsche, Frank; Arndt, Hartmut] Univ Cologne, Cologne Bioctr, Inst Zool, Gen Ecol, D-50674 Cologne, Germany</t>
  </si>
  <si>
    <t>University of Cologne</t>
  </si>
  <si>
    <t>Nitsche, F (corresponding author), Univ Cologne, Cologne Bioctr, Inst Zool, Gen Ecol, Zulpicher Str 47b, D-50674 Cologne, Germany.</t>
  </si>
  <si>
    <t>fnitsche@uni-koeln.de</t>
  </si>
  <si>
    <t>Arndt, Hartmut/K-9364-2017</t>
  </si>
  <si>
    <t>Arndt, Hartmut/0000-0003-2811-3595; Nitsche, Frank/0000-0003-3950-8285</t>
  </si>
  <si>
    <t>German Research Foundation (DFG) [AR 288/12, 17]</t>
  </si>
  <si>
    <t>German Research Foundation (DFG)(German Research Foundation (DFG))</t>
  </si>
  <si>
    <t>We thank Barry S.C. Leadbeater for valuable discussions. The study was supported by grants of the German Research Foundation (DFG) to H.A. (AR 288/12, 17).</t>
  </si>
  <si>
    <t>ELSEVIER GMBH</t>
  </si>
  <si>
    <t>MUNICH</t>
  </si>
  <si>
    <t>HACKERBRUCKE 6, 80335 MUNICH, GERMANY</t>
  </si>
  <si>
    <t>1618-0941</t>
  </si>
  <si>
    <t>10.1016/j.protis.2014.11.002</t>
  </si>
  <si>
    <t>CE7JP</t>
  </si>
  <si>
    <t>WOS:000352015800003</t>
  </si>
  <si>
    <t>Bennetts, LG; Peter, MA; Chung, H</t>
  </si>
  <si>
    <t>Bennetts, L. G.; Peter, M. A.; Chung, H.</t>
  </si>
  <si>
    <t>ABSENCE OF LOCALISATION IN OCEAN WAVE INTERACTIONS WITH A ROUGH SEABED IN INTERMEDIATE WATER DEPTH</t>
  </si>
  <si>
    <t>QUARTERLY JOURNAL OF MECHANICS AND APPLIED MATHEMATICS</t>
  </si>
  <si>
    <t>RANDOM BOTTOM; GRAVITY-WAVES; SCATTERING; PROPAGATION; ATTENUATION; BATHYMETRY</t>
  </si>
  <si>
    <t>The possibility of a rough seabed causing localisation of ocean waves in intermediate water depth is considered. A numerical and analytical study of the localisation phenomenon is conducted using a transect model and linear potential theory. It is shown that although the effective wave field is strongly attenuated by the roughness, leading to previous predictions of localisation, individual wave fields are not localised.</t>
  </si>
  <si>
    <t>[Bennetts, L. G.] Univ Adelaide, Sch Math Sci, Adelaide, SA 5005, Australia; [Peter, M. A.] Univ Augsburg, Inst Math, D-86135 Augsburg, Germany; [Peter, M. A.] Augsburg Ctr Innovat Technol, D-86135 Augsburg, Germany; [Chung, H.] Auckland Univ Technol, Sch Comp &amp; Math Sci, Auckland, New Zealand</t>
  </si>
  <si>
    <t>University of Adelaide; University of Augsburg; Auckland University of Technology</t>
  </si>
  <si>
    <t>Bennetts, LG (corresponding author), Univ Adelaide, Sch Math Sci, Adelaide, SA 5005, Australia.</t>
  </si>
  <si>
    <t>luke.bennetts@adelaide.edu.au</t>
  </si>
  <si>
    <t>Bennetts, Luke/N-1448-2019</t>
  </si>
  <si>
    <t>Bennetts, Luke/0000-0001-9386-7882; Peter, Malte A./0000-0001-6107-9806</t>
  </si>
  <si>
    <t>Group of Eight, Australia; German Academic Exchange Service (DAAD); Australian Research Council [DE130101571]; Australian Antarctic Science Grant Program [4123]; Australian Research Council [DE130101571] Funding Source: Australian Research Council</t>
  </si>
  <si>
    <t>Group of Eight, Australia; German Academic Exchange Service (DAAD)(Deutscher Akademischer Austausch Dienst (DAAD)); Australian Research Council(Australian Research Council); Australian Antarctic Science Grant Program; Australian Research Council(Australian Research Council)</t>
  </si>
  <si>
    <t>We thank Dirk Blomker for helpful discussions and Fabien Montiel for highlighting the work of Wu (18) to us. This work was supported by the Group of Eight, Australia, and German Academic Exchange Service (DAAD) Joint Research Co-operation Scheme. LB acknowledges funding support from the Australian Research Council (DE130101571) and the Australian Antarctic Science Grant Program (Project 4123). The eResearch South Australia computing facility was used to perform numerical simulations.</t>
  </si>
  <si>
    <t>0033-5614</t>
  </si>
  <si>
    <t>1464-3855</t>
  </si>
  <si>
    <t>Q J MECH APPL MATH</t>
  </si>
  <si>
    <t>Q. J. Mech. Appl. Math.</t>
  </si>
  <si>
    <t>10.1093/qjmam/hbu024</t>
  </si>
  <si>
    <t>Mathematics, Applied; Mechanics</t>
  </si>
  <si>
    <t>Mathematics; Mechanics</t>
  </si>
  <si>
    <t>CE7EW</t>
  </si>
  <si>
    <t>WOS:000352001600005</t>
  </si>
  <si>
    <t>Abrams, PA</t>
  </si>
  <si>
    <t>Abrams, Peter A.</t>
  </si>
  <si>
    <t>How precautionary is the policy governing the Ross Sea Antarctic toothfish (Dissostichus mawsoni) fishery? (vol 26, pg 3, 2014)</t>
  </si>
  <si>
    <t>Abrams, Peter A/A-5240-2008</t>
  </si>
  <si>
    <t>10.1017/S0954102014000698</t>
  </si>
  <si>
    <t>CD7TI</t>
  </si>
  <si>
    <t>WOS:000351294900002</t>
  </si>
  <si>
    <t>Leeming, R; Stark, JS; Smith, JJ</t>
  </si>
  <si>
    <t>Leeming, Rhys; Stark, Jonathan S.; Smith, James J.</t>
  </si>
  <si>
    <t>Novel use of faecal sterols to assess human faecal contamination in Antarctica: a likelihood assessment matrix for environmental monitoring</t>
  </si>
  <si>
    <t>biomarkers; coprostanol; 24-ethylcoprostanol; sewage; wastewater</t>
  </si>
  <si>
    <t>MARINE-SEDIMENTS; SEWAGE POLLUTION; COASTAL WATERS; ADMIRALTY BAY; DAVIS-STATION; COPROSTANOL; BIOMARKER; MARKERS</t>
  </si>
  <si>
    <t>Wastewater containing human sewage is often discharged with little or no treatment into the Antarctic marine environment. Faecal sterols (primarily coprostanol) in sediments have been used for assessment of human sewage contamination in this environment, but in situ production and indigenous faunal inputs can confound such determinations. Using gas chromatography with mass spectral detection profiles of both C-27 and C-29 sterols, potential sources of faecal sterols were examined in nearshore marine sediments, encompassing sites proximal and distal to the wastewater outfall at Davis Station. Faeces from indigenous seals and penguins were also examined. Faeces from several indigenous species contained significant quantities of coprostanol but not 24-ethylcoprostanol, which is present in human faeces. In situ coprostanol and 24-ethylcoprostanol production was identified by co-production of their respective epi-isomers at sites remote from the wastewater source and in high total organic matter sediments. A C-29 sterols-based polyphasic likelihood assessment matrix for human sewage contamination is presented, which distinguishes human from local fauna faecal inputs and in situ production in the Antarctic environment. Sewage contamination was detected up to 1.5 km from Davis Station.</t>
  </si>
  <si>
    <t>[Leeming, Rhys] CSIRO Marine &amp; Atmospher Res, Hobart, Tas 7000, Australia; [Stark, Jonathan S.] Australian Antarctic Div, Terr &amp; Nearshore Ecosyst Theme, Hobart, Tas 7000, Australia; [Smith, James J.] Queensland Univ Technol, Fac Sci &amp; Engn, Sch Earth Environm &amp; Biol Sci, Brisbane, Qld 4000, Australia; [Smith, James J.] JJS Consulting, Brisbane, Qld 4055, Australia</t>
  </si>
  <si>
    <t>Commonwealth Scientific &amp; Industrial Research Organisation (CSIRO); Australian Antarctic Division; Queensland University of Technology (QUT)</t>
  </si>
  <si>
    <t>Leeming, R (corresponding author), CSIRO Marine &amp; Atmospher Res, Hobart, Tas 7000, Australia.</t>
  </si>
  <si>
    <t>rhys.leeming@csiro.au</t>
  </si>
  <si>
    <t>Stark, Jonathan/ABF-4025-2020</t>
  </si>
  <si>
    <t>Stark, Jonathan/0000-0002-4268-8072; Smith, James/0000-0001-9687-3022</t>
  </si>
  <si>
    <t>10.1017/S0954102014000273</t>
  </si>
  <si>
    <t>WOS:000351294900005</t>
  </si>
  <si>
    <t>Madden, KM; Fuiman, LA; Williams, TM; Davis, RW</t>
  </si>
  <si>
    <t>Madden, K. M.; Fuiman, L. A.; Williams, T. M.; Davis, R. W.</t>
  </si>
  <si>
    <t>Weddell seal foraging dives: comparison of free-ranging and isolated-hole paradigms</t>
  </si>
  <si>
    <t>Antarctic; behaviour; breathing holes; marine mammal; McMurdo Sound; prey</t>
  </si>
  <si>
    <t>VIDEO-RECORDED OBSERVATIONS; ANTARCTIC FAST-ICE; LEPTONYCHOTES-WEDDELLII; 3-DIMENSIONAL MOVEMENTS; BEHAVIOR; CLASSIFICATION; METABOLISM; PREDATOR; SWIM; COST</t>
  </si>
  <si>
    <t>Weddell seals are polar predators that must partition their time between many behaviours, including hunting prey at depth and breathing at the surface. Although they have been well studied, little is known about how foraging behaviour changes when access to breathing holes is restricted, such as in the isolated-hole paradigm. The current study took advantage of previously gathered data for seals diving at an isolated hole to compare with foraging behaviour of free-ranging seals that had access to multiple holes. We examined dive structure, hunting tactics, and allocation of time, locomotor activity and energy based on three-dimensional dive profiles and video imagery of prey encounters for two free-ranging and six isolated-hole seals. Midsummer foraging dives of free-ranging seals were remarkably similar to those of seals diving at an isolated hole, but there were differences in two behavioural states and the frequency of several behavioural transitions. Results indicate that seals employ an energetically more conservative foraging strategy when access to breathing holes is limited and prey are less abundant. These results highlight the importance of understanding the complex interactions between breathing hole access, prey abundance and other factors that may result in different Weddell seal foraging strategies under changing future conditions.</t>
  </si>
  <si>
    <t>[Madden, K. M.; Fuiman, L. A.] Univ Texas Austin, Inst Marine Sci, Dept Marine Sci, Port Aransas, TX 78373 USA; [Williams, T. M.] Univ Calif Santa Cruz, Dept Biol, Santa Cruz, CA 95064 USA; [Davis, R. W.] Texas A&amp;M Univ, Dept Marine Biol, Galveston, TX 77553 USA</t>
  </si>
  <si>
    <t>University of Texas System; University of Texas Austin; University of California System; University of California Santa Cruz; Texas A&amp;M University System</t>
  </si>
  <si>
    <t>Madden, KM (corresponding author), Univ Texas Austin, Inst Marine Sci, Dept Marine Sci, 750 Channel View Dr, Port Aransas, TX 78373 USA.</t>
  </si>
  <si>
    <t>kiersten.madden@utexas.edu</t>
  </si>
  <si>
    <t>Fuiman, Lee A/L-9514-2017</t>
  </si>
  <si>
    <t>National Science Foundation (NSF), Office of Polar Programs [OPP 9909422]; Nancy Lee and Perry R. Bass Endowment at the University of Texas Marine Science Institute</t>
  </si>
  <si>
    <t>National Science Foundation (NSF), Office of Polar Programs(National Science Foundation (NSF)); Nancy Lee and Perry R. Bass Endowment at the University of Texas Marine Science Institute</t>
  </si>
  <si>
    <t>Thanks to D. Calkins, M. Horning, S. Kanatous, J. Purdy, M. Rutishauser and R. Watson for their work in the field and to W. Hagey for his role in the development of the equipment. Thanks also to M. Davis and M. Rutishauser who spent many hours analysing video footage. Thanks to A. Ojanguren, E. Buskey and K. Dunton for their helpful suggestions and critical review of this manuscript. This research was funded by the National Science Foundation (NSF), Office of Polar Programs (OPP 9909422). Additional financial support was provided by the Nancy Lee and Perry R. Bass Endowment at the University of Texas Marine Science Institute. Contribution 1678 of The University of Texas Marine Science Institute.</t>
  </si>
  <si>
    <t>10.1017/S0954102014000297</t>
  </si>
  <si>
    <t>WOS:000351294900007</t>
  </si>
  <si>
    <t>Barbosa, A; Colominas-Ciuró, R; Coria, N; Centurión, M; Sandler, R; Negri, A; Santos, M</t>
  </si>
  <si>
    <t>Barbosa, Andres; Colominas-Ciuro, Roger; Coria, Nestor; Centurion, Mara; Sandler, Rosana; Negri, Agustina; Santos, Mercedes</t>
  </si>
  <si>
    <t>First record of feather-loss disorder in Antarctic penguins</t>
  </si>
  <si>
    <t>HOPE BAY</t>
  </si>
  <si>
    <t>[Barbosa, Andres; Colominas-Ciuro, Roger] CSIC, Museo Nacl Ciencias Nat, Dept Ecol Evolut, E-28006 Madrid, Spain; [Coria, Nestor; Centurion, Mara; Sandler, Rosana; Negri, Agustina; Santos, Mercedes] Inst Antartico Argentino, Dept Predadores Tope, RA-1248 Cerrito, Buenos Aires, Argentina</t>
  </si>
  <si>
    <t>Consejo Superior de Investigaciones Cientificas (CSIC); CSIC - Museo Nacional de Ciencias Naturales (MNCN); Instituto Antartico Argentino</t>
  </si>
  <si>
    <t>Barbosa, A (corresponding author), CSIC, Museo Nacl Ciencias Nat, Dept Ecol Evolut, C Jose Gutierrez Abascal 2, E-28006 Madrid, Spain.</t>
  </si>
  <si>
    <t>barbosa@mncn.csic.es</t>
  </si>
  <si>
    <t>Barbosa, Andrés/C-3208-2008; Colominas Ciuró, Roger/HOF-9267-2023; Colominas-Ciuro, Roger/ADL-7809-2022</t>
  </si>
  <si>
    <t>Barbosa, Andrés/0000-0001-8434-3649; Colominas-Ciuro, Roger/0000-0001-6312-0702</t>
  </si>
  <si>
    <t>Esperanza base; Instituto Antartico Argentino; Direccion Nacional del Antartico; Spanish Ministry of Economy and Competitiveness [CTM2011-24427]</t>
  </si>
  <si>
    <t>Esperanza base; Instituto Antartico Argentino; Direccion Nacional del Antartico; Spanish Ministry of Economy and Competitiveness(Spanish Government)</t>
  </si>
  <si>
    <t>We thank the suggestions made anonymous reviewers that improved a first draft version of the manuscript. We greatly appreciate the hospitality and support of the Esperanza base and the Instituto Antartico Argentino and the Direccion Nacional del Antartico. This study has been supported by the project CTM2011-24427 funded by the Spanish Ministry of Economy and Competitiveness. This is a contribution to the PINGUCLIM project.</t>
  </si>
  <si>
    <t>10.1017/S0954102014000467</t>
  </si>
  <si>
    <t>WOS:000351294900008</t>
  </si>
  <si>
    <t>Calizza, E; Costantini, ML; Rossi, L</t>
  </si>
  <si>
    <t>Calizza, Edoardo; Costantini, Maria Letizia; Rossi, Loreto</t>
  </si>
  <si>
    <t>Observation of an Adelie penguin pecking at a conspecific carcass: a case of intraspecific necrophagy?</t>
  </si>
  <si>
    <t>[Calizza, Edoardo; Rossi, Loreto] Univ Roma La Sapienza, Dept Environm Biol, Lab Troph Ecol, I-00185 Rome, Italy; [Costantini, Maria Letizia] Univ Roma La Sapienza, Dept Environm Biol, I-00185 Rome, Italy</t>
  </si>
  <si>
    <t>Sapienza University Rome; Sapienza University Rome</t>
  </si>
  <si>
    <t>Calizza, E (corresponding author), Univ Roma La Sapienza, Dept Environm Biol, Lab Troph Ecol, Via Sardi 70, I-00185 Rome, Italy.</t>
  </si>
  <si>
    <t>edoardo.calizza@uniroma1.it</t>
  </si>
  <si>
    <t>Calizza, Edoardo/0000-0002-9457-4229; Costantini, Maria Letizia/0000-0001-6242-558X</t>
  </si>
  <si>
    <t>PNRA [PNRA-2013/AZ1.15]</t>
  </si>
  <si>
    <t>PNRA</t>
  </si>
  <si>
    <t>E.C. activity in Antarctica was supported by PNRA 2010 and 2013 (proj. PNRA-2013/AZ1.15). We thank an anonymous reviewer for his helpful comments on a previous version of the manuscript.</t>
  </si>
  <si>
    <t>10.1017/S0954102014000480</t>
  </si>
  <si>
    <t>WOS:000351294900009</t>
  </si>
  <si>
    <t>Liu, TT; Bish, DL; Socki, RA; Harvey, RP; Tonui, E</t>
  </si>
  <si>
    <t>Liu, Tingting; Bish, David L.; Socki, Richard A.; Harvey, Ralph P.; Tonui, Eric</t>
  </si>
  <si>
    <t>Mineralogy and formation of evaporite deposits from the Lewis Cliff ice tongue, Antarctica</t>
  </si>
  <si>
    <t>borate; carbonate; mirabilite; nahcolite; qilianshanite; sulfate</t>
  </si>
  <si>
    <t>MCMURDO DRY VALLEYS; NORTHERN GREAT-PLAINS; VICTORIA LAND; GEOCHEMISTRY; ORIGIN; LAKES; SULFATE; CANADA; BRINES; SALTS</t>
  </si>
  <si>
    <t>The mineralogy of evaporites from the Lewis Cliff ice tongue (LCIT), Antarctica, and their mineral stabilities and transformation behaviours under different temperature and relative humidity (RH) conditions have been evaluated to elucidate formation mechanism(s). A variety of sodium (Na)-rich evaporite minerals were documented using RH-controlled powder X-ray diffraction (XRD) methods including Na-sulfates (mirabilite and thenardite), Na-carbonate/bicarbonates (nahcolite, occasional trona and natron) and Na-borates (qilianshanite and borax). Mirabilite begins to dehydrate to thenardite, and natron to trona and natrite when exposed to room temperature, even when maintained at RH values similar to those measured at the LCIT (50-70%). The boron-mineral qilianshanite was discovered for the first time in Antarctica within the evaporite mounds. The mirabilite-rich mounds are deduced to have formed via a freezing/sublimation process that occurred in glacial or subglacial bodies of water supplied by glacial tills containing microbially oxidized sulfate ions. The needle-like nahcolite crystals growing on the exteriors of the mounds suggest a dissolution/precipitation process involving atmospheric CO2 and water. The co-existence of nahcolite and boron-bearing minerals indicates the presence of a Na+-, HCO3--and boron-bearing alkaline brine, which produces qilianshanite as a secondary mineral by reaction of nahcolite and borax in atmospheric CO2 and H2O.</t>
  </si>
  <si>
    <t>[Liu, Tingting; Bish, David L.] Indiana Univ, Dept Geol Sci, Bloomington, IN 47405 USA; [Socki, Richard A.] NASA, Johnson Space Ctr, Jacobs JETS, UTAS, Houston, TX 77058 USA; [Harvey, Ralph P.] Case Western Reserve Univ, Dept Earth Environm &amp; Planetary Sci, Cleveland, OH 44106 USA; [Tonui, Eric] BP Amer, Upstream Res &amp; Technol, Houston, TX 77079 USA</t>
  </si>
  <si>
    <t>Indiana University System; Indiana University Bloomington; National Aeronautics &amp; Space Administration (NASA); NASA Johnson Space Center; University System of Ohio; Case Western Reserve University; BP</t>
  </si>
  <si>
    <t>Liu, TT (corresponding author), Ohio State Univ, Sch Earth Sci, 125 South Oval Mall, Columbus, OH 43210 USA.</t>
  </si>
  <si>
    <t>liu.2189@osu.edu</t>
  </si>
  <si>
    <t>Liu, Tingting/I-8662-2019; Bish, David/AAY-7618-2020</t>
  </si>
  <si>
    <t>NSF; Indiana University</t>
  </si>
  <si>
    <t>NSF(National Science Foundation (NSF)); Indiana University</t>
  </si>
  <si>
    <t>Sample collection was supported by an NSF grant to R. Harvey, and further mineralogical analysis was supported by the Haydn Murray fund at Indiana University. Authors acknowledge the valuable comments and insights provided by two anonymous reviewers, which further improved the quality of the work. Authors declare no competing interests from this work.</t>
  </si>
  <si>
    <t>10.1017/S0954102014000406</t>
  </si>
  <si>
    <t>WOS:000351294900010</t>
  </si>
  <si>
    <t>Jigena, B; Vidal, J; Berrocoso, M</t>
  </si>
  <si>
    <t>Jigena, Bismarck; Vidal, Juan; Berrocoso, Manuel</t>
  </si>
  <si>
    <t>Determination of the mean sea level at Deception and Livingston islands, Antarctica</t>
  </si>
  <si>
    <t>[Jigena, Bismarck; Vidal, Juan] Univ Cadiz, Dept Appl Phys, Cadiz 11510, Spain; [Berrocoso, Manuel] Univ Cadiz, Dept Math, Cadiz 11510, Spain</t>
  </si>
  <si>
    <t>Universidad de Cadiz; Universidad de Cadiz</t>
  </si>
  <si>
    <t>Jigena, B (corresponding author), Univ Cadiz, Dept Appl Phys, Cadiz 11510, Spain.</t>
  </si>
  <si>
    <t>bismarck.jigena@gm.uca.es</t>
  </si>
  <si>
    <t>Jigena-Antelo, Bismarck/N-8079-2015; Vidal, Juan/AAU-2991-2020; BERROCOSO, MANUEL/O-3818-2014</t>
  </si>
  <si>
    <t>Jigena-Antelo, Bismarck/0000-0002-4858-3415; BERROCOSO, MANUEL/0000-0002-1878-9658; Vidal, juan/0000-0002-1828-3876</t>
  </si>
  <si>
    <t>Spanish Ministry of Science and Innovation [CGL2007-28768-E/ANT, CTM2008-03113-E/ANT, CTM2009-07251/ANT]</t>
  </si>
  <si>
    <t>Spanish Ministry of Science and Innovation(Spanish Government)</t>
  </si>
  <si>
    <t>This work was made possible by the support of the following projects: CGL2007-28768-E/ANT, CTM2008-03113-E/ANT and CTM2009-07251/ANT of the Spanish Ministry of Science and Innovation.</t>
  </si>
  <si>
    <t>10.1017/S0954102014000595</t>
  </si>
  <si>
    <t>WOS:000351294900012</t>
  </si>
  <si>
    <t>Proksch, M; Löwe, H; Schneebeli, M</t>
  </si>
  <si>
    <t>Proksch, Martin; Loewe, Henning; Schneebeli, Martin</t>
  </si>
  <si>
    <t>Density, specific surface area, and correlation length of snow measured by high-resolution penetrometry</t>
  </si>
  <si>
    <t>stratigraphy; firn; snow</t>
  </si>
  <si>
    <t>MICROWAVE EMISSION MODEL; INFRARED REFLECTANCE; MICROSTRUCTURE; STRATIGRAPHY; INSTRUMENTS; ANTARCTICA; SNOWPACKS; RADAR; FIRN</t>
  </si>
  <si>
    <t>Precise measurements of snow structural parameters are crucial to understand the formation of snowpacks by deposition and metamorphism and to characterize the stratigraphy for many applications and remote sensing in particular. The area-wide acquisition of structural parameters at high spatial resolution from state-of-the-art methods is, however, still cumbersome, since the time required for a single profile is a serious practical limitation. As a remedy we have developed a statistical model to extract three major snow structural parameters: density, correlation length, and specific surface area (SSA) solely from the SnowMicroPen (SMP), a high-resolution penetrometer, which allows a meter profile to be measured with millimeter resolution in less than 1 min. The model was calibrated by combining SMP data with 3-D microstructural data from microcomputed tomography which was used to reconstruct full-depth snow profiles from different snow climates (Alpine, Arctic, and Antarctic). Density, correlation length, and SSA were derived from the SMP with a mean relative error of 10.6%, 16.4%, and 23.1%, respectively. For validation, we compared the density and SSA derived from the SMP to traditional measurements and near-infrared profiles. We demonstrate the potential of our method by the retrieval of a two-dimensional stratigraphy at Kohnen Station, Antarctica, from a 46 m long SMP transect. The result clearly reveals past depositional and metamorphic events, and our findings show that the SMP can be used as an objective, high-resolution tool to retrieve essential snow structural parameters efficiently in the field.</t>
  </si>
  <si>
    <t>[Proksch, Martin; Loewe, Henning; Schneebeli, Martin] WSL Inst Snow &amp; Avalanche Res SLF, Davos, Switzerland; [Proksch, Martin] Univ Innsbruck, Inst Meteorol &amp; Geophys, A-6020 Innsbruck, Austria</t>
  </si>
  <si>
    <t>Swiss Federal Institutes of Technology Domain; Swiss Federal Institute for Forest, Snow &amp; Landscape Research; University of Innsbruck</t>
  </si>
  <si>
    <t>Schneebeli, M (corresponding author), WSL Inst Snow &amp; Avalanche Res SLF, Davos, Switzerland.</t>
  </si>
  <si>
    <t>schneebeli@slf.ch</t>
  </si>
  <si>
    <t>Löwe, Henning/B-6279-2009; Schneebeli, Martin/B-1063-2008</t>
  </si>
  <si>
    <t>Löwe, Henning/0000-0001-7515-6809; Schneebeli, Martin/0000-0003-2872-4409; Proksch, Martin/0000-0002-7126-6290</t>
  </si>
  <si>
    <t>NoSREx III in Sodankyla, Finland, ESA [22761/09/NL/FF/ef]; ESA's Networking/Partnering Initiative NPI [235-2012]; French Agence Nationale de la Recherche (ANR) project DOME A [ANR-07-BLAN-0125]; French polar research institute IPEV (EXPLORE project) [1052]</t>
  </si>
  <si>
    <t>NoSREx III in Sodankyla, Finland, ESA; ESA's Networking/Partnering Initiative NPI; French Agence Nationale de la Recherche (ANR) project DOME A(Agence Nationale de la Recherche (ANR)); French polar research institute IPEV (EXPLORE project)</t>
  </si>
  <si>
    <t>The Arctic data were acquired during NoSREx III in Sodankyla, Finland, ESA contract 22761/09/NL/FF/ef. Fabienne Riche and Berna Kochle prepared and measured the Alpine samples, and Margret Matzl prepared and measured the Arctic and Antarctic samples. Stefanie Weissbach helped with the SMP measurements at Kohnen Station. This project was supported by ESA's Networking/Partnering Initiative NPI 235-2012, by the French Agence Nationale de la Recherche (ANR) project DOME A (ANR-07-BLAN-0125), and by the French polar research institute IPEV (EXPLORE project 1052). We thank the IPEV traverse logistic team, the French-Italian staff at Concordia, and the Russian Antarctic Expeditions for their help in setting up and running the expedition CoFi-AP. The data set used for this study is available upon request from the corresponding author Martin Schneebeli (schneebeli@slf.ch).</t>
  </si>
  <si>
    <t>10.1002/2014JF003266</t>
  </si>
  <si>
    <t>CD9AB</t>
  </si>
  <si>
    <t>WOS:000351386900010</t>
  </si>
  <si>
    <t>Lipovsky, BP; Dunham, EM</t>
  </si>
  <si>
    <t>Lipovsky, Bradley P.; Dunham, Eric M.</t>
  </si>
  <si>
    <t>Vibrationalmodes of hydraulic fractures: Inference of fracture geometry fromresonant frequencies and attenuation</t>
  </si>
  <si>
    <t>hydraulic fracture; seismology</t>
  </si>
  <si>
    <t>LONG-PERIOD EVENTS; FLUID-DRIVEN CRACK; COMPLEX FREQUENCIES; ACOUSTIC PROPERTIES; VOLCANO SEISMICITY; REDOUBT VOLCANO; ELASTIC-WAVES; FLOW-THROUGH; SLOW WAVES; PROPAGATION</t>
  </si>
  <si>
    <t>Oscillatory seismic signals arising from resonant vibrations of hydraulic fractures are observed in many geologic systems, including volcanoes, glaciers and ice sheets, and hydrocarbon and geothermal reservoirs. To better quantify the physical dimensions of fluid-filled cracks and properties of the fluids within them, we study wave motion along a thin hydraulic fracture waveguide. We present a linearized analysis, valid at wavelengths greater than the fracture aperture, that accounts for quasi-static elastic deformation of the fracture walls, as well as fluid viscosity, inertia, and compressibility. In the long-wavelength limit, anomalously dispersed guided waves known as crack or Krauklis waves propagate with restoring force from fracture wall elasticity. At shorter wavelengths, the waves become sound waves within the fluid channel. Wave attenuation in our model is due to fluid viscosity, rather than seismic radiation from crack tips or fracture wall roughness. We characterize viscous damping at both low frequencies, where the flow is always fully developed, and at high frequencies, where the flow has a nearly constant velocity profile away from viscous boundary layers near the fracture walls. Most observable seismic signals from resonating fractures likely arise in the boundary layer crack wave limit, where fluid-solid coupling is pronounced and attenuation is minimal. We present a method to estimate the aperture and length of a resonating hydraulic fracture using both the seismically observed quality factor and characteristic frequency. Finally, we develop scaling relations between seismic moment and characteristic frequency that might be useful when interpreting the statistics of hydraulic fracture events.</t>
  </si>
  <si>
    <t>[Lipovsky, Bradley P.; Dunham, Eric M.] Stanford Univ, Dept Geophys, Stanford, CA 94305 USA; [Dunham, Eric M.] Stanford Univ, Inst Computat &amp; Math Engn, Stanford, CA 94305 USA</t>
  </si>
  <si>
    <t>Stanford University; Stanford University</t>
  </si>
  <si>
    <t>Lipovsky, BP (corresponding author), Stanford Univ, Dept Geophys, Stanford, CA 94305 USA.</t>
  </si>
  <si>
    <t>lipovsky@stanford.edu</t>
  </si>
  <si>
    <t>Dunham, Eric/0000-0003-0804-7746; Lipovsky, Bradley/0000-0003-4940-0745</t>
  </si>
  <si>
    <t>National Science Foundation [EAR-111407]; Alfred P. Sloan Foundation [BR2012-097]</t>
  </si>
  <si>
    <t>National Science Foundation(National Science Foundation (NSF)); Alfred P. Sloan Foundation(Alfred P. Sloan Foundation)</t>
  </si>
  <si>
    <t>This work was supported by the National Science Foundation (EAR-111407) and the Alfred P. Sloan Foundation (BR2012-097). This manuscript was improved based on reviews by Jean-Baptiste Tary, Marcel Frehner, Valeri Korneev, and one anonymous reviewer. We thank Robin Matoza, Bernard Chouet, and Ossian O'Reilly for useful discussions. The data used in this paper that derive from previous studies are cited in the Reference list. Data from the 1995 Antarctic Microearthquake Project were downloaded from the Incorporated Research Institutions for Seismology (IRIS) website, iris.edu on 4 April 2014.</t>
  </si>
  <si>
    <t>10.1002/2014JB011286</t>
  </si>
  <si>
    <t>CE0BD</t>
  </si>
  <si>
    <t>WOS:000351466000026</t>
  </si>
  <si>
    <t>Bakker, P; Govin, A; Thornalley, DJR; Roche, DM; Renssen, H</t>
  </si>
  <si>
    <t>Bakker, Pepijn; Govin, Aline; Thornalley, David J. R.; Roche, Didier M.; Renssen, Hans</t>
  </si>
  <si>
    <t>The evolution of deep-ocean flow speeds and δ13C under large changes in the Atlantic overturning circulation: Toward a more direct model-data comparison</t>
  </si>
  <si>
    <t>Atlantic meridional overturning circulation; paleoclimate modeling</t>
  </si>
  <si>
    <t>GREENLAND ICE-SHEET; DELTA-O-18 WATER ISOTOPE; LONG-TERM VARIATIONS; SEA-LEVEL; CORE EVIDENCE; LABRADOR SEA; SUBSTAGE 5E; VERSION 1.0; LAST; CLIMATE</t>
  </si>
  <si>
    <t>To investigate the dynamics of the Atlantic meridional overturning circulation (AMOC) on timescales longer than the observational records, model-data comparisons of past AMOC variability are imperative. However, this remains challenging because of dissimilarities between different proxy-based AMOC tracers and the difficulty of comparing these to model output. We present an iLOVECLIM simulation with tuned AMOC evolution and focus on AMOC tracers that are directly comparable to reconstructions: flow speeds and C-13. We deduce their driving factors and show that they yield different but complementary information about AMOC changes. Simulated flow speed changes are only linked to AMOC changes in regions bathed by North Atlantic Deep Water; however, in those regions they do provide details on vertical migration and thickness changes of the water masses. Simulated C-13 changes in the North Atlantic Deep Water region are again related to AMOC changes. Yet in regions bathed by Antarctic Bottom Water or Antarctic Intermediate Water, the C-13 evolution is driven by Southern Hemisphere source water C-13 changes, while in the Nordic Seas and the two major overflow regions it is driven by Northern Hemisphere source water C-13 changes. This shows that AMOC changes are not necessarily recorded by C-13 and stresses the need for combining both tracers in paleoclimate studies. A preliminary model-data comparison for Last Interglacial flow speeds and C-13 changes in the Deep Western Boundary Current shows that this integrated approach is far from straightforward and currently inconclusive on the Last Interglacial AMOC evolution. Nonetheless, the approach yields potential for more direct and in-depth model-data comparisons of past AMOC changes.</t>
  </si>
  <si>
    <t>[Bakker, Pepijn; Roche, Didier M.; Renssen, Hans] Vrije Univ Amsterdam, Fac Earth &amp; Life Sci, Amsterdam, Netherlands; [Govin, Aline] Univ Bremen, MARUM Ctr Marine Environm Sci, D-28359 Bremen, Germany; [Thornalley, David J. R.] UCL, Dept Geog, London, England; [Roche, Didier M.] Lab Sci Climat &amp; Environm, Gif Sur Yvette, France</t>
  </si>
  <si>
    <t>Vrije Universiteit Amsterdam; University of Bremen; University of London; University College London; CEA; Centre National de la Recherche Scientifique (CNRS); Universite Paris Saclay</t>
  </si>
  <si>
    <t>Bakker, P (corresponding author), Oregon State Univ, Coll Earth Ocean &amp; Atmospher Sci, Corvallis, OR 97331 USA.</t>
  </si>
  <si>
    <t>pbakker@coas.oregonstate.edu</t>
  </si>
  <si>
    <t>Govin, Aline/E-6354-2013; Roche, Didier M./C-9875-2010</t>
  </si>
  <si>
    <t>Govin, Aline/0000-0001-8512-5571; Roche, Didier M./0000-0001-6272-9428</t>
  </si>
  <si>
    <t>European Union [243908]</t>
  </si>
  <si>
    <t>European Union(European Union (EU))</t>
  </si>
  <si>
    <t>This is Past4Future contribution 77. The research leading to these results has received funding from the European Union's Seventh Framework programme (FP7/2007-2013) under grant agreement 243908, Past4Future. Climate change-Learning from the past climate. Ian Hall and Julia Becker are thanked for providing unpublished benthic delta18O data for ODP 1061. Requests for the model output can be sent to P. Bakker, while for the proxy-based data discussed in this manuscript the reader is referred to the original references as listed in Table S1 of the supporting information.</t>
  </si>
  <si>
    <t>10.1002/2015PA002776</t>
  </si>
  <si>
    <t>CE0BY</t>
  </si>
  <si>
    <t>WOS:000351469300005</t>
  </si>
  <si>
    <t>Deepika, B; Avinash, K; Jayappa, KS</t>
  </si>
  <si>
    <t>Deepika, B.; Avinash, Kumar; Jayappa, Katihalli Siddappa</t>
  </si>
  <si>
    <t>Impact of estuarine processes and hydro-meteorological forcing on landform changes: a remote sensing, GIS and statistical approach</t>
  </si>
  <si>
    <t>ARABIAN JOURNAL OF GEOSCIENCES</t>
  </si>
  <si>
    <t>Anthropogenic activities; Barrier spit; Braided islands; Estuarine morphology</t>
  </si>
  <si>
    <t>SOUTHERN KARNATAKA; SHORELINE CHANGES; COASTAL; WAVES; MORPHOLOGY; EVOLUTION; MUDFLAT; SYSTEMS; INDIA; LONG</t>
  </si>
  <si>
    <t>Changes in estuarine morphology and landforms (braided islands, mudflats, barrier spits and marshy land) of Gangolli estuary, west coast of India, have been studied using topographic maps and satellite images of the last 45 years (1967-2012). The seasonal fluctuations in hydrometeorological (river discharge, runoff, rainfall, relative humidity and temperature) conditions play an important role in morphological changes of landforms. The computed results were recorded no significant relationship (p&gt;0.050) between areal extents of the different landforms (except Is7 and Mf3) and hydro-meteorological parameters. The correlation analysis suggests that similar to 65 % of the landforms show medium (r=0.3-0.5) to high (r=0.5-1.0) strength of association between areal extent versus discharge, runoff and temperature. However, similar to 80 % of the landforms show high to medium strength of association between areal extent versus rainfall and relative humidity. The study confides that gradual accumulation of sediment brought by rivers and eventually drifted into the estuary by waves and tidal currents is responsible for stabilisation and growth of the different landforms such as estuarine banks, braided islands and spits. By contrast, both natural and anthropogenic activities have played a major role in dynamic changes of estuarine morphology and landforms of Gangolli estuary, but human interventions especially construction of harbour, sand mining and reclamation are the most significant factors.</t>
  </si>
  <si>
    <t>[Deepika, B.; Jayappa, Katihalli Siddappa] Mangalore Univ, Dept Marine Geol, Mangalagangothri 574199, Karnataka, India; [Avinash, Kumar] MoES, Natl Ctr Antarctic &amp; Ocean Res, Polar Remote Sensing Div, Vasco Da Gama 403804, Goa, India</t>
  </si>
  <si>
    <t>Mangalore University; Ministry of Earth Sciences (MoES) - India; National Centre for Polar and Ocean Research (NCPOR)</t>
  </si>
  <si>
    <t>Jayappa, KS (corresponding author), Mangalore Univ, Dept Marine Geol, Mangalagangothri 574199, Karnataka, India.</t>
  </si>
  <si>
    <t>deepika_sd10@rediffmail.com; avinash@ncaor.gov.in; ksjayappa@yahoo.com</t>
  </si>
  <si>
    <t>Avinash, Kumar/0000-0002-6511-8435; Jayappa, K. S./0000-0001-7930-0265</t>
  </si>
  <si>
    <t>Ministry of Earth Sciences, New Delhi, India through MMDP [MoES/11-MRDF/1/35/P/08-PC-III]</t>
  </si>
  <si>
    <t>Ministry of Earth Sciences, New Delhi, India through MMDP</t>
  </si>
  <si>
    <t>Two authors (B.D. and K.S.J.) thank the Ministry of Earth Sciences, New Delhi, India, for financial assistance through MMDP research project (no. MoES/11-MRDF/1/35/P/08-PC-III). The second author (A.K.) thanks the director, National Centre for Antarctic and Ocean Research (NCAOR), and Dr A.J. Luis for their continuous support and encouragement. The authors also thank the Central Water Commission, Bangalore, and Meteorological Centre, Bangalore, for providing discharge and meteorological data, respectively.</t>
  </si>
  <si>
    <t>1866-7511</t>
  </si>
  <si>
    <t>1866-7538</t>
  </si>
  <si>
    <t>ARAB J GEOSCI</t>
  </si>
  <si>
    <t>Arab. J. Geosci.</t>
  </si>
  <si>
    <t>10.1007/s12517-014-1264-7</t>
  </si>
  <si>
    <t>CC6PZ</t>
  </si>
  <si>
    <t>WOS:000350489900010</t>
  </si>
  <si>
    <t>Routti, H; Krafft, BA; Herzke, D; Eisert, R; Oftedal, O</t>
  </si>
  <si>
    <t>Routti, Heli; Krafft, Bjorn A.; Herzke, Dorte; Eisert, Regina; Oftedal, Olav</t>
  </si>
  <si>
    <t>Perfluoroalkyl substances detected in the world's southernmost marine mammal, the Weddell seal (Leptonychotes weddellii)</t>
  </si>
  <si>
    <t>ENVIRONMENTAL POLLUTION</t>
  </si>
  <si>
    <t>Weddell seal; Perfluoroalkyl substances; Long-range transport; Local pollution; McMurdo</t>
  </si>
  <si>
    <t>PERFLUORINATED COMPOUNDS; MCMURDO-SOUND; PERFLUOROOCTANE SULFONATE; FOOD-WEB; POLYFLUOROALKYL SUBSTANCES; ROSS SEA; POLYFLUORINATED COMPOUNDS; GLOBAL DISTRIBUTION; SPATIAL VARIATION; 1ST REPRODUCTION</t>
  </si>
  <si>
    <t>This study investigates concentrations of 18 perfluoroalkyl substances (PFAS) in blood plasma of adult lactating Weddell seals (Leptonychotes weddellii) (n = 10) from McMurdo Sound, Antarctica. Perfluoroundecanoic acid (PFUnDA) was detected in all samples at concentrations ranging from 0.08 to 0.23 ng/ml. Perfluorooctane sulfonate (PFOS), perfluorohexanoate (PFHxA) and perfluorotridecanoate (PFTriDA) were sporadically detected, while the remaining compounds were below the limit of detection. This is the first report of detectible concentrations of PFASs in an endemic Antarctic marine mammal species. We suggest that the pollutants have been subjected to long range atmospheric transportation and/or derive from a local source. A review of these and published data indicate that perfluoroalkyl carboxylates (PFCAs) dominate in biotic PFAS patterns in species feeding south of the Antarctic Circumpolar Current (ACC), whereas PFOS was the major PFAS detected in species feeding predominantly north of the current. (C) 2014 Elsevier Ltd. All rights reserved.</t>
  </si>
  <si>
    <t>[Routti, Heli] Norwegian Polar Res Inst, Fram Ctr, N-9296 Tromso, Norway; [Krafft, Bjorn A.] Inst Marine Res, N-5817 Bergen, Norway; [Herzke, Dorte] Norwegian Inst Air Res, Fram Ctr, N-9296 Tromso, Norway; [Eisert, Regina] Univ Canterbury, Gateway Antarctica, Christchurch 8140, New Zealand; [Eisert, Regina; Oftedal, Olav] Smithsonian Environm Res Ctr, Edgewater, MD 21037 USA</t>
  </si>
  <si>
    <t>Norwegian Polar Institute; Institute of Marine Research - Norway; NILU; University of Canterbury; Smithsonian Institution; Smithsonian Environmental Research Center</t>
  </si>
  <si>
    <t>Routti, H (corresponding author), Norwegian Polar Res Inst, Fram Ctr, N-9296 Tromso, Norway.</t>
  </si>
  <si>
    <t>heli.routti@npolar.no</t>
  </si>
  <si>
    <t>Routti, Heli/AAM-7884-2020</t>
  </si>
  <si>
    <t>Routti, Heli/0000-0001-5560-888X; Herzke, Dorte/0000-0001-9620-3053; Eisert, Regina/0000-0002-8980-7673</t>
  </si>
  <si>
    <t>United States Antarctic Program (USAP); National Science Foundation Office of Polar Programs [B-024, NSF/OPP 0538592]; Norwegian Polar Institute</t>
  </si>
  <si>
    <t>United States Antarctic Program (USAP); National Science Foundation Office of Polar Programs(National Science Foundation (NSF)NSF - Directorate for Geosciences (GEO)); Norwegian Polar Institute</t>
  </si>
  <si>
    <t>This field work was supported by the United States Antarctic Program (USAP) and funded by the National Science Foundation Office of Polar Programs (Project number B-024; NSF/OPP 0538592). The contaminant analyses were funded by the Norwegian Polar Institute. Thanks are also extended to Morten Wexels Riser, Dan Borritt, Mike Lara and Daryl Boness for their contributions to the field work, to Arntraut Gotsch for her help with the chemical analyses and to Robert Garrott for providing ages of our animals.</t>
  </si>
  <si>
    <t>0269-7491</t>
  </si>
  <si>
    <t>1873-6424</t>
  </si>
  <si>
    <t>ENVIRON POLLUT</t>
  </si>
  <si>
    <t>Environ. Pollut.</t>
  </si>
  <si>
    <t>10.1016/j.envpol.2014.11.026</t>
  </si>
  <si>
    <t>CD2PM</t>
  </si>
  <si>
    <t>WOS:000350921500008</t>
  </si>
  <si>
    <t>Tartu, S; Angelier, F; Bustnes, JO; Moe, B; Hanssen, SA; Herzke, D; Gabrielsen, GW; Verboven, N; Verreault, J; Labadie, P; Budzinski, H; Wingfield, JC; Chastel, O</t>
  </si>
  <si>
    <t>Tartu, S.; Angelier, F.; Bustnes, J. O.; Moe, B.; Hanssen, S. A.; Herzke, D.; Gabrielsen, G. W.; Verboven, N.; Verreault, J.; Labadie, P.; Budzinski, H.; Wingfield, J. C.; Chastel, O.</t>
  </si>
  <si>
    <t>Polychlorinated biphenyl exposure and corticosterone levels in seven polar seabird species</t>
  </si>
  <si>
    <t>Arctic; Antarctic; Birds; PCBs; Glucocorticoids; Stress</t>
  </si>
  <si>
    <t>ENDOCRINE-DISRUPTING CHEMICALS; LONG-LIVED BIRD; PERSISTENT ORGANIC POLLUTANTS; BASE-LINE CORTICOSTERONE; ADRENOCORTICAL FUNCTION; STRESS-RESPONSE; GLAUCOUS GULLS; ORGANOCHLORINE POLLUTANTS; TOP PREDATOR; REPRODUCTION</t>
  </si>
  <si>
    <t>The role of polychlorinated biphenyls (PCBs) on exposure-related endocrine effects has been poorly investigated in wild birds. This is the case for stress hormones including corticosterone (CORT). Some studies have suggested that environmental exposure to PCBs and altered CURT secretion might be associated. Here we investigated the relationships between blood PCB concentrations and circulating CURT levels in seven free-ranging polar seabird species occupying different trophic positions, and hence covering a wide range of PCB exposure. Blood Sigma 7PCB concentrations (range: 61-115,632 ng/g lw) were positively associated to baseline or stress-induced CURT levels in three species and negatively associated to stress-induced CURT levels in one species. Global analysis suggests that in males, baseline CURT levels generally increase with increasing blood Sigma 7PCB concentrations, whereas stress-induced CURT levels decrease when reaching high blood Sigma 7PCB concentrations. This study suggests that the nature of the PCB-CORT relationships may depend on the level of PCB exposure. (C) 2014 Elsevier Ltd. All rights reserved.</t>
  </si>
  <si>
    <t>[Tartu, S.; Angelier, F.; Chastel, O.] CEBC, CNRS, UMR ULR 7372, Villiers En Bois, France; [Bustnes, J. O.; Hanssen, S. A.] Norwegian Inst Nat Res, FRAM High North Res Ctr Climate &amp; Environm, Tromso, Norway; [Moe, B.] Norwegian Inst Nat Res, N-7485 Trondheim, Norway; [Herzke, D.] Norwegian Inst Air Res NILU, FRAM High North Res Ctr Climate &amp; Environm, N-9296 Tromso, Norway; [Gabrielsen, G. W.; Verboven, N.] Norwegian Polar Res Inst, FRAM High North Res Ctr Climate &amp; Environm, N-9296 Tromso, Norway; [Verreault, J.] Univ Quebec, Dept Sci Biol, Ctr Rech Toxicol Environm TOXEN, Montreal, PQ H3C 3P8, Canada; [Labadie, P.; Budzinski, H.] Univ Bordeaux, EPOC LPTC, UMR 5805, F-33400 Talence, France; [Labadie, P.; Budzinski, H.] CNRS, EPOC LPTC, UMR 5805, F-33400 Talence, France; [Wingfield, J. C.] Univ Calif Davis, Dept Neurobiol Physiol &amp; Behav, Davis, CA 95616 USA</t>
  </si>
  <si>
    <t>Centre National de la Recherche Scientifique (CNRS); Norwegian Institute Nature Research; Norwegian Institute Nature Research; NILU; Norwegian Polar Institute; University of Quebec; University of Quebec Montreal; Universite de Bordeaux; Centre National de la Recherche Scientifique (CNRS); CNRS - National Institute for Earth Sciences &amp; Astronomy (INSU); Centre National de la Recherche Scientifique (CNRS); CNRS - National Institute for Earth Sciences &amp; Astronomy (INSU); University of California System; University of California Davis</t>
  </si>
  <si>
    <t>Tartu, S (corresponding author), CEBC, CNRS, UMR ULR 7372, Villiers En Bois, France.</t>
  </si>
  <si>
    <t>tartu.sabrina@gmail.com</t>
  </si>
  <si>
    <t>Hanssen, Sveinn Are/C-9989-2009; Labadie, Pierre/F-9297-2015; Gabrielsen, Geir Wing/JDC-6415-2023; Tartu, Sabrina/Q-4062-2018; Moe, Borge/P-2946-2015</t>
  </si>
  <si>
    <t>Hanssen, Sveinn Are/0000-0003-1792-435X; BUDZINSKI, Helene/0000-0001-5282-9011; Moe, Borge/0000-0002-2306-1899; Labadie, Pierre/0000-0001-7184-6327; Herzke, Dorte/0000-0001-9620-3053</t>
  </si>
  <si>
    <t>Agence Nationale de la Recherche (ANR PolarTop); French Polar Institute (IPEV) [109, 330]; 7th research program of the European Community FP7 [237034]; Norwegian Research Council [176046]; Arctic field Grant; USA National Science Foundation [IOS-0750540]; University of California, Davis, Endowed Chair in Physiology; Aquitaine Region; European Union (CPER A2E project); European Regional Development Fund (FEDER)</t>
  </si>
  <si>
    <t>Agence Nationale de la Recherche (ANR PolarTop)(Agence Nationale de la Recherche (ANR)); French Polar Institute (IPEV); 7th research program of the European Community FP7; Norwegian Research Council(Research Council of Norway); Arctic field Grant; USA National Science Foundation(National Science Foundation (NSF)); University of California, Davis, Endowed Chair in Physiology; Aquitaine Region(Region Nouvelle-Aquitaine); European Union (CPER A2E project)(European Union (EU)Marie Curie Actions); European Regional Development Fund (FEDER)(European Union (EU))</t>
  </si>
  <si>
    <t>This study was funded by Agence Nationale de la Recherche (ANR PolarTop, O. Chastel), the French Polar Institute (IPEV, Program 109, H. Weimerskirch and 330, O. Chastel), the 7th research program of the European Community FP7/2007-2013 (Marie-Curie Fellowship, no. 237034, F. Angelier), the Norwegian Research Council through two International Polar Year projects (COPOL to J.O. Bustnes and G.W. Gabrielsen and 176046 BirdHealth to S.A. Hanssen) and by the Arctic field Grant. J.C. Wingfield was funded by USA National Science Foundation grant number IOS-0750540 and the University of California, Davis, Endowed Chair in Physiology. The authors thank many laboratory personnel and field workers for their valuable help in this study. This study was also carried out in the framework of the Cluster of Excellence COTE (ANR-10-LABX-45). The Aquitaine Region and the European Union (CPER A2E project) are acknowledged for their financial support. Europe is moving in Aquitaine with the European Regional Development Fund (FEDER).</t>
  </si>
  <si>
    <t>10.1016/j.envpol.2014.12.007</t>
  </si>
  <si>
    <t>WOS:000350921500020</t>
  </si>
  <si>
    <t>Colombo, M; Damerau, M; Hanel, R; Salzburger, W; Matschiner, M</t>
  </si>
  <si>
    <t>Colombo, M.; Damerau, M.; Hanel, R.; Salzburger, W.; Matschiner, M.</t>
  </si>
  <si>
    <t>Diversity and disparity through time in the adaptive radiation of Antarctic notothenioid fishes</t>
  </si>
  <si>
    <t>adaptive radiation; early burst; geometric morphometrics; incomplete lineage sorting; species tree</t>
  </si>
  <si>
    <t>ECOLOGICAL DIVERSIFICATION; EVOLUTIONARY RADIATION; SPECIES TREES; EARLY BURSTS; MITOCHONDRIAL; ANTIFREEZE; TELEOSTEI; SYSTEM; BODY; DISTRIBUTIONS</t>
  </si>
  <si>
    <t>According to theory, adaptive radiation is triggered by ecological opportunity that can arise through the colonization of new habitats, the extinction of antagonists or the origin of key innovations. In the course of an adaptive radiation, diversification and morphological evolution are expected to slow down after an initial phase of rapid adaptation to vacant ecological niches, followed by speciation. Such early bursts' of diversification are thought to occur because niche space becomes increasingly filled over time. The diversification of Antarctic notothenioid fishes into over 120 species has become one of the prime examples of adaptive radiation in the marine realm and has likely been triggered by an evolutionary key innovation in the form of the emergence of antifreeze glycoproteins. Here, we test, using a novel time-calibrated phylogeny of 49 species and five traits that characterize notothenioid body size and shape as well as buoyancy adaptations and habitat preferences, whether the notothenioid adaptive radiation is compatible with an early burst scenario. Extensive Bayesian model comparison shows that phylogenetic age estimates are highly dependent on model choice and that models with unlinked gene trees are generally better supported and result in younger age estimates. We find strong evidence for elevated diversification rates in Antarctic notothenioids compared to outgroups, yet no sign of rate heterogeneity in the course of the radiation, except that the notothenioid family Artedidraconidae appears to show secondarily elevated diversification rates. We further observe an early burst in trophic morphology, suggesting that the notothenioid radiation proceeds in stages similar to other prominent examples of adaptive radiation.</t>
  </si>
  <si>
    <t>[Colombo, M.; Salzburger, W.; Matschiner, M.] Univ Basel, Inst Zool, CH-4051 Basel, Switzerland; [Damerau, M.; Hanel, R.] Thunen Inst Fisheries Ecol, Hamburg, Germany; [Salzburger, W.; Matschiner, M.] Univ Oslo, CEES, Dept Biosci, Oslo, Norway</t>
  </si>
  <si>
    <t>University of Basel; Johann Heinrich von Thunen Institute; University of Oslo</t>
  </si>
  <si>
    <t>Salzburger, W (corresponding author), Univ Basel, Inst Zool, Vesalgasse 1, CH-4051 Basel, Switzerland.</t>
  </si>
  <si>
    <t>walter.salzburger@unibas.ch</t>
  </si>
  <si>
    <t>Hanel, Reinhold/AAO-4887-2021; Salzburger, Walter/G-1598-2011</t>
  </si>
  <si>
    <t>Matschiner, Michael/0000-0003-4741-3884; Salzburger, Walter/0000-0002-9988-1674</t>
  </si>
  <si>
    <t>Swiss National Science Foundation (Sinergia Grant) [CRSII3_136293, PBBSP3-138680]; German Research Foundation [HA 4328/4]; Swiss National Science Foundation (SNF) [PBBSP3-138680] Funding Source: Swiss National Science Foundation (SNF)</t>
  </si>
  <si>
    <t>Swiss National Science Foundation (Sinergia Grant)(Swiss National Science Foundation (SNSF)); German Research Foundation(German Research Foundation (DFG)); Swiss National Science Foundation (SNF)(Swiss National Science Foundation (SNSF))</t>
  </si>
  <si>
    <t>We thank K. Mintenbeck, L. Rath, N. Koschnick and T. Hirse, as well as R. Knust, L. Magnussen and the crews of RV Polarstern expeditions ANT-XXVII/3 and ANT-XXVIII/4, in 2011 and 2012 for help with sample collection. We are further thankful to K. Unger for help with sequencing, and J. Leigh, R. Bouckaert and G. Slater for guidance on Concaterpillar, BEAST and GEIGER analyses. Feedback from Axios Review and comments of R. Glor, T. Vines, C. Haag and three anonymous reviewers greatly helped to improve the manuscript. This study was supported by the Swiss National Science Foundation (Sinergia Grant CRSII3_136293 to WS and fellowship PBBSP3-138680 to MM) and the German Research Foundation (grant HA 4328/4 to RH).</t>
  </si>
  <si>
    <t>10.1111/jeb.12570</t>
  </si>
  <si>
    <t>CD6OO</t>
  </si>
  <si>
    <t>WOS:000351208800010</t>
  </si>
  <si>
    <t>Tyler, R</t>
  </si>
  <si>
    <t>Tyler, Robert</t>
  </si>
  <si>
    <t>Electromagnetic Coupling of Ocean Flow with the Earth System</t>
  </si>
  <si>
    <t>TERRESTRIAL ATMOSPHERIC AND OCEANIC SCIENCES</t>
  </si>
  <si>
    <t>Academic Workshop on Earth Sciences</t>
  </si>
  <si>
    <t>NOV 18-20, 2012</t>
  </si>
  <si>
    <t>Acad Sinica, Taipei, TAIWAN</t>
  </si>
  <si>
    <t>Acad Sinica</t>
  </si>
  <si>
    <t>Electrodynamics; Induction; Ocean flow; Electromagnetic coupling</t>
  </si>
  <si>
    <t>ANTARCTIC CIRCUMPOLAR CURRENT; MAGNETIC-FIELDS; STRING FUNCTION; CORE; INDUCTION; EXCITATION; ROTATION; SURFACE; STRATIFICATION; CONSTRAINTS</t>
  </si>
  <si>
    <t>The ocean is electromagnetically coupled with the Earth System. This results in momentum transfer, as well as a participation by the ocean in the Earth's observable electric and magnetic fields. The coupling is typically quite weak and quantitative analyses indicate that many of these connections may be discounted when considering the transfer of momentum. But because of systematic effects there are also cases where an immediate discount is not justified and electromagnetic transfer of ocean momentum should remain within the realm of consideration. For practical considerations, even if the coupling is weak these effects are phenomenologically important because the electric and magnetic fields associated with this coupling offer an observational means for inferring the ocean flow. While in situ measurements of the electric field have long been used to measure ocean transport, new opportunities for remote sensing ocean flow through ground and space magnetic observatories are now being considered. In this article a brief update of the status of these observational methods is given. Extending beyond these established elements of the ocean's electromagnetic involvement, an attempt is made to provide a quantitative discussion of lesser considered elements of the ocean's electromagnetic coupling with the mantle and fluid core.</t>
  </si>
  <si>
    <t>[Tyler, Robert] Univ Maryland, Dept Astron, College Pk, MD 20742 USA; [Tyler, Robert] NASAs, Goddard Space Flight Ctr, Planetary Geodynam Lab, Greenbelt, MD USA</t>
  </si>
  <si>
    <t>University System of Maryland; University of Maryland College Park; National Aeronautics &amp; Space Administration (NASA); NASA Goddard Space Flight Center</t>
  </si>
  <si>
    <t>Tyler, R (corresponding author), Univ Maryland, Dept Astron, College Pk, MD 20742 USA.</t>
  </si>
  <si>
    <t>robert.h.tyler@nasa.gov</t>
  </si>
  <si>
    <t>NASA Earth Surface and Interior Program (via geomagnetic infrastructure fund)</t>
  </si>
  <si>
    <t>This research is supported by NASA Earth Surface and Interior Program (via geomagnetic infrastructure fund).</t>
  </si>
  <si>
    <t>CHINESE GEOSCIENCE UNION</t>
  </si>
  <si>
    <t>TAIPEI</t>
  </si>
  <si>
    <t>PO BOX 23-59, TAIPEI 10764, TAIWAN</t>
  </si>
  <si>
    <t>1017-0839</t>
  </si>
  <si>
    <t>2311-7680</t>
  </si>
  <si>
    <t>TERR ATMOS OCEAN SCI</t>
  </si>
  <si>
    <t>Terr. Atmos. Ocean. Sci.</t>
  </si>
  <si>
    <t>10.3319/TAO.2014.08.19.04(GRT)</t>
  </si>
  <si>
    <t>Geosciences, Multidisciplinary; Meteorology &amp; Atmospheric Sciences; Oceanography</t>
  </si>
  <si>
    <t>Geology; Meteorology &amp; Atmospheric Sciences; Oceanography</t>
  </si>
  <si>
    <t>CC5HN</t>
  </si>
  <si>
    <t>gold, Green Submitted</t>
  </si>
  <si>
    <t>WOS:000350389800005</t>
  </si>
  <si>
    <t>Clark, AM; Harper, JT; Fagre, DB</t>
  </si>
  <si>
    <t>Clark, Adam M.; Harper, Joel T.; Fagre, Daniel B.</t>
  </si>
  <si>
    <t>Glacier-derived August runoff in northwest Montana</t>
  </si>
  <si>
    <t>NATIONAL-PARK; MASS-BALANCE; GROUNDWATER RECHARGE; BULL TROUT; TEMPERATURE; MELT; STREAMFLOW; CANADA; RADIATION; SPERRY</t>
  </si>
  <si>
    <t>The second largest concentration of glaciers in the U.S. Rocky Mountains is located in Glacier National Park (GNP), Montana. The total glacier-covered area in this region decreased by similar to 35% over the past 50 years, which has raised substantial concern about the loss of the water derived from glaciers during the summer. We used an innovative weather station design to collect in situ measurements on five remote glaciers, which are used to parameterize a regional glacier melt model. This model offered a first-order estimate of the summer meltwater production by glaciers. We find, during the normally dry month of August, glaciers in the region produce approximately 25 x 10(6) m(3) of potential runoff. We then estimated the glacier runoff component in five gaged streams sourced from GNP basins containing glaciers. Glacier-melt contributions range from 5% in a basin only 0.12% glacierized to &gt;90% in a basin 28.5% glacierized. Glacier loss would likely lead to lower discharges and warmer temperatures in streams draining basins &gt;20% glacier-covered. Lower flows could even be expected in streams draining basins as little as 1.4% glacierized if glaciers were to disappear.</t>
  </si>
  <si>
    <t>[Clark, Adam M.; Harper, Joel T.] Univ Montana, Dept Geosci, Missoula, MT 59812 USA; [Clark, Adam M.; Fagre, Daniel B.] US Geol Survey, Northern Rocky Mt Sci Ctr, West Glacier, MT 59936 USA</t>
  </si>
  <si>
    <t>University of Montana System; University of Montana; United States Department of the Interior; United States Geological Survey</t>
  </si>
  <si>
    <t>Clark, AM (corresponding author), Univ Montana, Dept Geosci, 32 Campus Dr 1296, Missoula, MT 59812 USA.</t>
  </si>
  <si>
    <t>amclark@usgs.gov</t>
  </si>
  <si>
    <t>Harper, Joel/0000-0002-2151-8509</t>
  </si>
  <si>
    <t>Montana Water Center; American Alpine Club; Geological Society of America; Patrick McDonough Foundation; Inland Northwest Research Alliance</t>
  </si>
  <si>
    <t>The authors would like to thank the Montana Water Center, the American Alpine Club, the Geological Society of America, the Patrick McDonough Foundation, and the Inland Northwest Research Alliance their financial support. We also thank multiple reviewers for their helpful comments, which significantly improved this paper. This work is also a contribution of the Western Mountain Initiative of the U.S. Geological Survey. Any use of trade, firm, or product names is for descriptive purposes only and does not imply endorsement by the U.S. Government. Clark would especially like to thank the many volunteers who worked so hard to haul weather station equipment across some of Glacier Park's most rugged terrain.</t>
  </si>
  <si>
    <t>10.1657/AAAR0014-033</t>
  </si>
  <si>
    <t>CC3BK</t>
  </si>
  <si>
    <t>WOS:000350219000001</t>
  </si>
  <si>
    <t>Gielwanowska, I; Pastorczyk, M; Kellmann-Sopyla, W; Górniak, D; Górecki, RJ</t>
  </si>
  <si>
    <t>Gielwanowska, Irena; Pastorczyk, Marta; Kellmann-Sopyla, Wioleta; Gorniak, Dorota; Gorecki, Ryszard J.</t>
  </si>
  <si>
    <t>Morphological and ultrastructural changes of organelles in leaf mesophyll cells of the Arctic and Antarctic plants of Poaceae family under cold influence</t>
  </si>
  <si>
    <t>HIGH-ALPINE PLANTS; DESCHAMPSIA-ANTARCTICA; RANUNCULUS-GLACIALIS; CHLOROPLAST; TEMPERATURE; STROMULES; DYNAMICS; FEATURES; LEAVES; MITOCHONDRIA</t>
  </si>
  <si>
    <t>The mesophyll cells of four species of Poaceae flowering plants growing in polar regions were studied-Deschampsia antarctica Desv. from the region of the Admiralty Bay on King George Island (West Antarctica) and D. alpina (L.) Roem. Sch., Poa alpina L. var. vivipara and P. arctica R. Br. var. vivipara from the Hornsund region of Spitsbergen island (Arctic). Ultrastructural changes were analyzed in the organelles of plants growing in Arctic and Antarctic habitats and plants grown in greenhouse, including plants exposed to short-term cold stress. The cell organelles were characterized by structural dynamics. Their morphological plasticity was manifested by elongation, formation of protrusions in the direction of adjacent organelles, as well as cytoplasm-filled pockets and invaginations that increase the contact area and reduce the distance between cell compartments. D. antarctica and P. alpina var. vivipara plants were characterized by highly dynamic cell nuclei with invaginations of the nuclear membrane filled with cytoplasm and organelles, high morphological plasticity, and conformational dynamics of chloroplasts and mitochondria, manifested by variations in the electron-optical density of matrix, membranes, and envelopes. The above could suggest that the studied taxa and their metabolic mechanisms had adapted to severe climates and changing conditions of the polar regions.</t>
  </si>
  <si>
    <t>[Gielwanowska, Irena; Pastorczyk, Marta; Kellmann-Sopyla, Wioleta; Gorecki, Ryszard J.] Univ Warmia &amp; Mazury, Dept Plant Physiol Genet &amp; Biotechnol, PL-10719 Olsztyn, Poland; [Gielwanowska, Irena] Inst Biochem &amp; Biophys PAS, Dept Antarctic Biol, PL-02141 Warsaw, Poland; [Gielwanowska, Irena] Polish Antarctic Stn H Arctowski, PL-02141 Warsaw, Poland; [Gorniak, Dorota] Univ Warmia &amp; Mazury, Dept Microbiol, PL-10719 Olsztyn, Poland</t>
  </si>
  <si>
    <t>University of Warmia &amp; Mazury; Polish Academy of Sciences; Institute of Biochemistry &amp; Biophysics - Polish Academy of Sciences; University of Warmia &amp; Mazury</t>
  </si>
  <si>
    <t>Gielwanowska, I (corresponding author), Univ Warmia &amp; Mazury, Dept Plant Physiol Genet &amp; Biotechnol, Oczapowskiego 1A, PL-10719 Olsztyn, Poland.</t>
  </si>
  <si>
    <t>i.gielwanowska@uwm.edu.pl</t>
  </si>
  <si>
    <t>Pastorczyk-Szlenkier, Marta/AAK-2859-2021; Gorniak, Dorota/X-8468-2018</t>
  </si>
  <si>
    <t>Pastorczyk-Szlenkier, Marta/0000-0002-9747-8283; Gorecki, Ryszard/0000-0002-6751-3340; Gielwanowska, Irena/0000-0002-9001-1285; Gorniak, Dorota/0000-0001-6567-1057</t>
  </si>
  <si>
    <t>10.1657/AAAR0014-019</t>
  </si>
  <si>
    <t>WOS:000350219000002</t>
  </si>
  <si>
    <t>Gough, L; Bass, H; McLaren, JR</t>
  </si>
  <si>
    <t>Gough, Laura; Bass, Heather; McLaren, Jennie R.</t>
  </si>
  <si>
    <t>Effects of increased soil nutrients on seed rain: a role for seed dispersal in the greening of the Arctic?</t>
  </si>
  <si>
    <t>SPECIES RICHNESS; SHRUB EXPANSION; PLANT COMMUNITY; ALASKAN TUNDRA; LITTER DECOMPOSITION; ALTERED ENVIRONMENT; TUSSOCK TUNDRA; REPRODUCTION; VEGETATION; GROWTH</t>
  </si>
  <si>
    <t>Warming temperatures in the Arctic are resulting in greater plant growth, particularly deciduous shrubs, in a phenomenon termed the Greening of the Arctic. Local expansion of deciduous shrubs is most likely resulting from vegetative growth, while the contribution of recruitment from seed is unknown. Here we compare seeds dispersed from plant communities created by experimental nutrient addition for 5 or 22 years with those from a community of sedges, deciduous shrubs, and evergreen shrubs at ambient soil nutrients. Nutrient addition decreased species richness and diversity and shifted the plant community toward dominance by dwarf birch, Betula nana, and a forb, Rubus chamaemorus. Generally, the composition of the seed rain resembled the adjacent plant community for deciduous shrubs, but not for other growth forms. Total seed abundance and proportion and total abundance of deciduous shrub seeds were greater adjacent to plots fertilized for 22 years. The deciduous shrub seed response was driven by a dramatic increase in seeds dispersed by Betula, resulting in lower taxa diversity, but not richness, of seed rain. These results suggest that increased shrub abundance will affect local seed dispersal, providing additional propagules for germination and increasing opportunities for reproduction by seed to be an important factor in the Greening of the Arctic.</t>
  </si>
  <si>
    <t>[Gough, Laura; Bass, Heather] Univ Texas Arlington, Dept Biol, Arlington, TX 76019 USA; [McLaren, Jennie R.] Univ Texas El Paso, Dept Biol Sci, El Paso, TX 79968 USA</t>
  </si>
  <si>
    <t>University of Texas System; University of Texas Arlington; University of Texas System; University of Texas El Paso</t>
  </si>
  <si>
    <t>Gough, L (corresponding author), Univ Texas Arlington, Dept Biol, Box 19498, Arlington, TX 76019 USA.</t>
  </si>
  <si>
    <t>gough@uta.edu</t>
  </si>
  <si>
    <t>McLaren, Jennie/U-9130-2019</t>
  </si>
  <si>
    <t>McLaren, Jennie/0000-0003-2004-4783</t>
  </si>
  <si>
    <t>National Science Foundation [OPP-0909507]; Arctic LTER project [DEB-1026843]; Division Of Environmental Biology; Direct For Biological Sciences [1026843] Funding Source: National Science Foundation</t>
  </si>
  <si>
    <t>National Science Foundation(National Science Foundation (NSF)); Arctic LTER project; Division Of Environmental Biology; Direct For Biological Sciences(National Science Foundation (NSF)NSF - Directorate for Biological Sciences (BIO))</t>
  </si>
  <si>
    <t>This study was conducted with funding from the National Science Foundation to Gough (OPP-0909507). The long-term experiments have been maintained by the Arctic LTER project (DEB-1026843 and earlier awards), and we are especially grateful to Gus Shaver and Jim Laundre for their assistance. Carol Moulton, Chris Hendrix, and Matt Rich helped with fieldwork and lab processing. Logistical support was provided by Toolik Field Station, University of Alaska, Fairbanks.</t>
  </si>
  <si>
    <t>10.1657/AAAR0014-055</t>
  </si>
  <si>
    <t>WOS:000350219000003</t>
  </si>
  <si>
    <t>Thompson, MS; Giesler, R; Karlsson, J; Klaminder, J</t>
  </si>
  <si>
    <t>Thompson, M. S.; Giesler, R.; Karlsson, J.; Klaminder, J.</t>
  </si>
  <si>
    <t>Size and characteristics of the DOC pool in near-surface subarctic mire permafrost as a potential source for nearby freshwaters</t>
  </si>
  <si>
    <t>DISSOLVED ORGANIC-MATTER; CLIMATE-CHANGE; NORTHWEST-TERRITORIES; GROUND ICE; CARBON; SOILS; STREAMS; BIOGEOCHEMISTRY; INDICATORS; CANADA</t>
  </si>
  <si>
    <t>Subarctic peatlands are rich sources of organic carbon for freshwater ecosystems. Where those peatlands are underlain by permafrost, permafrost thaw may cause an initial release of bioavailable dissolved organic carbon (DOC) to surrounding freshwaters. In this study, we measured icebound and potentially leachable (extracted) DOC quantities and indices of DOC quality in active layer and permafrost layers from two subarctic peat mires, Stord-alen and Storflaket. Most of the permafrost layers did not contain more organic matter or exportable DOC (as g kg(-1) dry soil) than the overlying active layer, and there was no difference in aromaticity, molecular weight, or the ratio between labile and recalcitrant DOC extracted from the permafrost and active layer. However, DOC held in segregated ice of the near-surface permafrost had relatively low aromaticity compared to extracted DOC from the same depth. Total icebound and potentially leachable DOC in the Stordalen mire permafrost that is predicted to experience active layer deepening during each of the next 50 years corresponded to about 0.1% of the current annual aquatic export of DOC from the mire. We conclude that the pool of potentially leachable DOC currently stored in permafrost layers is small. We also highlight differences in permafrost organic material between the two studied mire systems, which has an effect on the pool and properties of leachable DOC that is potentially available for export during thaw. Moreover, the geomorphological form of permafrost thaw will influence future hydrological connectedness and DOC production, in turn determining future DOC export from the mires.</t>
  </si>
  <si>
    <t>[Thompson, M. S.; Giesler, R.; Karlsson, J.; Klaminder, J.] Umea Univ, Dept Ecol &amp; Environm Sci, Climate Impacts Res Ctr, SE-98107 Abisko, Sweden</t>
  </si>
  <si>
    <t>Thompson, MS (corresponding author), Umea Univ, Dept Ecol &amp; Environm Sci, Climate Impacts Res Ctr, Box 62, SE-98107 Abisko, Sweden.</t>
  </si>
  <si>
    <t>megan.shera@gmail.com</t>
  </si>
  <si>
    <t>10.1657/AAAR0014-010</t>
  </si>
  <si>
    <t>WOS:000350219000005</t>
  </si>
  <si>
    <t>Rangecroft, S; Harrison, S; Anderson, K</t>
  </si>
  <si>
    <t>Rangecroft, S.; Harrison, S.; Anderson, K.</t>
  </si>
  <si>
    <t>Rock glaciers as water stores in the Bolivian Andes: an assessment of their hydrological importance</t>
  </si>
  <si>
    <t>INTERNAL STRUCTURE; PERIGLACIAL LANDFORMS; PRELIMINARY INVENTORY; PERMAFROST CREEP; CLIMATE-CHANGE; GALENA CREEK; DRY ANDES; SAN-JUAN; MOUNTAINS; ARGENTINA</t>
  </si>
  <si>
    <t>Water scarcity is a growing issue for high altitude arid countries like Bolivia, where serious water resource concerns exist because of climate change and population growth. In this study we use a recent Bolivian rock glacier inventory (Rangecroft et al., 2014) to estimate the water equivalent storage of these understudied cryospheric reserves. This paper shows that Bolivian rock glaciers currently store between 11.7 and 137 million cubic meters of water. Rock glacier water equivalents are compared to corresponding ice glacier water equivalent to allow an assessment of the hydrological importance of rock glaciers as water stores in this water scarce region. It can be seen that in the densely glaciated Cordillera Real (15 degrees-16 degrees S) rock glaciers form a small component of mountain water stores; however, along the Cordillera Occidental (17 degrees-22 degrees S), where ice glaciers are absent, rock glaciers are a more important part of the cryospheric water store, suggesting that they could be important for local water management. This is the first time that the water equivalence of the Bolivian rock glacier store has been quantified and is a first step toward assessing the contribution and importance of alternative high altitude water sources.</t>
  </si>
  <si>
    <t>[Rangecroft, S.; Anderson, K.] Univ Exeter, Environm &amp; Sustainabil Inst, Penryn TR10 9FE, Cornwall, England; [Rangecroft, S.; Harrison, S.] Univ Exeter, Coll Life &amp; Environm Sci, Dept Geog, Penryn TR10 9FE, Cornwall, England</t>
  </si>
  <si>
    <t>University of Exeter; University of Exeter</t>
  </si>
  <si>
    <t>Rangecroft, S (corresponding author), Univ Exeter, Environm &amp; Sustainabil Inst, Penryn Campus, Penryn TR10 9FE, Cornwall, England.</t>
  </si>
  <si>
    <t>sr332@exeter.ac.uk</t>
  </si>
  <si>
    <t>Anderson, Karen/ABC-3524-2021</t>
  </si>
  <si>
    <t>Anderson, Karen/0000-0002-3289-2598</t>
  </si>
  <si>
    <t>Natural Environment Research Council (NERC) Collaborative Awards in Science and Education (CASE) Studentship [NE/H018875/1]</t>
  </si>
  <si>
    <t>Natural Environment Research Council (NERC) Collaborative Awards in Science and Education (CASE) Studentship</t>
  </si>
  <si>
    <t>This research was conducted under the Natural Environment Research Council (NERC) Collaborative Awards in Science and Education (CASE) Studentship (NE/H018875/1). The authors would like to thank Oxfam and Agua Sustentable for providing support and help in the field in Bolivia. The authors would also like to thank Dr. D. Trombotto and G.F. Azocar for their insightful comments and suggestions, which improved this manuscript greatly.</t>
  </si>
  <si>
    <t>10.1657/AAAR0014-029</t>
  </si>
  <si>
    <t>WOS:000350219000008</t>
  </si>
  <si>
    <t>Cray, HA; Pollard, WH</t>
  </si>
  <si>
    <t>Cray, Heather A.; Pollard, Wayne H.</t>
  </si>
  <si>
    <t>Vegetation recovery patterns following permafrost disturbance in a Low Arctic setting: case study of Herschel Island, Yukon, Canada</t>
  </si>
  <si>
    <t>RETROGRESSIVE THAW SLUMP; PLANT SUCCESSION; TUNDRA; TERRITORY; GEOMORPHOLOGY; EXPANSION; SITES; COVER; MAYO</t>
  </si>
  <si>
    <t>The potential long-term effects of thaw slump disturbances on tundra ecosystems include a significant reorganization of tundra plant communities. In this study, vegetation sucession of stabilized retrogressive thaw slumps was investigated using four age classes: 10, 20, and 250 years old, and undisturbed areas. While still active, slumps are characterized by bare soil, pools of water and liquefied mud, and the initial colonization of graminoids and forbs. Between 0 and 20 years after stabilization, the slump vegetation is characterized by low diversity, grass-dominated vegetation communities with a high percent cover of dry bare ground. This is followed after a few hundred years by a forb, dwarf shrub, and bryophyte-dominated community with a high percent cover of litter. With future warming expected, the presence and areal extent of thaw disturbances are predicted to increase. These findings suggest that the result would be an altered tundra species composition, which remains distinct for at least several centuries.</t>
  </si>
  <si>
    <t>[Cray, Heather A.; Pollard, Wayne H.] McGill Univ, Dept Geog, Montreal, PQ H3A 0B9, Canada</t>
  </si>
  <si>
    <t>McGill University</t>
  </si>
  <si>
    <t>Cray, HA (corresponding author), McGill Univ, Dept Geog, Burnside Hall Bldg,Room 705, Montreal, PQ H3A 0B9, Canada.</t>
  </si>
  <si>
    <t>heather.cray@mail.mcgill.ca</t>
  </si>
  <si>
    <t>Cray, Heather/0000-0002-3756-2942</t>
  </si>
  <si>
    <t>Natural Sciences and Engineering Research Council of Canada; Polar Continental Shelf Program; Northern Scientific Training Program; ArcticNet</t>
  </si>
  <si>
    <t>Natural Sciences and Engineering Research Council of Canada(Natural Sciences and Engineering Research Council of Canada (NSERC)CGIAR); Polar Continental Shelf Program; Northern Scientific Training Program; ArcticNet</t>
  </si>
  <si>
    <t>We would like to thank the Natural Sciences and Engineering Research Council of Canada, the Polar Continental Shelf Program, the Northern Scientific Training Program, and ArcticNet for their financial support. This manuscript has been enhanced by the insightful recommendations of two anonymous reviewers and the associate editor.</t>
  </si>
  <si>
    <t>10.1657/AAAR0013-076</t>
  </si>
  <si>
    <t>WOS:000350219000009</t>
  </si>
  <si>
    <t>Rundel, PW</t>
  </si>
  <si>
    <t>Rundel, Philip W.</t>
  </si>
  <si>
    <t>Biomass, productivity, and nutrient allocation in subalpine shrublands and meadows of the Emerald Lake Basin, Sequoia National Park, California</t>
  </si>
  <si>
    <t>HIGH-ELEVATION CATCHMENTS; WESTERN NORTH-AMERICA; SIERRA-NEVADA; CLIMATE-CHANGE; WATER-BALANCE; DWARF-SHRUBS; COMMUNITIES; ALPS; VEGETATION; TURNOVER</t>
  </si>
  <si>
    <t>The Emerald Lake Basin provides a long-term site for research on hydrology, ecology, and biogeochemistry, as well as baseline data for a representative subalpine watershed in the Sierra Nevada of California. Field studies provided quantitative data on the biomass, net primary production, and nutrient allocation of major subalpine shrub and meadow communities. Measurements carried out over two growing seasons found aboveground biomass per unit canopy area was 3857 g m(-2) in Chrysolepis sempervirens, 3360 g m(-2) in Salix orestera, and 1614 g m(-2) in Phyllodoce breweri. The biomass for Chrysolepis and Salix canopies were high compared to other published data for subalpine and alpine shrublands, but the Phyllodoce biomass was comparable to values for ericaceous heath in the Rocky Mountains and European Alps. Wet and dry meadows had 377 and 98 g m(-2), respectively, in aboveground living tissues, comparable to values from the Rocky Mountains and European Alps. Belowground biomass for shrub communities was the highest for Phyllodoce (3670 g m(-2)), followed by Chrysolepis (2400 g m(-2)) and Salix (2070 g m(-2)). The wet meadow community had a surprisingly high belowground biomass of 2897 g m(-2), reflecting the dominance of large perennial herb species. This resulted from a root: shoot ratio of 8.21 compared to 5.72 in the dry meadow community. Canopies of Chrysolepis and Salix had root: shoot ratios of 0.62 and 0.61, respectively, and Phyllodoce a ratio of 2.27.</t>
  </si>
  <si>
    <t>Univ Calif Los Angeles, Dept Ecol &amp; Evolutionary Biol, Los Angeles, CA 90095 USA</t>
  </si>
  <si>
    <t>University of California System; University of California Los Angeles</t>
  </si>
  <si>
    <t>Rundel, PW (corresponding author), Univ Calif Los Angeles, Dept Ecol &amp; Evolutionary Biol, Box 95616, Los Angeles, CA 90095 USA.</t>
  </si>
  <si>
    <t>rundel@biology.ucla.edu</t>
  </si>
  <si>
    <t>California Air Resources Board</t>
  </si>
  <si>
    <t>I thank the California Air Resources Board for funding this research. Peter Rabenold, Mike Neuman, Gail Baker, Evan Edinger, Carmen Crivellone, and Karen Poulin provided major assistance in carrying out the field work for the project. The support of Kathy Tonnessen, Dave Parsons, the staff of Sequoia and Kings Canyon National Parks, and colleagues from many universities working in the Emerald Lake Basin is gratefully acknowledged with thanks.</t>
  </si>
  <si>
    <t>10.1657/AAAR0013-136</t>
  </si>
  <si>
    <t>WOS:000350219000010</t>
  </si>
  <si>
    <t>Zhou, ZY; Yi, SH; Chen, JJ; Ye, BS; Sheng, Y; Wang, GX; Ding, YJ</t>
  </si>
  <si>
    <t>Zhou, Zhaoye; Yi, Shuhua; Chen, Jianjun; Ye, Baisheng; Sheng, Yu; Wang, Genxu; Ding, Yongjian</t>
  </si>
  <si>
    <t>Responses of alpine grassland to climate warming and permafrost thawing in two basins with different precipitation regimes on the Qinghai-Tibetan Plateau</t>
  </si>
  <si>
    <t>CARBON DYNAMICS; SOIL-MOISTURE; DEGRADATION; VEGETATION; ECOSYSTEMS</t>
  </si>
  <si>
    <t>Alpine grassland and permafrost occupy about two thirds and one half of the total area of the Qinghai-Tibetan Plateau (QTP), respectively. Soil water, which can be affected by permafrost thawing and precipitation, is important for vegetation growth in this region. It is therefore vital to consider the effects of both thawing and precipitation when studying the effect of climate warming on alpine grassland on the QTP. In this study, we examined two adjacent basins, one semiarid and the other semihumid, in the northeastern section of the QTP. We used remote sensing data to compare fractional vegetation cover (FVC) and the relationships between FVC and land surface temperature (LST) in different types of frozen ground; the samples were analogous to a chronosequence of climate warming and permafrost thawing. Our analysis produced three significant results: (1) the FVCs of the semihumid basin were significantly greater than those of the semiarid basin for most types of frozen ground (p &lt; 0.05); (2) the changes in FVC along the climate warming and permafrost thawing chronosequence were different in the two basins, with the maximum FVC occurring on the transition permafrost zone in the semiarid basin and on the seasonal frost zone in the semihumid basin; and (3) at the peak of the growing season, only the three warmest types of frozen ground in the semiarid basin had a negative relationship between FVC and LST, suggesting that vegetation growth was limited by water. Therefore, we concluded that the responses of alpine grassland to climate warming in the permafrost regions are complicated by precipitation and permafrost thawing; specifically, grasslands will not necessarily simply degrade as the climate warms, as suggested by previous plotscale studies.</t>
  </si>
  <si>
    <t>[Zhou, Zhaoye] Lanzhou Univ Technol, Sch Civil Engn, Lanzhou 730050, Peoples R China; [Zhou, Zhaoye; Yi, Shuhua; Chen, Jianjun; Ye, Baisheng; Ding, Yongjian] Chinese Acad Sci, Cold &amp; Arid Reg Environm &amp; Engn Res Inst, State Key Lab Cryospher Sci, Lanzhou 730000, Peoples R China; [Sheng, Yu] Chinese Acad Sci, Cold &amp; Arid Reg Environm &amp; Engn Res Inst, State Key Lab Frozen Soil Engn, Lanzhou 730000, Peoples R China; [Wang, Genxu] Chinese Acad Sci, Inst Mt Hazards &amp; Environm, Chengdu 610041, Peoples R China</t>
  </si>
  <si>
    <t>Lanzhou University of Technology; Chinese Academy of Sciences; Cold &amp; Arid Regions Environmental &amp; Engineering Research Institute, CAS; Chinese Academy of Sciences; Cold &amp; Arid Regions Environmental &amp; Engineering Research Institute, CAS; Chinese Academy of Sciences; Institute of Mountain Hazards &amp; Environment, CAS</t>
  </si>
  <si>
    <t>Yi, SH (corresponding author), Chinese Acad Sci, Cold &amp; Arid Reg Environm &amp; Engn Res Inst, State Key Lab Cryospher Sci, 320 Donggang West Rd, Lanzhou 730000, Peoples R China.</t>
  </si>
  <si>
    <t>yis@lzb.ac.cn</t>
  </si>
  <si>
    <t>Carbide, 陈建军Silicon/AAL-2068-2020; SHENG, Yu/GXZ-8269-2022; Li, Chun/KBC-9591-2024</t>
  </si>
  <si>
    <t>Chen, Jianjun/0000-0001-9464-3442; Wang, Genxu/0000-0002-3403-0983</t>
  </si>
  <si>
    <t>National Basic Research Program of China [2013CBA01807]; Strategic Priority Research Program [XDB030303]; China Special Fund for Meteorological Research in the Public Interest [GYHY201306017]; National Natural Science Foundation of China [41271089]</t>
  </si>
  <si>
    <t>National Basic Research Program of China(National Basic Research Program of China); Strategic Priority Research Program(Chinese Academy of Sciences); China Special Fund for Meteorological Research in the Public Interest; National Natural Science Foundation of China(National Natural Science Foundation of China (NSFC))</t>
  </si>
  <si>
    <t>We would like to thank Mr. Naijie Li for his help in the field work, Mr. Shilong Ren for retrieving the fractional vegetation cover of the quadrats, and two anonymous reviewers for their constructive comments and suggestions. This study was supported by grants from the National Basic Research Program of China (2013CBA01807), the Strategic Priority Research Program (XDB030303), the China Special Fund for Meteorological Research in the Public Interest (GYHY201306017), and the National Natural Science Foundation of China (41271089).</t>
  </si>
  <si>
    <t>10.1657/AAAR0013-098</t>
  </si>
  <si>
    <t>WOS:000350219000011</t>
  </si>
  <si>
    <t>White, A; Copland, L</t>
  </si>
  <si>
    <t>White, A.; Copland, L.</t>
  </si>
  <si>
    <t>Decadal-scale variations in glacier area changes across the Southern Patagonian Icefield since the 1970s</t>
  </si>
  <si>
    <t>PIO-XI; CALVING GLACIERS; ICE-ELEVATION; FLUCTUATIONS; SATELLITE; BEHAVIOR; AMERICA</t>
  </si>
  <si>
    <t>A combination of Landsat and ASTER satellite scenes are used to quantify changes in the areal extent of glaciers in 130 basins across the Southern Patagonian Icefield ( SPI). There was extensive net overall loss, with a reduction in ice area of 542 km(2) (similar to 4% of the SPI) between the late 1970s and 2008/2010. For glaciers measured within individual periods, average losses occurred at a rate of 3.24% decade(-1) between 1976/1979 and 1984/1986, 2.04% decade(-1) between 1984/1986 and 2000/2002, and 2.24% decade(-1) between 2000/2002 and 2008/2010. This indicates sustained losses, but no evidence for a recent acceleration. Since the 1980s, glaciers located in the northwest part of the SPI experienced the highest mean annual loss rates at 2.9% decade(-1). Mean glacier elevation provides the only significant topographic control on glacier changes for all measurement periods, and glacier losses are consistent with recent warming and changes in precipitation observed for this region.</t>
  </si>
  <si>
    <t>[White, A.; Copland, L.] Univ Ottawa, Dept Geog, Ottawa, ON K1N 6N5, Canada</t>
  </si>
  <si>
    <t>University of Ottawa</t>
  </si>
  <si>
    <t>White, A (corresponding author), Univ Ottawa, Dept Geog, Room SMD 043,60 Univ Pvt, Ottawa, ON K1N 6N5, Canada.</t>
  </si>
  <si>
    <t>awhit059@uottawa.ca</t>
  </si>
  <si>
    <t>Canada Foundation for Innovation; Ontario Research Fund; Natural Resources and Engineering Research Council of Canada; University of Ottawa; Natural Resources Canada</t>
  </si>
  <si>
    <t>Canada Foundation for Innovation(Canada Foundation for InnovationCGIARSpanish Government); Ontario Research Fund; Natural Resources and Engineering Research Council of Canada; University of Ottawa; Natural Resources Canada(Natural Resources CanadaCanadian Forest Service)</t>
  </si>
  <si>
    <t>We thank Canada Foundation for Innovation, Ontario Research Fund, Natural Resources and Engineering Research Council of Canada, University of Ottawa, and Natural Resources Canada for assistance with funding. We also thank the members of the Laboratory for Cryospheric Research for their support, Francisca Bown for providing shapefiles of the 1986 and 2001 basin boundaries for the SPI, and Derek Mueller for helpful reviews. We appreciate comments provided by two anonymous reviewers.</t>
  </si>
  <si>
    <t>10.1657/AAAR0013-102</t>
  </si>
  <si>
    <t>WOS:000350219000013</t>
  </si>
  <si>
    <t>Ballová, Z; Sibík, J</t>
  </si>
  <si>
    <t>Ballova, Zuzana; Sibik, Jozef</t>
  </si>
  <si>
    <t>Microhabitat utilization of the Tatra marmot (Marmota marmota latirostris) in the Western Carpathian Mountains, Europe</t>
  </si>
  <si>
    <t>YELLOW-BELLIED MARMOTS; HIGH-ALTITUDE COLONY; ALPINE MARMOTS; POPULATION-DYNAMICS; PREDATION RISK; MATING SYSTEM; HOARY MARMOT; VEGETATION; BEHAVIOR; ASSOCIATIONS</t>
  </si>
  <si>
    <t>The function of Alpine marmot subspecies burrows and factors influencing their distribution were investigated at 17 sites in the Tatra Mountains in Slovakia, Europe. Topographic variables and habitat types expected to influence the location of the Tatra marmot burrows were observed and examined. In the various locations of the studied home ranges (summer, winter and grazing areas, marmot trails) and outside the family territories, we recorded 36 vegetation samples including several reliefs. The collected data were analyzed using multivariate analysis. The summer areas of the marmot home ranges in the Tatra Mountains are often located within the alpine zone in communities of the Braun-Blanquet alliance Juncion trifidi (siliceous short stem grasslands) and in chionophilous communities on stable scree slopes of the alliance Festucion picturatae (tall stem grasslands). Marmots usually avoid habitats that have the lowest trophic benefits and the most extreme sites with low-stems or matgrass communities in the alliance Nardion strictae, dense stands of dwarf pine in the alliance Pinion mugo (krummholz), and dwarf-shrub and lichen communities in the alliance Loiseleurio-Vaccinion. Marmot habitats in summer have suitable grazing areas. The most preferred habitats for foraging are grasslands and tall herb plant communities dominated by Calamagrostis villosa, Trisetum fuscum, and similar tall grass species. The most important factor influencing the locations of different parts of home ranges is the gradient of the relief structure. According to their functional differentiation, the location of a marmot burrow is most significantly influenced by the presence of convex geomorphic features and reinforced rock forms.</t>
  </si>
  <si>
    <t>[Ballova, Zuzana; Sibik, Jozef] Slovak Acad Sci, Inst Bot, SK-84523 Bratislava, Slovakia; [Ballova, Zuzana] Univ Zilina IHMB, Inst High Mt Biol, Zilina SK-05956, Slovakia; [Sibik, Jozef] Colorado State Univ, Dept Forest &amp; Rangeland Stewardship, Ft Collins, CO 80523 USA</t>
  </si>
  <si>
    <t>Slovak Academy of Sciences; Colorado State University</t>
  </si>
  <si>
    <t>Ballová, Z (corresponding author), Slovak Acad Sci, Inst Bot, Dubravska Cesta 9, SK-84523 Bratislava, Slovakia.</t>
  </si>
  <si>
    <t>zuzana.ballova@gmail.com</t>
  </si>
  <si>
    <t>Ballová, Zuzana Kompišová/AAO-7159-2021; Sibik, Jozef/F-1717-2011; Ballová, Zuzana Kompišová/N-3787-2019; Ballová, Zuzana/P-6151-2015</t>
  </si>
  <si>
    <t>Sibik, Jozef/0000-0002-5949-862X; Ballová, Zuzana Kompišová/0000-0002-4518-2763; Ballová, Zuzana/0000-0002-4518-2763</t>
  </si>
  <si>
    <t>VEGA [2/0090/2012]; Slovak-American Foundation</t>
  </si>
  <si>
    <t>VEGA(Vedecka grantova agentura MSVVaS SR a SAV (VEGA)); Slovak-American Foundation</t>
  </si>
  <si>
    <t>This study was supported by the grant agency VEGA 2/0090/2012. This paper could not be finished without the support of the Slovak-American Foundation, which provided funds to the second author to enable him to stay one year at Colorado State University as a visiting researcher. For English proofreading, we are indebted to Dr. David J. Cooper from Colorado State University, Fort Collins, U.S.A. The final version of the manuscript was edited for proper English language, grammar, punctuation, spelling, and overall style by one or more of the highly qualified native English-speaking editors at American Journal Experts, certificate verification key: 9F23-7CC0-63EE-5A01-CA07. We also thank Dusan Senko for the preparation of digital maps. We would like to express our gratitude to Prof. Marian Janiga, director of the Institute of High Mountain Biology, for providing the first author with his expertise and understanding, for his suggestions for this study, and for providing technical support.</t>
  </si>
  <si>
    <t>10.1657/AAAR0014-021</t>
  </si>
  <si>
    <t>WOS:000350219000014</t>
  </si>
  <si>
    <t>Bestley, S; Jonsen, ID; Hindell, MA; Harcourt, RG; Gales, NJ</t>
  </si>
  <si>
    <t>Bestley, Sophie; Jonsen, Ian D.; Hindell, Mark A.; Harcourt, Robert G.; Gales, Nicholas J.</t>
  </si>
  <si>
    <t>Taking animal tracking to new depths: synthesizing horizontal-vertical movement relationships for four marine predators</t>
  </si>
  <si>
    <t>ECOLOGY</t>
  </si>
  <si>
    <t>Antarctic fur seal; Arctocephalus gazella; crabeater seal; Lobodon carcinophaga; East Antarctic; foraging behavior; individual movement; marine predators; satellite tracking; southern elephant seal; Mirounga leonina; state-space model; Weddell seal; Leptonychotes weddellii</t>
  </si>
  <si>
    <t>SOUTHERN ELEPHANT SEALS; CRAB-EATER SEALS; FORAGING SUCCESS; DIVING BEHAVIOR; MIROUNGA-LEONINA; EAST ANTARCTICA; WEDDELL SEALS; SPACE; ECOLOGY; TELEMETRY</t>
  </si>
  <si>
    <t>In animal ecology, a question of key interest for aquatic species is how changes in movement behavior are related in the horizontal and vertical dimensions when individuals forage. Alternative theoretical models and inconsistent empirical findings mean that this question remains unresolved. Here we tested expectations by incorporating the vertical dimension (dive information) when predicting switching between movement states (resident or directed) within a state-space model. We integrated telemetry-based tracking and diving data available for four seal species (southern elephant, Weddell, antarctic fur, and crabeater) in East Antarctica. Where possible, we included dive variables derived from the relationships between (1) dive duration and depth (as a measure of effort), and (2) dive duration and the postdive surface interval (as a physiological measure of cost). Our results varied within and across species, but there was a general tendency for the probability of switching into resident state to be positively associated with shorter dive durations (for a given depth) and longer postdive surface intervals (for a given dive duration). Our results add to a growing body of literature suggesting that simplistic interpretations of optimal foraging theory based only on horizontal movements do not directly translate into the vertical dimension in dynamic marine environments. Analyses that incorporate at least two dimensions can test more sophisticated models of foraging behavior.</t>
  </si>
  <si>
    <t>[Bestley, Sophie; Gales, Nicholas J.] Australian Antarctic Div, Dept Environm, Kingston, Tas 7050, Australia; [Bestley, Sophie; Hindell, Mark A.] Univ Tasmania, Inst Marine &amp; Antarctic Studies, Hobart, Tas 7001, Australia; [Jonsen, Ian D.; Harcourt, Robert G.] Macquarie Univ, Dept Biol Sci, Sydney, NSW 2109, Australia</t>
  </si>
  <si>
    <t>Australian Antarctic Division; University of Tasmania; Macquarie University</t>
  </si>
  <si>
    <t>Bestley, S (corresponding author), Australian Antarctic Div, Dept Environm, Channel Highway, Kingston, Tas 7050, Australia.</t>
  </si>
  <si>
    <t>sophie.bestley@aad.gov.au</t>
  </si>
  <si>
    <t>Bestley, Sophie/E-9521-2013; Bestley, Sophie/AAN-2483-2021; Hindell, Mark A/K-1131-2013</t>
  </si>
  <si>
    <t>Bestley, Sophie/0000-0001-9342-669X; Bestley, Sophie/0000-0001-9342-669X; Harcourt, Robert/0000-0003-4666-2934; Jonsen, Ian/0000-0001-5423-6076; Hindell, Mark/0000-0002-7823-7185</t>
  </si>
  <si>
    <t>Australian Integrated Marine Observing System; Australia Research Council Super Science Fellowship; Macquarie Vice-Chancellor's Innovation Fellowship</t>
  </si>
  <si>
    <t>Australian Integrated Marine Observing System; Australia Research Council Super Science Fellowship(Australian Research Council); Macquarie Vice-Chancellor's Innovation Fellowship</t>
  </si>
  <si>
    <t>The 2011 SES and Weddell seal tags were funded by the Australian Integrated Marine Observing System, with logistics support for deployments supplied by the Australian Antarctic Division. All procedures were approved and carried out under the guidelines of the University of Tasmania Animal Ethics Committee and the Australian Antarctic Animal Ethics Committee. The 2003 Australian Antarctic Territory coastline, ice features digitized from satellite images and maximum sea ice extent shown in Fig. 1, were obtained from the Australian Antarctic Data Centre. S. Bestley was supported by an Australia Research Council Super Science Fellowship. I. D. Jonsen was supported by a Macquarie Vice-Chancellor's Innovation Fellowship. We are grateful to C. Southwell and others at the Australian Antarctic Division for helpful discussions, especially providing logistic and ecological context for the historical tagging programs.</t>
  </si>
  <si>
    <t>0012-9658</t>
  </si>
  <si>
    <t>1939-9170</t>
  </si>
  <si>
    <t>10.1890/14-0469.1</t>
  </si>
  <si>
    <t>CC6OI</t>
  </si>
  <si>
    <t>WOS:000350484600013</t>
  </si>
  <si>
    <t>Southwell, C; Emmerson, L</t>
  </si>
  <si>
    <t>Southwell, Colin; Emmerson, Louise</t>
  </si>
  <si>
    <t>Remotely-operating camera network expands Antarctic seabird observations of key breeding parameters for ecosystem monitoring and management</t>
  </si>
  <si>
    <t>JOURNAL FOR NATURE CONSERVATION</t>
  </si>
  <si>
    <t>Breeding success; Breeding phenology; Colonial breeders; Remote monitoring; Seabirds</t>
  </si>
  <si>
    <t>PYGOSCELIS PENGUINS; CLIMATE-CHANGE; ABUNDANCE; RESPONSES; TRENDS; ISLAND</t>
  </si>
  <si>
    <t>Antarctic seabirds are important indicators of impacts and change in Southern Ocean ecosystems, but their isolated and remote breeding populations are challenging and expensive to assess and monitor using traditional methods. Taking account of dependent species such as seabirds and seals is a critical aspect of the ecosystem-based management approach for the Convention for the Conservation of Antarctic Marine Living Resources (CCAMLR). Our aim was to assess remotely-operating cameras as a tool for broad-scale seabird monitoring when time, budget, logistics or concerns of human impacts constrain direct monitoring programmes. Here we demonstrate how remotely-operating time-lapse cameras can be used for cost-effective, large-scale monitoring in the harsh Antarctic environment. We show that robustly designed cameras can operate over long periods and provide reliable data on key breeding parameters such as phenology and breeding success using the Adelie penguin as a case study. By establishing a network of cameras across east Antarctica, we are now able to match the scale of monitoring with the large spatial scales over which fisheries and climate change are expected to impact. This is a quantum advance for seabird monitoring that can directly complement CCAMLR's ecosystem monitoring programme to achieve conservation objectives under the Convention. The remote camera network concept is well suited for monitoring a wide range of colonial breeding species including seabirds, water birds and marine mammals. Crown Copyright (C) 2014 Published by Elsevier GmbH. All rights reserved.</t>
  </si>
  <si>
    <t>[Southwell, Colin; Emmerson, Louise] Australian Antarctic Div, Dept Environm, Kingston, Tas 7050, Australia</t>
  </si>
  <si>
    <t>Southwell, C (corresponding author), Australian Antarctic Div, Dept Environm, Channel Highway, Kingston, Tas 7050, Australia.</t>
  </si>
  <si>
    <t>Australian Antarctic Division AAS project [2722, 4086, 4088]; Australian Antarctic Division</t>
  </si>
  <si>
    <t>Australian Antarctic Division AAS project; Australian Antarctic Division</t>
  </si>
  <si>
    <t>We thank numerous field biologists, research staff and Australian Antarctic Program expeditioners who have supported Australian Antarctic Division AAS projects 2722, 4086 and 4088 by deploying, servicing and downloading cameras in the field and processing images. In particular, we thank Kym Newbery for technical support and for developing the cameras so they can withstand the harsh Antarctic environment. This work was conducted in accordance with permits issued under the Antarctic Treaty (Environmental Protection) Act 1980 and was approved by the Australian Antarctic Ethics Committee. Funding for the cameras was provided by the Australian Antarctic Division as a co-investment to the Integrated Marine Observation System. Tom Hart and an anonymous reviewer provided helpful comments on the manuscript.</t>
  </si>
  <si>
    <t>1617-1381</t>
  </si>
  <si>
    <t>1618-1093</t>
  </si>
  <si>
    <t>J NAT CONSERV</t>
  </si>
  <si>
    <t>J. Nat. Conserv.</t>
  </si>
  <si>
    <t>10.1016/j.jnc.2014.11.002</t>
  </si>
  <si>
    <t>CB6TF</t>
  </si>
  <si>
    <t>WOS:000349758900001</t>
  </si>
  <si>
    <t>McQuinn, IH; Plourde, S; St Pierre, JF; Dion, M</t>
  </si>
  <si>
    <t>McQuinn, Ian H.; Plourde, Stephane; St Pierre, Jean-Francois; Dion, Maxime</t>
  </si>
  <si>
    <t>Spatial and temporal variations in the abundance, distribution, and aggregation of krill (Thysanoessa raschii and Meganyctiphanes norvegica) in the lower estuary and Gulf of St. Lawrence</t>
  </si>
  <si>
    <t>VERTICAL MIGRATION BEHAVIOR; ANTARCTIC KRILL; EUPHAUSIA-SUPERBA; IMPROVED PARAMETERIZATION; TROPHIC INTERACTIONS; SCATTERING LAYERS; ACOUSTIC SURVEYS; NORTHERN GULF; STROBE LIGHT; AVOIDANCE</t>
  </si>
  <si>
    <t>The opportunistic collection of hydroacoustic data during multipurpose, large-scale surveys since 2000 has led to the detection of several, newly-documented krill concentrations throughout the Gulf of St. Lawrence. Based on both historical and these recent results, a series of regional-scale acoustic surveys was initiated in the northwestern Gulf and estuary to quantify the spatial and temporal variations in the regional abundance, distribution and aggregation of northern and Arctic krill. By using a recently-developed multi-frequency method to classify these two krill species, our study re-evaluated the species-specific krill distribution and abundance, previously monitored by plankton-net sampling alone. We show that Thysanoessa raschii is the more coastal species, with its center-of-mass in the shelf and slope habitats. Meganyctiphanes norvegica forms generally less dense aggregations in the slope and channel habitats. Biomass in the northwestern Gulf and estuary was split 60:40 between T. raschii and M. norvegica, and totaled 1.0 million tonnes in August 2009; substantially more than has been reported previously. This re-evaluation should have considerable impact on ecosystem models which have assumed much lower values for these important forage populations. The pattern of krill aggregations identified from large- and regional-scale surveys will have important implications for the interpretation of critical habitat for endangered marine mammals which depend on krill. Crown Copyright (C) 2014 Published by Elsevier Ltd. All rights reserved.</t>
  </si>
  <si>
    <t>[McQuinn, Ian H.; Plourde, Stephane; St Pierre, Jean-Francois] Fisheries &amp; Oceans Canada, Maurice Lamontagne Inst, Mont Joli, PQ G5H 3Z4, Canada; [Dion, Maxime] Univ Sherbrooke, Sherbrooke, PQ J1K 2R1, Canada</t>
  </si>
  <si>
    <t>Fisheries &amp; Oceans Canada; University of Sherbrooke</t>
  </si>
  <si>
    <t>McQuinn, IH (corresponding author), Fisheries &amp; Oceans Canada, Maurice Lamontagne Inst, Mont Joli, PQ G5H 3Z4, Canada.</t>
  </si>
  <si>
    <t>Dion, Maxime/0000-0003-4153-2364</t>
  </si>
  <si>
    <t>DFO Species At Risk Committee/Comite des Especes en Peril (SARCEP) Program; Ecosystem Research Initiative (ERI) Program</t>
  </si>
  <si>
    <t>The authors wish to thank Sylvain Chartrand and the late Chris Lang for technical assistance with the equipment installations including calibrations and Nancy Otis and Sophie Comtois for meticulous acoustic data editing and scrutinizing. We also wish to thank the biological oceanography teams from IML (Mont Joli) and BIO (Dartmouth) for managing the acoustic data collection in addition to their regular duties during the AZMP and bottom-trawl surveys. Funding came from the DFO Species At Risk Committee/Comite des Especes en Peril (SARCEP) and Ecosystem Research Initiative (ERI) Programs.</t>
  </si>
  <si>
    <t>10.1016/j.pocean.2014.12.014</t>
  </si>
  <si>
    <t>CC7IH</t>
  </si>
  <si>
    <t>WOS:000350540400012</t>
  </si>
  <si>
    <t>Hobbs, WR; Bindoff, NL; Raphael, MN</t>
  </si>
  <si>
    <t>Hobbs, William Richard; Bindoff, Nathaniel L.; Raphael, Marilyn N.</t>
  </si>
  <si>
    <t>New Perspectives on Observed and Simulated Antarctic Sea Ice Extent Trends Using Optimal Fingerprinting Techniques</t>
  </si>
  <si>
    <t>GLOBAL CLIMATE MODEL; CMIP5; VARIABILITY; OCEAN; CIRCULATION; PACIFIC; IMPACTS; OSCILLATION; RAINFALL; CORE</t>
  </si>
  <si>
    <t>Using optimal fingerprinting techniques, a detection analysis is performed to determine whether observed trends in Southern Ocean sea ice extent since 1979 are outside the expected range of natural variability. Consistent with previous studies, it is found that for the seasons of maximum sea ice cover (i.e., winter and early spring), the observed trends are not outside the range of natural variability and in some West Antarctic sectors they may be partially due to tropical variability. However, when information about the spatial pattern of trends is included in the analysis, the summer and autumn trends fall outside the range of internal variability. The detectable signal is dominated by strong and opposing trends in the Ross Sea and the Amundsen-Bellingshausen Sea regions. In contrast to the observed pattern, an ensemble of 20 CMIP5 coupled climate models shows that a decrease in Ross Sea ice cover would be expected in response to external forcings. The simulated decreases in the Ross, Bellingshausen, and Amundsen Seas for the autumn season are significantly different from unforced internal variability at the 95% confidence level. Unlike earlier work, the authors formally show that the simulated sea ice response to external forcing is different from both the observed trends and simulated internal variability and conclude that in general the CMIP5 models do not adequately represent the forced response of the Antarctic climate system.</t>
  </si>
  <si>
    <t>[Hobbs, William Richard; Bindoff, Nathaniel L.] Univ Tasmania, Inst Marine &amp; Antarctic Studies, Hobart, Tas 7000, Australia; [Hobbs, William Richard; Bindoff, Nathaniel L.] Australian Res Council Ctr Excellence Climate Sys, Sydney, NSW, Australia; [Bindoff, Nathaniel L.] CSIRO Marine Atmospher Res, Hobart, Tas, Australia; [Bindoff, Nathaniel L.] ACE CRC, Hobart, Tas, Australia; [Bindoff, Nathaniel L.] CAWCR, Melbourne, Vic, Australia; [Raphael, Marilyn N.] Univ Calif Los Angeles, Dept Geog, Los Angeles, CA 90024 USA</t>
  </si>
  <si>
    <t>University of Tasmania; Commonwealth Scientific &amp; Industrial Research Organisation (CSIRO); Antarctic Climate &amp; Ecosystems Cooperative Research Centre (ACE CRC); University of California System; University of California Los Angeles</t>
  </si>
  <si>
    <t>Hobbs, WR (corresponding author), Univ Tasmania, Inst Marine &amp; Antarctic Studies, Private Bag 129, Hobart, Tas 7000, Australia.</t>
  </si>
  <si>
    <t>whobbs@utas.edu.au</t>
  </si>
  <si>
    <t>Bindoff, Nathaniel Lee/IVV-0333-2023; Bindoff, Nathaniel Lee/C-8050-2011; Hobbs, Will/P-8094-2019</t>
  </si>
  <si>
    <t>Bindoff, Nathaniel Lee/0000-0001-5662-9519; Bindoff, Nathaniel Lee/0000-0001-5662-9519; Hobbs, Will/0000-0002-2061-0899</t>
  </si>
  <si>
    <t>10.1175/JCLI-D-14-00367.1</t>
  </si>
  <si>
    <t>CB5LX</t>
  </si>
  <si>
    <t>WOS:000349670000012</t>
  </si>
  <si>
    <t>Statham, TM; Mumford, KA; Rayner, JL; Stevens, GW</t>
  </si>
  <si>
    <t>Statham, Tom M.; Mumford, Kathryn A.; Rayner, John L.; Stevens, Geoffrey W.</t>
  </si>
  <si>
    <t>Removal of copper and zinc from ground water by granular zero-valent iron: A dynamic freeze-thaw permeable reactive barrier laboratory experiment</t>
  </si>
  <si>
    <t>Freeze-thaw; Heavy metals; PRB; Tracers; ZVI</t>
  </si>
  <si>
    <t>LONG-TERM PERFORMANCE; CASEY STATION; HEAVY-METALS; FIXED-BED; IN-SITU; REDUCTION; ANTARCTICA; WALL; REMEDIATION; COLUMNS</t>
  </si>
  <si>
    <t>Permeable reactive barriers (PRBs) use solution-media interactions for contaminant removal from ground and surface waters. When located in a cold region subjected to freeze-thaw cycling, these liquid-solid phase interactions may be detrimental to PRB performance. This study presents a laboratory based assessment of contaminant removal using granular zero-valent iron (ZVI) under freeze-thaw conditions. Freeze-thaw induced changes to simulated PRBs, contained within Darcy boxes, subjected to 0, 21 and 42 freeze-thaw cycles were assessed using the flow of both reactive and conservative solutions. The reactive contaminants, Cu2+ and Zn2+ ions, were removed from the pore water during solution flow and freeze-thaw cycling. The hydraulic retention time within the reactive media as assessed by a conservative tracer, decreased by 15-18% after the first set of freeze-thaw cycling and remained constant after the second set of freeze-thaw cycling. A decrease in the uniformity of the particle size distribution and the agglomeration of particles were observed; however there was no change in the hydraulic conductivity within the variance associated with the calculation method. Analysis of the solid particles suggested the contaminant metals were not concentrated in the &lt;212 mu m fines that were generated during the experiment. The results obtained suggest that ZVI is suitable for the inclusion in sequenced PRBs for the remediation of metal contaminants in cold regions. (C) 2014 Elsevier B.V. All rights reserved.</t>
  </si>
  <si>
    <t>[Statham, Tom M.; Mumford, Kathryn A.; Stevens, Geoffrey W.] Univ Melbourne, Dept Chem &amp; Biomol Engn, Particulate Fluids Proc Ctr, Melbourne, Vic 3010, Australia; [Rayner, John L.] CSIRO Land &amp; Water, Wembley, WA 6913, Australia</t>
  </si>
  <si>
    <t>University of Melbourne; Melbourne Bioinformatics; Commonwealth Scientific &amp; Industrial Research Organisation (CSIRO)</t>
  </si>
  <si>
    <t>Mumford, KA (corresponding author), Univ Melbourne, Dept Chem &amp; Biomol Engn, Particulate Fluids Proc Ctr, Melbourne, Vic 3010, Australia.</t>
  </si>
  <si>
    <t>mumfordk@unimelb.edu.au</t>
  </si>
  <si>
    <t>Rayner, John L/F-7633-2013; Mumford, Kathryn A/M-6566-2015</t>
  </si>
  <si>
    <t>Stevens, Geoffrey/0000-0002-5788-4682</t>
  </si>
  <si>
    <t>Australian Antarctic Science Grant [4029]; Australian Postgraduate Award</t>
  </si>
  <si>
    <t>Australian Antarctic Science Grant; Australian Postgraduate Award(Australian Government)</t>
  </si>
  <si>
    <t>The authors wish to thank Laura Gordon and Damian Gore for XRD analysis and interpretation, Roger Curtain for his assistance to complete the SEM and EDS analyses and Andrew Lee for the photography work. The financial support of the Australian Antarctic Science Grant 4029 is gratefully acknowledged. T.S. also acknowledges the support of an Australian Postgraduate Award. The Particulate Fluid Processing Centre (PFPC) and the Advanced Microscopy Facility at the University of Melbourne are both acknowledged for the equipment support. The manuscript was greatly improved by the comments provided by Bradley Patterson and Gregory Lekmine during CSIRO ePublish review and by anonymous reviewers at Cold Regions Science and Technology.</t>
  </si>
  <si>
    <t>10.1016/j.coldregions.2014.12.001</t>
  </si>
  <si>
    <t>CB6HD</t>
  </si>
  <si>
    <t>WOS:000349727200012</t>
  </si>
  <si>
    <t>Romero, OE; Crosta, X; Kim, JH; Pichevin, L; Crespin, J</t>
  </si>
  <si>
    <t>Romero, O. E.; Crosta, X.; Kim, J. -H.; Pichevin, L.; Crespin, J.</t>
  </si>
  <si>
    <t>Rapid longitudinal migrations of the filament front off Namibia (SE Atlantic) during the past 70 kyr</t>
  </si>
  <si>
    <t>Benguela; Diatoms; Millennial and submillennial time scale; Productivity; Sea-surface temperature; SW Atlantic; Upwelling filaments</t>
  </si>
  <si>
    <t>SOUTH-ATLANTIC; OCEAN; TEMPERATURE; LEVEL; BENGUELA; SYSTEM; PRODUCTIVITY; VARIABILITY; CIRCULATION; CALIBRATION</t>
  </si>
  <si>
    <t>Although productivity variations in coastal upwelling areas are mostly attributed to changes in wind strength, productivity dynamics in the Benguela Upwelling System (BUS) is less straightforward due to its complex atmospheric and hydrographic settings. In view of these settings, past productivity variations in the BUS can be better investigated with downcore sediments representing different productivity regimes. In this study, two sediment cores retrieved at ca. 25 degrees-26 degrees S in the BUS and representing different productivity regimes were studied. By using micropaleontological, geochemical and temperature proxies measured on core MD96-2098, recovered at 2910 m water depth in the bathypelagic zone at 26 degrees S off Namibia, variations of filament front location, productivity and temperature in the central BUS over the past 70 kyr were reconstructed. The comparison with newly-generated alkenone-based sea-surface temperature (SST) and previously obtained data at site GeoB3606-1 (similar to 25 degrees S; ca. 50 km shoreward from MD96-2098) allowed the recognition of four main phases: (1) upwelling front above the mid slope (70 kyr-44 kyr), (2) seaward displacement of the upwelling front beyond the mid slope (44 kyr-31 kyr), (3) main upwelling front over the hemipelagial (31 kyr-19 kyr), and (4) shoreward contraction of the upwelling filament, and decreased upwelling strength over most of the uppermost bathypelagic (19 kyr-6 kyr). The latitudinal migration of the Southern Hemisphere westerlies and the consequent contractions and expansions of the subpolar gyre played a significant role in millennial and submillennial variability of SST off Namibia. The strength of the southeasterly trade winds, rapid sea-level variations and the equatorward leakage of Antarctic silicate might have acted as amplifiers. Although late Quaternary variations of productivity and upwelling intensity in eastern boundary current systems are thought to be primarily linked to the variability in wind stress, this multi-parameter reconstruction shows that interplaying mechanisms defined the temporal variation pattern of the filament front migrations and the diatom production off Namibia during the past 70 kyr. (C) 2014 Elsevier B.V. All tights reserved.</t>
  </si>
  <si>
    <t>[Romero, O. E.] Univ Bremen, Ctr Marine Environm Sci, MARUM, D-28359 Bremen, Germany; [Crosta, X.; Crespin, J.] Univ Bordeaux 1, EPOC, CNRS INSU, UMR5805, Talence, France; [Kim, J. -H.] NIOZ Royal Netherlands Inst Sea Res, NL-1790 AB Den Burg, Netherlands; [Pichevin, L.] Univ Edinburgh, Grant Inst, Sch Geosci, Edinburgh EH10 3JW, Midlothian, Scotland</t>
  </si>
  <si>
    <t>University of Bremen; Centre National de la Recherche Scientifique (CNRS); Universite de Bordeaux; CNRS - National Institute for Earth Sciences &amp; Astronomy (INSU); Utrecht University; Royal Netherlands Institute for Sea Research (NIOZ); University of Edinburgh</t>
  </si>
  <si>
    <t>Romero, OE (corresponding author), Univ Bremen, Ctr Marine Environm Sci, MARUM, Leobener Str, D-28359 Bremen, Germany.</t>
  </si>
  <si>
    <t>oromero@uni-bremen.de</t>
  </si>
  <si>
    <t>Pichevin, Laetitia/0000-0003-2685-6926</t>
  </si>
  <si>
    <t>German Research Foundation (DFG); European Research Council under the European Union's Seventh Framework Program (FP7)/ERC [226600]</t>
  </si>
  <si>
    <t>German Research Foundation (DFG)(German Research Foundation (DFG)); European Research Council under the European Union's Seventh Framework Program (FP7)/ERC</t>
  </si>
  <si>
    <t>Mr. J. Villanueva performed the UK37 measurements on MD96-2098 (EPOC, Talence, France). OER was partially supported by the German Research Foundation (DFG). The research leading to these results has received funding from the European Research Council under the European Union's Seventh Framework Program (FP7/2007-2013)/ERC grant agreement no [226600], which financed J.H.K. Comments and suggestions by two anonymous reviewers greatly improved a first version of this work. Data are available in the database www.pangaea.de.</t>
  </si>
  <si>
    <t>10.1016/j.gloplacha.2014.12.001</t>
  </si>
  <si>
    <t>CB4EL</t>
  </si>
  <si>
    <t>WOS:000349580900002</t>
  </si>
  <si>
    <t>Stössel, A; Notz, D; Haumann, FA; Haak, H; Jungclaus, J; Mikolajewicz, U</t>
  </si>
  <si>
    <t>Stoessel, Achim; Notz, Dirk; Haumann, F. Alexander; Haak, Helmuth; Jungclaus, Johann; Mikolajewicz, Uwe</t>
  </si>
  <si>
    <t>Controlling high-latitude Southern Ocean convection in climate models</t>
  </si>
  <si>
    <t>High-latitude Southern Ocean; Climate models; Surface buoyancy fluxes; Convection; Sea ice</t>
  </si>
  <si>
    <t>ANTARCTIC SEA-ICE; FRESH-WATER FLUX; INTERNAL VARIABILITY; CIRCUMPOLAR CURRENT; MEAN CIRCULATION; WEDDELL POLYNYA; DEEP CONVECTION; CMIP5 MODELS; TRANSPORT; SENSITIVITY</t>
  </si>
  <si>
    <t>Earth System Models (ESMs) generally suffer from a poor simulation of the High-Latitude Southern Ocean (HLSO). Here we aim at a better understanding of the shortcomings by investigating the sensitivity of the HLSO to the external freshwater flux and the horizontal resolution in forced and coupled simulations with the Max-Planck-Institute Ocean Model (MPIOM). Forced experiments reveal an immediate reduction of open-ocean convection with additional freshwater input. The latter leads to a remarkably realistic simulation of the distinct water-mass structure in the central Weddell Sea featuring a temperature maximum of +0.5 degrees C at 250 m depth. Similar, but more modest improvements occur over a time span of 40 years after switching from a forced to a coupled simulation with an eddy-resolving version of MPIOM. The switch is accompanied with pronounced changes of the external freshwater flux and the wind field, as well as a more realistic heat flux due to coupling. Similar to the forced freshwater-flux experiments, a heat reservoir develops at depth, which in turn decreases the vertically integrated density of the HLSO and reduces the Antarctic Circumpolar Current to rather realistic values. Coupling with a higher resolution version of the atmosphere model (ECHAM6) yields distinct improvements of the HLSO water-mass structure and sea-ice cover. While the coupled simulations reveal a realistic amount of Antarctic runoff, its distribution appears too concentrated along the coast. Spreading the runoff over a wider region, as suggested in earlier studies to mimic the effect of freshwater transport through icebergs, also leads to noticeable improvements of the HLSO water-mass properties, predominantly along the coast. This suggests that the spread of the runoff improves the representation of Antarctic Bottom Water formation through enhanced near-boundary convection rather than weakened open-ocean convection. (C) 2014 Elsevier Ltd. All rights reserved.</t>
  </si>
  <si>
    <t>[Stoessel, Achim] Texas A&amp;M Univ, Dept Oceanog, College Stn, TX 77843 USA; [Notz, Dirk; Haak, Helmuth; Jungclaus, Johann; Mikolajewicz, Uwe] Max Planck Inst Meteorol, D-20146 Hamburg, Germany; [Haumann, F. Alexander] Swiss Fed Inst Technol, Inst Biogeochem &amp; Pollutant Dynam, Zurich, Switzerland; [Haumann, F. Alexander] Swiss Fed Inst Technol, Ctr Climate Syst Modeling, Zurich, Switzerland</t>
  </si>
  <si>
    <t>Texas A&amp;M University System; Texas A&amp;M University College Station; Max Planck Society; Swiss Federal Institutes of Technology Domain; ETH Zurich; Swiss Federal Institutes of Technology Domain; ETH Zurich</t>
  </si>
  <si>
    <t>Stössel, A (corresponding author), Texas A&amp;M Univ, Dept Oceanog, College Stn, TX 77843 USA.</t>
  </si>
  <si>
    <t>Notz, Dirk/P-4428-2017; Haumann, Alexander/J-6679-2014</t>
  </si>
  <si>
    <t>Notz, Dirk/0000-0003-0365-5654; Haumann, Alexander/0000-0002-8218-977X</t>
  </si>
  <si>
    <t>Max Planck Society; ETH Research Grant [CH2-01 11-1]</t>
  </si>
  <si>
    <t>Max Planck Society(Max Planck Society); ETH Research Grant</t>
  </si>
  <si>
    <t>Thanks are due to Jin-Song v. Storch, Stephan Lorenz, and Stephanie Legutke for fruitful discussions and suggestions on this research. Furthermore, we thank Irina Fast for providing links and information on some of the data files that were analyzed. Thanks are also due to 2 anonymous reviewers for their valuable comments on the manuscript. The first author was funded through stipends from the Max Planck Society while on faculty development leave from Texas A&amp;M University and during summer terms. F.A.H. is supported by ETH Research Grant CH2-01 11-1.</t>
  </si>
  <si>
    <t>10.1016/j.ocemod.2014.11.008</t>
  </si>
  <si>
    <t>CB5VL</t>
  </si>
  <si>
    <t>WOS:000349695700004</t>
  </si>
  <si>
    <t>Sun, JN; Kan, FF; Liu, P; He, S; Mou, HJ; Xue, CH; Mao, XZ</t>
  </si>
  <si>
    <t>Sun, Jianan; Kan, Feifei; Liu, Pei; He, Shuai; Mou, Haijin; Xue, Changhu; Mao, Xiangzhao</t>
  </si>
  <si>
    <t>Screening of Microorganisms from Deep-Sea Mud for Antarctic Krill (Euphausia superba) Fermentation and Evaluation of the Bioactive Compounds</t>
  </si>
  <si>
    <t>Antarctic krill; Deep-sea mud; Microorganisms; Bioconversion; Bioactive compounds; Antioxidant activity</t>
  </si>
  <si>
    <t>BACILLUS-LICHENIFORMIS; ANTIOXIDANT ACTIVITY; SQUID PEN; SERRATIA-UREILYTICA; MINERAL-COMPOSITION; SERINE-PROTEASE; AMINO-ACIDS; CHITIN; PURIFICATION; EXTRACTION</t>
  </si>
  <si>
    <t>Twelve kinds of strains were isolated from deep-sea mud which can use Antarctic krill powder as the sole carbon/nitrogen source. These strains were identified by 16s rDNA sequence analysis and grouped into eight different genera, including Bacillus, Shewanella, Psychrobacter, Klebsiella, Macrococcus, Aeromonas, Acinetobacter, and Saccharomyces. After fermentation of Antarctic krill powder using these strains, bioactive compounds including total phenolics, free amino acids, and enzyme activities were investigated. Meanwhile, antioxidant activities of the fermentation liquors were also detected. Results showed that bioactive compounds could be effectively produced through fermentation process by these strains, of which three strains (Bacillus subtilis OKF04, Macrococcus caseolyticus OKF09, and Aeromonas veronii OKF10) could produce more than 650 mg/L total phenolics or 2000 mg/L total free amino acids. In terms of enzyme activities, almost all of the strains showed protease activity and amylase activity, but only Bacillus cereus OKF01 and Bacillus megaterium OKF05 performed lipase activity and chitinase activity, respectively. All of the fermentation liquors showed antioxidant activity, within which Bacillus megaterium OKF05, Macrococcus caseolyticus OKF09, and Aeromonas veronii OKF10 displayed it more prominently. These results demonstrate that the Antarctic krill powder could be effectively converted by microorganisms isolated from deep-sea mud for production of bioactive compounds mixture.</t>
  </si>
  <si>
    <t>[Sun, Jianan; Kan, Feifei; Liu, Pei; He, Shuai; Mou, Haijin; Xue, Changhu; Mao, Xiangzhao] Ocean Univ China, Coll Food Sci &amp; Engn, Qingdao 266003, Peoples R China; [Kan, Feifei] Qingdao Univ Technol, Coll Food Engn, Qingdao 266300, Peoples R China</t>
  </si>
  <si>
    <t>Ocean University of China; Qingdao University of Technology</t>
  </si>
  <si>
    <t>Mao, XZ (corresponding author), Ocean Univ China, Coll Food Sci &amp; Engn, Qingdao 266003, Peoples R China.</t>
  </si>
  <si>
    <t>xzhmao@ouc.edu.cn</t>
  </si>
  <si>
    <t>Mou, Haijin/I-8567-2018; Liu, Pei/IQS-6195-2023</t>
  </si>
  <si>
    <t>Liu, Pei/0000-0003-1440-8851; He, Shuai/0009-0008-3269-2028</t>
  </si>
  <si>
    <t>China Postdoctoral Science Foundation [2012M511550]; Fundamental Research Funds for the Central Universities [201262021, 201362041]; Shandong Postdoctoral Science Foundation [201103015]; Program for Changjiang Scholars and Innovative Research Team in University (PCSIRT) [IRT1188]</t>
  </si>
  <si>
    <t>China Postdoctoral Science Foundation(China Postdoctoral Science Foundation); Fundamental Research Funds for the Central Universities(Fundamental Research Funds for the Central Universities); Shandong Postdoctoral Science Foundation(China Postdoctoral Science Foundation); Program for Changjiang Scholars and Innovative Research Team in University (PCSIRT)(Program for Changjiang Scholars &amp; Innovative Research Team in University (PCSIRT))</t>
  </si>
  <si>
    <t>This work was supported by China Postdoctoral Science Foundation (No. 2012M511550), Fundamental Research Funds for the Central Universities (Nos. 201262021 and 201362041), Shandong Postdoctoral Science Foundation (No. 201103015), and Program for Changjiang Scholars and Innovative Research Team in University (PCSIRT, IRT1188).</t>
  </si>
  <si>
    <t>10.1007/s12010-014-1403-3</t>
  </si>
  <si>
    <t>CB1PA</t>
  </si>
  <si>
    <t>WOS:000349398800033</t>
  </si>
  <si>
    <t>Lock, JA</t>
  </si>
  <si>
    <t>Lock, James A.</t>
  </si>
  <si>
    <t>35 minute green flash observed at Little America on 16 October 1929: a retrospective study</t>
  </si>
  <si>
    <t>APPLIED OPTICS</t>
  </si>
  <si>
    <t>SUNSET SCIENCE; MIRAGE</t>
  </si>
  <si>
    <t>On 16 October 1929 five members of the Byrd Expedition 1 observed an intermittent 35 min green flash at the Little America station (latitude-78.57 degrees) in Antarctica. The flash was the result of strong atmospheric refraction, likely associated with a subcritical Novaya Zemlya mirage. This paper examines the constraints placed on the observation by the Earth-Sun orbital kinematics. It is found that the length of the observation cannot be explained solely by the slowness of the setting rate of the Sun, nor the time required just before the beginning of the Antarctic summer for the top of the Sun to set, reach its relative minimum position at the horizon, and then rise back up again. The observed length of the effect, however, is consistent with the Sun effectively setting twice and rising twice during the observation, with the first effective rising being the result of the observers climbing up the radio towers at the Little America station in order to keep the top of the Sun in view. (C) 2014 Optical Society of America</t>
  </si>
  <si>
    <t>Cleveland State Univ, Dept Phys, Cleveland, OH 44115 USA</t>
  </si>
  <si>
    <t>University System of Ohio; Cleveland State University</t>
  </si>
  <si>
    <t>Lock, JA (corresponding author), Cleveland State Univ, Dept Phys, Cleveland, OH 44115 USA.</t>
  </si>
  <si>
    <t>j.lock@csuohio.edu</t>
  </si>
  <si>
    <t>OPTICAL SOC AMER</t>
  </si>
  <si>
    <t>2010 MASSACHUSETTS AVE NW, WASHINGTON, DC 20036 USA</t>
  </si>
  <si>
    <t>1559-128X</t>
  </si>
  <si>
    <t>2155-3165</t>
  </si>
  <si>
    <t>APPL OPTICS</t>
  </si>
  <si>
    <t>Appl. Optics</t>
  </si>
  <si>
    <t>FEB 1</t>
  </si>
  <si>
    <t>B54</t>
  </si>
  <si>
    <t>B63</t>
  </si>
  <si>
    <t>10.1364/AO.54.000B54</t>
  </si>
  <si>
    <t>Optics</t>
  </si>
  <si>
    <t>CA8II</t>
  </si>
  <si>
    <t>WOS:000349161300009</t>
  </si>
  <si>
    <t>Fiddes, SL; Pezza, AB; Barras, V</t>
  </si>
  <si>
    <t>Fiddes, Sonya Louise; Pezza, Alexandre Bernardes; Barras, Vaughan</t>
  </si>
  <si>
    <t>Synoptic climatology of extreme precipitation in alpine Australia</t>
  </si>
  <si>
    <t>extreme; snowfall; rainfall; precipitation; Australia; alpine; synoptic</t>
  </si>
  <si>
    <t>EAST-COAST CYCLONES; BLOCKING EPISODES; EL-NINO; VARIABILITY; RAINFALL; EVENTS; IMPACT</t>
  </si>
  <si>
    <t>Extreme precipitation over the eastern Australia can be significantly enhanced by topographic interaction with the westerly flow. These extreme events can cause severe flooding, damage and disruption to human activities, yet in some areas they are also an invaluable source of water and snow. In this study, we use rain gauge and snowfall accumulation data to investigate connections between extreme rain and snow in alpine Australia and the large-scale climate. These data have been divided into three geographical locations: the west of the mountains, the ridgeline and the east of the mountains in order to explore the nature of precipitation in each region. The results confirm previous synoptic patterns found earlier in the literature for the western slopes (namely embedded and cutoff lows), and add new insights into the different processes conducive to extreme precipitation on the eastern side of the ranges, which we find to be mostly associated with a blocking structure connected to polar latitudes. Interestingly, our analyses suggests that while a La Nina pattern accompanied by enhanced meridional sea surface temperature (SST) gradients over mid-latitudes is associated with extreme events in the western and high regions, the extreme precipitation composites for the eastern region are associated with a SST pattern that resembles the predominant signal associated with global warming in the Australian region. We hypothesize that while the western and high regions rely on SST gradients, which enhance the westerly jet, the extreme events over the eastern side rely on blocking patterns (anomalous easterlies), which are at least partially responding to the global SST warming with the respective shift of the westerlies to the south. These results help explain why the precipitation over the western side of the Alps is declining more rapidly than the total precipitation observed on the eastern side.</t>
  </si>
  <si>
    <t>[Fiddes, Sonya Louise; Pezza, Alexandre Bernardes; Barras, Vaughan] Univ Melbourne, Sch Earth Sci, Parkville, Vic 3010, Australia</t>
  </si>
  <si>
    <t>S. Fiddes and A. Pezza would like to acknowledge and thank Blair Trewin (BOM), Falls Creek Resort Management Board/Falls Creek Ski Lift Company, Mount Hotham Resort Management, Mount Buller and Mount Stirling Resort Management/Mount Buller Ski Lift PTY LTD and the Alpine Resorts Coordinating Council for access to the rainfall and snowfall data used in this study. A. Pezza would also like to thank the Australian Antarctic Division for funding parts of this work. The author's have no conflicts of interest to declare.</t>
  </si>
  <si>
    <t>10.1002/joc.3970</t>
  </si>
  <si>
    <t>CB5JP</t>
  </si>
  <si>
    <t>WOS:000349663600002</t>
  </si>
  <si>
    <t>Foster, SD; Dunstan, PK; Althaus, F; Williams, A</t>
  </si>
  <si>
    <t>Foster, Scott D.; Dunstan, Piers K.; Althaus, Franziska; Williams, Alan</t>
  </si>
  <si>
    <t>The cumulative effect of trawl fishing on a multispecies fish assemblage in south-eastern Australia</t>
  </si>
  <si>
    <t>JOURNAL OF APPLIED ECOLOGY</t>
  </si>
  <si>
    <t>cumulative impacts; ecosystem-based fisheries management; fish assemblage; multispecies; species archetype model; species traits; trawl fishing</t>
  </si>
  <si>
    <t>MARINE; COMMUNITY; MATURITY; GROUNDS; IMPACTS; HABITAT; SHARKS; GULF; SIZE; AGE</t>
  </si>
  <si>
    <t>Understanding the effect of anthropogenic pressure on animal assemblages over time is a challenging problem that integrates human activities and community ecology. Our ability to make informed decisions for managing pressures depends on estimating their ecological effects, and a rigorous and objective approach should be used. There are three requirements for this type of approach to be successful: sufficient biological and ecological data, congruent data describing human activity and an appropriate statistical method that can link the ecological information to the pressures. In this work, we explore the effects of cumulative bottom-trawl fishing on fish assemblages over a 20-year period. The analysis captures assemblage responses during the early period of the fishery's development and shows the changes in the abundance of many species as a small and coherent set of archetypical' responses to cumulative pressure. The effect of the cumulative pressure is heterogeneous: some archetypical responses show consistent decline with increased fishing effort, some are less sensitive, and some show an increase in abundance. Some, but not all, archetypical response groups are composed of species with similar ecological and life-history traits. Most obviously, the archetype showing greatest decline in abundance is made up of species that have the highest mean values of generation time, oldest age at maturity and longest life span. Applications of the methods include identifying spatially explicit system-level trade-offs - between species, species groups (archetypes) and fishery subareas - for ecosystem-based management.Synthesis and applications The impact of fishing pressure, accumulated over time, induces heterogeneous patterns of change in fish assemblage composition. The patterns of change are grouped into archetypical response groups' to provide an interpretable and robust description. The composition of the species groups show that life-history traits are indicative but do not always provide a complete description of how a species might respond to the pressure. The impact of fishing pressure, accumulated over time, induces heterogeneous patterns of change in fish assemblage composition. The patterns of change are grouped into archetypical response groups' to provide an interpretable and robust description. The composition of the species groups show that life-history traits are indicative but do not always provide a complete description of how a species might respond to the pressure.</t>
  </si>
  <si>
    <t>[Foster, Scott D.; Dunstan, Piers K.; Althaus, Franziska; Williams, Alan] CSIRO, Wealth Ocean Flagship, Hobart, Tas, Australia</t>
  </si>
  <si>
    <t>Commonwealth Scientific &amp; Industrial Research Organisation (CSIRO)</t>
  </si>
  <si>
    <t>Foster, SD (corresponding author), CSIRO, Wealth Ocean Flagship, Hobart, Tas, Australia.</t>
  </si>
  <si>
    <t>scott.foster@csiro.au</t>
  </si>
  <si>
    <t>Williams, Alan/C-6999-2012; Althaus, Franziska/B-6873-2015; Althaus, Franziska/E-4660-2017; Foster, Scott/E-9311-2010; Dunstan, Piers/B-7309-2016</t>
  </si>
  <si>
    <t>Williams, Alan/0000-0002-2867-7713; Althaus, Franziska/0000-0002-5336-4612; Foster, Scott/0000-0002-6719-8002; Dunstan, Piers/0000-0002-2568-5945</t>
  </si>
  <si>
    <t>Marine Biodiversity Hub; Australian Government's National Environmental Research Program (NERP)</t>
  </si>
  <si>
    <t>Marine Biodiversity Hub; Australian Government's National Environmental Research Program (NERP)(Australian Government)</t>
  </si>
  <si>
    <t>We would especially like to acknowledge Ken Graham for his vision and long-term dedication to upgrading and quality assuring the Kapala data. He continued this work long after his formal association with the New South Wales Fisheries Department had concluded, and the result is one of the few high-quality, time-series data sets available for Australia's fisheries. We would also like to acknowledge Roland Pitcher, Mike Fuller, Nic Bax, Ross Darnell and two anonymous reviewers. This work was supported by the Marine Biodiversity Hub, a collaborative partnership supported through funding from the Australian Government's National Environmental Research Program (NERP). NERP Marine Biodiversity Hub partners include the Institute for Marine and Antarctic Studies, University of Tasmania; CSIRO Wealth from Oceans National Flagship, Geosciences Australia, Australian Institute of Marine Science, Museum Victoria, Charles Darwin University and the University of Western Australia.</t>
  </si>
  <si>
    <t>0021-8901</t>
  </si>
  <si>
    <t>1365-2664</t>
  </si>
  <si>
    <t>J APPL ECOL</t>
  </si>
  <si>
    <t>J. Appl. Ecol.</t>
  </si>
  <si>
    <t>10.1111/1365-2664.12353</t>
  </si>
  <si>
    <t>CA2LU</t>
  </si>
  <si>
    <t>WOS:000348740800015</t>
  </si>
  <si>
    <t>Yoder, JA; Benoit, JB; Nelson, BW; Main, LR; Bossley, JP</t>
  </si>
  <si>
    <t>Yoder, Jay A.; Benoit, Joshua B.; Nelson, Blake W.; Main, Leighanne R.; Bossley, Jon P.</t>
  </si>
  <si>
    <t>Behavioral correction to prevent overhydration and increase survival by larvae of the net-spinning caddisflies in relation to water flow</t>
  </si>
  <si>
    <t>JOURNAL OF EXPERIMENTAL BIOLOGY</t>
  </si>
  <si>
    <t>Water exchange; Hyperosmotic; Attraction; Freshwater; Biological indicator</t>
  </si>
  <si>
    <t>HYDROPSYCHE-MOROSA TRICHOPTERA; GLOSSINA-PALLIDIPES DIPTERA; THERMAL TOLERANCE; ANTARCTIC MIDGE; BALANCE; TEMPERATURE; OSMOREGULATION; MAINTENANCE; MECHANISMS; HUMIDITY</t>
  </si>
  <si>
    <t>We report behavioral regulation of body water content in caddisfly larvae, Hydropsyche morosa and Cheumatopsyche pettiti, by selecting microhabitats with different water flow rates. The purpose of our study was to examine features necessary for survival in the same apparent habitat, because the two species co- exist in riffle areas of freshwater streams. Both species are highly sensitive to water loss as a result of high water loss rates and depend on immersion in fresh water (hypo-osmotic) to maintain water stores. In contrast to C. pettiti, H. morosa is larger, retains water more effectively, and features reduced water loss rates with suppressed activation energies. When H. morosa was confined to areas of low or no water flow, overhydration led to rapid mortality, whereas the same conditions favored water balance maintenance and survival in C. pettiti. In attraction bioassays, H. morosa moved and remained within areas of high water flow and C. pettiti preferred areas with low water flow. Because water flow rates are unlikely to directly impact water gain, the mechanism responsible for increased survival and water balance maintenance is likely related to the impact of water flow on oxygen availability, differences in feeding ecology, or other underlying factors.</t>
  </si>
  <si>
    <t>[Yoder, Jay A.; Nelson, Blake W.; Main, Leighanne R.] Wittenberg Univ, Dept Biol, Springfield, OH 45501 USA; [Benoit, Joshua B.] Univ Cincinnati, Dept Biol Sci, Cincinnati, OH 45221 USA; [Bossley, Jon P.] Ohio State Univ, Environm Sci Grad Program, Columbus, OH 43210 USA</t>
  </si>
  <si>
    <t>University System of Ohio; Wittenberg University; University System of Ohio; University of Cincinnati; University System of Ohio; Ohio State University</t>
  </si>
  <si>
    <t>Benoit, JB (corresponding author), Univ Cincinnati, Dept Biol Sci, Cincinnati, OH 45221 USA.</t>
  </si>
  <si>
    <t>joshua.benoit@uc.edu</t>
  </si>
  <si>
    <t>Bossley, Jon/GRY-7174-2022</t>
  </si>
  <si>
    <t>Wittenberg University</t>
  </si>
  <si>
    <t>Funding for this project was provided, in part, by research grants to B. W. N. and L. R. M. from Wittenberg University.</t>
  </si>
  <si>
    <t>COMPANY BIOLOGISTS LTD</t>
  </si>
  <si>
    <t>BIDDER BUILDING, STATION RD, HISTON, CAMBRIDGE CB24 9LF, ENGLAND</t>
  </si>
  <si>
    <t>0022-0949</t>
  </si>
  <si>
    <t>1477-9145</t>
  </si>
  <si>
    <t>J EXP BIOL</t>
  </si>
  <si>
    <t>J. Exp. Biol.</t>
  </si>
  <si>
    <t>10.1242/jeb.110684</t>
  </si>
  <si>
    <t>Biology</t>
  </si>
  <si>
    <t>Life Sciences &amp; Biomedicine - Other Topics</t>
  </si>
  <si>
    <t>CB1QZ</t>
  </si>
  <si>
    <t>WOS:000349404300013</t>
  </si>
  <si>
    <t>Kilbourne, BF; Girton, JB</t>
  </si>
  <si>
    <t>Kilbourne, Byron F.; Girton, James B.</t>
  </si>
  <si>
    <t>Quantifying High-Frequency Wind Energy Flux into Near-Inertial Motions in the Southeast Pacific</t>
  </si>
  <si>
    <t>MIXED-LAYER; INTERNAL WAVES; FOURIER-TRANSFORM; VELOCITY PROFILES; PROPAGATION; CURRENTS; MODELS; SEA</t>
  </si>
  <si>
    <t>Wind-forced internal waves close to the inertial frequency are ubiquitous throughout the world's oceans, but observational constraints on their global energetics and impact on subsurface mixing remain scarce. This study reports on velocity measurements from three Electromagnetic Autonomous Profiling Explorers (EM-APEX) deployed in February 2009. These floats observed downward-propagating near-inertial internal waves near the Subantarctic and Polar Fronts of the Antarctic Circumpolar Current. These waves were episodic and enhanced at middepth between 500 and 1000 m. Depth-integrated kinetic energy varied between 1 and 7 kJ m(-2) and averaged 1.6 kJ m(-2) with typical group velocities of 40m day(-1), implying an average energy flux of 3mW m(-2) at the mixed layer base decreasing to approximately 25% of that value at 1500 m. Modeled currents forced by reanalysis winds along each float track agree with observed surface currents from EM-APEX, provided that mixed layer depth is restricted to the layer of weakest observable stratification (interpreted as the maximum depth that can remain mixed over an inertial period given the continual balance between mixing and restratification). This model estimates an average wind power of 3mW m(-2). Shipboard wind and current observations during a strong storm show an integrated wind work of 3.5 kJ m(-2), comparable to the vertically integrated kinetic energy over the following month. Model wind work estimates are considerably less, likely because of the mixed layer depth used. A model with varying stratification in response to the wind provides a better match to the observations, emphasizing the importance of stratification within the mixed layer in amplifying wind energy input.</t>
  </si>
  <si>
    <t>[Kilbourne, Byron F.] Univ Washington, Sch Oceanog, Seattle, WA 98195 USA; [Girton, James B.] Univ Washington, Appl Phys Lab, Seattle, WA 98105 USA</t>
  </si>
  <si>
    <t>University of Washington; University of Washington Seattle; University of Washington; University of Washington Seattle</t>
  </si>
  <si>
    <t>Kilbourne, BF (corresponding author), Univ Washington, Sch Oceanog, Box 357940, Seattle, WA 98195 USA.</t>
  </si>
  <si>
    <t>bkilbour@u.washington.edu</t>
  </si>
  <si>
    <t>NSF [OCE0623177, OCE1129564]; Division Of Ocean Sciences; Directorate For Geosciences [1129564] Funding Source: National Science Foundation</t>
  </si>
  <si>
    <t>NSF(National Science Foundation (NSF)); Division Of Ocean Sciences; Directorate For Geosciences(National Science Foundation (NSF)NSF - Directorate for Geosciences (GEO))</t>
  </si>
  <si>
    <t>We gratefully acknowledge the use of several freely available global datasets. NCEP reanalysis 2 data were provided by the NOAA/OAR/ESRL PSD, Boulder, Colorado. CCMP wind was provided by NASA/JPL PODAAC. The QuikSCAT data used in this study are distributed from the NASA/JPL PODAAC and Remote Sensing Systems. Sea surface altimeter products were produced by Ssalto/Duacs and distributed by AVISO with support from CNES. Thanks to Dr. Eric Kunze providing essential scientific and editorial advice. Useful comments were provided by Brian Chinn and Andy Pickering. Many thanks to the captain and crew of the R/V Roger Revelle. This research was funded through NSF Grants OCE0623177 and OCE1129564.</t>
  </si>
  <si>
    <t>10.1175/JPO-D-14-0076.1</t>
  </si>
  <si>
    <t>CB3RO</t>
  </si>
  <si>
    <t>WOS:000349546200004</t>
  </si>
  <si>
    <t>Voet, G; Girton, JB; Alford, MH; Carter, GS; Klymak, JM; Mickett, JB</t>
  </si>
  <si>
    <t>Voet, Gunnar; Girton, James B.; Alford, Matthew H.; Carter, Glenn S.; Klymak, Jody M.; Mickett, John B.</t>
  </si>
  <si>
    <t>Pathways, Volume Transport, and Mixing of Abyssal Water in the Samoan Passage</t>
  </si>
  <si>
    <t>ANTARCTIC BOTTOM WATER; DOPPLER CURRENT PROFILERS; SEA-LEVEL RISE; GLOBAL ABYSSAL; PACIFIC-OCEAN; NORTH PACIFIC; DEEP-WATER; FLOW; TURBULENCE; HEAT</t>
  </si>
  <si>
    <t>The flow of dense water through the Samoan Passage accounts for the major part of the bottom water renewal in the North Pacific and is thus an important element of the Pacific meridional overturning circulation. A recent set of highly resolved measurements used CTD/LADCP, a microstructure profiler, and moorings to constrain the complex pathways and variability of the abyssal flow. Volume transport estimates for the dense northward current at several sections across the passage, calculated using direct velocity measurements from LADCPs, range from 3.9x10(6) to 6.0 x 10(6) +/- 1 x 10(6) m(3) s(-1). The deep channel to the east and shallower pathways to the west carried about equal amounts of this volume transport, with the densest water flowing along the main eastern channel. Turbulent dissipation rates estimated from Thorpe scales and direct microstructure agree to within a factor of 2 and provide a region-averaged value of O(10(-8)) Wkg(-1) for layers colder than 0.8 degrees C. Associated diapycnal diffusivities and downward turbulent heat fluxes are about 5 x 10(-3) m(2) s(-1) and O(10) Wm(-2), respectively. However, heat budgets suggest heat fluxes 2-6 times greater. In the vicinity of one of the major sills of the passage, highly resolved Thorpe-inferred diffusivity and heat flux were over 10 times larger than the region-averaged values, suggesting the mismatch is likely due to undersampled mixing hotspots.</t>
  </si>
  <si>
    <t>[Voet, Gunnar; Girton, James B.; Alford, Matthew H.; Mickett, John B.] Univ Washington, Appl Phys Lab, Seattle, WA 98105 USA; [Carter, Glenn S.] Univ Hawaii, Honolulu, HI 96822 USA; [Klymak, Jody M.] Univ Victoria, Victoria, BC, Canada</t>
  </si>
  <si>
    <t>University of Washington; University of Washington Seattle; University of Hawaii System; University of Victoria</t>
  </si>
  <si>
    <t>Voet, G (corresponding author), Univ Calif San Diego, Scripps Inst Oceanog, 8851 Shellback Way, La Jolla, CA 92093 USA.</t>
  </si>
  <si>
    <t>gvoet@ucsd.edu</t>
  </si>
  <si>
    <t>Klymak, Jody M/A-3041-2008; Voet, Gunnar/GRO-4087-2022</t>
  </si>
  <si>
    <t>Klymak, Jody M/0000-0003-4612-8600; Voet, Gunnar/0000-0003-1975-186X</t>
  </si>
  <si>
    <t>National Science Foundation [OCE-1029268, OCE-1029483]; Division Of Ocean Sciences; Directorate For Geosciences [1029483] Funding Source: National Science Foundation; Division Of Ocean Sciences; Directorate For Geosciences [1029268] Funding Source: National Science Foundation</t>
  </si>
  <si>
    <t>National Science Foundation(National Science Foundation (NSF)); Division Of Ocean Sciences; Directorate For Geosciences(National Science Foundation (NSF)NSF - Directorate for Geosciences (GEO)); Division Of Ocean Sciences; Directorate For Geosciences(National Science Foundation (NSF)NSF - Directorate for Geosciences (GEO))</t>
  </si>
  <si>
    <t>The authors thank Eric Boget for his exemplary assistance in designing, deploying, and recovering the moorings; Keith Magness, Janna Kohler, Andrew Cookson, Zoe Parsons, Andy Pickering, Kelly Pearson, Tessa Tafua, and Deepika Goundar for their assistance in making the measurements; and the captain and crew of the R/V Revelle for their skill in handling and operating the vessel, without which these measurements would not have been possible. Daniel Rudnick kindly provided previous mooring data. Comments from two anonymous reviewers are greatly appreciated. This work was funded by the National Science Foundation under Grants OCE-1029268 and OCE-1029483.</t>
  </si>
  <si>
    <t>10.1175/JPO-D-14-0096.1</t>
  </si>
  <si>
    <t>WOS:000349546200015</t>
  </si>
  <si>
    <t>Schoenrock, KM; Amsler, CD; McClintock, JB; Baker, BJ</t>
  </si>
  <si>
    <t>Schoenrock, Kathryn M.; Amsler, Charles D.; McClintock, James B.; Baker, Bill J.</t>
  </si>
  <si>
    <t>Life history bias in endophyte infection of the Antarctic rhodophyte, Iridaea cordata</t>
  </si>
  <si>
    <t>BOTANICA MARINA</t>
  </si>
  <si>
    <t>Antarctica; endophyte; Iridaea cordata; life history; symbioses</t>
  </si>
  <si>
    <t>CHONDRUS-CRISPUS RHODOPHYTA; MAZZAELLA-LAMINARIOIDES RHODOPHYTA; ACROCHAETE-OPERCULATA; RED ALGA; GIGARTINACEAE; POPULATIONS; GAMETOPHYTES; STRATEGY; SURVIVAL; DISEASES</t>
  </si>
  <si>
    <t>Endophytic organisms are known to have varied effects on their host organism in terrestrial and marine environments. In previous studies on marine algae, these symbioses range from innocuous to pathogenic depending on the host and endophyte species. The present study further assessed a pathogenic relationship between filamentous algal endophytes and a red algal host from the western Antarctic Peninsula. We analyzed endophyte presence (appearance of filamentous thalli) in the three life history stages of Iridaea cordata and potential impacts on fertility in the fertilized female gametophytes (carposporophytes) and tetrasporophytes. We found that endophytes proliferate throughout significantly more thallus area in tetrasporophyte and unfertilized gametophyte hosts than in carposporophyte hosts, but there was no correlation between endophyte cover and fertility in these individuals. This study also provides a demographic analysis of I. cordata populations surrounding Palmer Station, Antarctica, showing that these populations are haploid dominated (similar to 78% of individuals). The differential presence of filamentous algal endophytes indicates that endophyte pathogenicity indirectly has greater effect on tetrasporophytes and unfertilized gametophytes than on the carposporophytes, which house the products of sexual recombination.</t>
  </si>
  <si>
    <t>[Schoenrock, Kathryn M.; Amsler, Charles D.; McClintock, James B.] Univ Alabama Birmingham, Birmingham, AL 35294 USA; [Baker, Bill J.] Univ S Florida, Tampa, FL 33620 USA</t>
  </si>
  <si>
    <t>University of Alabama System; University of Alabama Birmingham; State University System of Florida; University of South Florida</t>
  </si>
  <si>
    <t>Schoenrock, KM (corresponding author), Univ Alabama Birmingham, 1300 Univ Blvd,CH 464, Birmingham, AL 35294 USA.</t>
  </si>
  <si>
    <t>ksrock@uab.edu</t>
  </si>
  <si>
    <t>Baker, Bill/N-4312-2019; Schoenrock, Kathryn/B-9082-2018</t>
  </si>
  <si>
    <t>Amsler, Charles/0000-0002-4843-3759; Schoenrock, Kathryn/0000-0002-0407-3173</t>
  </si>
  <si>
    <t>Antarctic Organisms and Ecosystems program [ANT-0838773, ANT-0828776]</t>
  </si>
  <si>
    <t>Antarctic Organisms and Ecosystems program(National Science Foundation (NSF)NSF - Directorate for Geosciences (GEO))</t>
  </si>
  <si>
    <t>This work was supported by National Science Foundation awards ANT-0838773 (CDA, JBM) and ANT-0828776 (BJB) from the Antarctic Organisms and Ecosystems program. Field support was provided by the Raytheon Polar Services/Antarctic Service Contract staff of Palmer Station and the University of Alabama at Birmingham/University of South Florida field teams, including Maggie Amsler, Julie Schram, Ruth McDowell, and Jackie (von Salm) Fries.</t>
  </si>
  <si>
    <t>WALTER DE GRUYTER GMBH</t>
  </si>
  <si>
    <t>GENTHINER STRASSE 13, D-10785 BERLIN, GERMANY</t>
  </si>
  <si>
    <t>0006-8055</t>
  </si>
  <si>
    <t>1437-4323</t>
  </si>
  <si>
    <t>BOT MAR</t>
  </si>
  <si>
    <t>Bot. Marina</t>
  </si>
  <si>
    <t>10.1515/bot-2014-0085</t>
  </si>
  <si>
    <t>CA7KN</t>
  </si>
  <si>
    <t>WOS:000349096300001</t>
  </si>
  <si>
    <t>Ferter, K; Hartmann, K; Kleiven, AR; Moland, E; Olsen, EM</t>
  </si>
  <si>
    <t>Ferter, Keno; Hartmann, Klaas; Kleiven, Alf Ring; Moland, Even; Olsen, Esben Moland</t>
  </si>
  <si>
    <t>Catch-and-release of Atlantic cod (Gadus morhua): post-release behaviour of acoustically pretagged fish in a natural marine environment</t>
  </si>
  <si>
    <t>CANADIAN JOURNAL OF FISHERIES AND AQUATIC SCIENCES</t>
  </si>
  <si>
    <t>BONEFISH ALBULA SPP.; RECREATIONAL FISHERIES; PHYSIOLOGICAL-RESPONSE; HARVEST SELECTION; LARGEMOUTH BASS; RAINBOW-TROUT; HEART-RATE; MORTALITY; INSIGHTS; STRESS</t>
  </si>
  <si>
    <t>Studying the sublethal effects of catch-and-release (C&amp;R) is challenging, as there are several potential sources of bias. For example, if behavioural alterations immediately after the release event are to be studied, separation of tagging effects from actual C&amp;R effects is required, which is a challenge in the wild, particularly in marine environments. To investigate the effects of C&amp;R on Atlantic cod (Gadus morhua) in their natural environment, 80 cod were caught in fyke nets, fitted with acoustic transmitters, and released. After recovery from tagging and handling for at least 14 days, nine individuals were recaptured and released at least once during experimental angling, following best release practice. All cod survived the C&amp;R event and did not show any large-scale behavioural changes (i.e., changes in diel vertical migrations). However, analysis of small-scale vertical movements showed that three individuals underwent short-term alterations (e.g., reduced or increased swimming activity). This study showed that pretagging fish with acoustic transmitters before experimental angling is an option when investigating fish behaviour immediately after the release event in marine environments. Moreover, release guidelines for cod should be developed, as cod can recover quickly if caught in shallow waters (&lt;20 m) and properly handled and released.</t>
  </si>
  <si>
    <t>[Ferter, Keno] Univ Bergen, Dept Biol, Bergen, Norway; [Ferter, Keno] Inst Marine Res, N-5024 Bergen, Norway; [Hartmann, Klaas] Univ Tasmania, Inst Marine &amp; Antarctic Studies, Hobart, Tas, Australia; [Kleiven, Alf Ring; Moland, Even; Olsen, Esben Moland] Inst Marine Res, Flodevigen Marine Res Stn, His, Norway; [Olsen, Esben Moland] Univ Oslo, Dept Biol, Ctr Ecol &amp; Evolutionary Synth, Oslo, Norway; [Olsen, Esben Moland] Univ Agder, Fac Sci &amp; Engn, Dept Nat Sci, Kristiansand, Norway</t>
  </si>
  <si>
    <t>University of Bergen; Institute of Marine Research - Norway; University of Tasmania; Institute of Marine Research - Norway; University of Oslo; University of Agder</t>
  </si>
  <si>
    <t>Ferter, K (corresponding author), Univ Bergen, Dept Biol, Bergen, Norway.</t>
  </si>
  <si>
    <t>Keno.Ferter@bio.uib.no</t>
  </si>
  <si>
    <t>Olsen, Esben Moland/B-1894-2012; Hartmann, Klaas/B-3991-2008; Kleiven, Alf Ring/ABK-6111-2022; Moland, Even/A-7788-2013</t>
  </si>
  <si>
    <t>Olsen, Esben Moland/0000-0003-3807-7524; Moland, Even/0000-0002-6521-2659; Kleiven, Alf Ring/0000-0002-9330-8340</t>
  </si>
  <si>
    <t>Institute of Marine Research; University of Bergen; Research Council of Norway</t>
  </si>
  <si>
    <t>Institute of Marine Research; University of Bergen; Research Council of Norway(Research Council of Norway)</t>
  </si>
  <si>
    <t>This research has been funded by the Institute of Marine Research and the University of Bergen. The acoustic telemetry work was funded by the Research Council of Norway through a grant to E.M.O. The authors thank Jon Helge Volstad for input to the study design. Carla Freitas kindly analysed the range test data and created the graphics for these. Moreover, the authors are grateful to Martin Wiech, Enrique Blanco, Marine Dedeken, Florian Eggers, Arild Ring Pettersen, and Torbjorn Ertzeid Opsahl, who spent endless hours of angling during this study. The authors are also thankful to three anonymous reviewers, who provided constructive comments on an earlier version of the manuscript.</t>
  </si>
  <si>
    <t>0706-652X</t>
  </si>
  <si>
    <t>1205-7533</t>
  </si>
  <si>
    <t>CAN J FISH AQUAT SCI</t>
  </si>
  <si>
    <t>Can. J. Fish. Aquat. Sci.</t>
  </si>
  <si>
    <t>10.1139/cjfas-2014-0290</t>
  </si>
  <si>
    <t>CA3GX</t>
  </si>
  <si>
    <t>hybrid, Green Submitted, Green Accepted</t>
  </si>
  <si>
    <t>WOS:000348795800010</t>
  </si>
  <si>
    <t>Walter, JI; Svetlizky, I; Fineberg, J; Brodsky, EE; Tulaczyk, S; Barcheck, CG; Carter, SP</t>
  </si>
  <si>
    <t>Walter, Jacob I.; Svetlizky, Ilya; Fineberg, Jay; Brodsky, Emily E.; Tulaczyk, Slawek; Barcheck, C. Grace; Carter, Sasha P.</t>
  </si>
  <si>
    <t>Rupture speed dependence on initial stress profiles: Insights from glacier and laboratory stick-slip</t>
  </si>
  <si>
    <t>frictional stick-slip; ice sheet motion; earthquake physics; slow slip; ice streams</t>
  </si>
  <si>
    <t>ICE STREAM; ROSS SEA; EARTHQUAKES; DYNAMICS; ONSET</t>
  </si>
  <si>
    <t>Slow slip events are now well-established in fault and glacier systems, though the processes controlling slow rupture remain poorly understood. The Whillans Ice Plain provides a window into these processes through bi-daily stick-slip seismic events that displace an ice mass over 100 km long with a variety of rupture speeds observed at a single location. We compare the glacier events with laboratory experiments that have analogous loading conditions. Both systems exhibit average rupture velocities that increase systematically with the pre-rupture stresses, with local rupture velocities exhibiting large variability that correlates well with local interfacial stresses. The slip events in both cases are not time-predictable, but clearly slip-predictable. Local pre-stress may control rupture behavior in a range of frictional failure events, including earthquakes. (C) 2014 The Authors. Published by Elsevier B.V.</t>
  </si>
  <si>
    <t>[Walter, Jacob I.] Univ Texas Austin, Inst Geophys, Austin, TX 78712 USA; [Svetlizky, Ilya; Fineberg, Jay] Hebrew Univ Jerusalem, Racah Inst Phys, IL-91905 Jerusalem, Israel; [Brodsky, Emily E.; Tulaczyk, Slawek; Barcheck, C. Grace] Univ Calif Santa Cruz, Dept Earth &amp; Planetary Sci, Santa Cruz, CA 95064 USA; [Carter, Sasha P.] Univ Calif San Diego, Scripps Inst Oceanog, San Diego, CA 92103 USA</t>
  </si>
  <si>
    <t>University of Texas System; University of Texas Austin; Hebrew University of Jerusalem; University of California System; University of California Santa Cruz; University of California System; University of California San Diego; Scripps Institution of Oceanography</t>
  </si>
  <si>
    <t>Walter, JI (corresponding author), Univ Texas Austin, Inst Geophys, Austin, TX 78712 USA.</t>
  </si>
  <si>
    <t>jakeiwalter@gmail.com</t>
  </si>
  <si>
    <t>Brodsky, Emily/B-9139-2014; Walter, Jacob/C-6806-2015; Tulaczyk, Slawek/O-7375-2018</t>
  </si>
  <si>
    <t>Walter, Jacob/0000-0001-7127-9422; Tulaczyk, Slawek/0000-0002-9711-4332; Barcheck, Grace/0000-0002-1773-1577; Fineberg, Jay/0000-0002-8381-6675; Brodsky, Emily/0000-0002-6855-6860</t>
  </si>
  <si>
    <t>NSF Antarctic Sciences Division [0636970, 0839142]; NASA Earth and Space Science Fellowship [NNX09AO05H]; James S. McDonnell Fund [220020221]; European Research Council [267256]; Israel Science Foundation [76/11]; National Science Foundation (NSF); National Aeronautics and Space Administration (NASA) under NSF [EAR-0735156]; National Science Foundation [EAR-0552316]; Department of Energy National Nuclear Security Administration; NASA [113218, NNX09AO05H] Funding Source: Federal RePORTER</t>
  </si>
  <si>
    <t>NSF Antarctic Sciences Division; NASA Earth and Space Science Fellowship; James S. McDonnell Fund; European Research Council(European Research Council (ERC)); Israel Science Foundation(Israel Science Foundation); National Science Foundation (NSF)(National Science Foundation (NSF)); National Aeronautics and Space Administration (NASA) under NSF(National Aeronautics &amp; Space Administration (NASA)); National Science Foundation(National Science Foundation (NSF)); Department of Energy National Nuclear Security Administration(National Nuclear Security AdministrationUnited States Department of Energy (DOE)); NASA(National Aeronautics &amp; Space Administration (NASA))</t>
  </si>
  <si>
    <t>We thank Thorne Lay, Susan Schwartz, and Zhigang Peng for comments on an earlier version of this manuscript and David Heeszel for assistance in the field. Knut Christianson and Huw Horgan assisted in installing the GPS stations at the grounding line. This work was funded primarily by NSF Antarctic Sciences Division Grants 0636970 and 0839142. NASA Earth and Space Science Fellowship (Grant NNX09AO05H) provided support for J.I.W. while at UCSC. J.F. and I.S. acknowledge support of the James S. McDonnell Fund (Grant No. 220020221), the European Research Council (Grant No. 267256), and Israel Science Foundation grant 76/11. We also wish to thank Oded Ben-David for sharing his data and enlightening comments. We thank Paul Winberry for making the GPS data from the 2004 GPS experiment available. Two anonymous reviewers helped improved the manuscript dramatically. The GPS stations were provided by the UNAVCO Facility with support from the National Science Foundation (NSF) and National Aeronautics and Space Administration (NASA) under NSF Cooperative Agreement No. EAR-0735156. Some of the instruments used in the field program were provided by the PASSCAL facility of the Incorporated Research Institutions for Seismology (IRIS) through the PASSCAL Instrument Center at New Mexico Tech. Seismic data collected during this experiment is available through the IRIS Data Management Center. The facilities of the IRIS Consortium are supported by the National Science Foundation under Cooperative Agreement EAR-0552316 and by the Department of Energy National Nuclear Security Administration.</t>
  </si>
  <si>
    <t>10.1016/j.epsl.2014.11.025</t>
  </si>
  <si>
    <t>CA8UX</t>
  </si>
  <si>
    <t>WOS:000349197500012</t>
  </si>
  <si>
    <t>Dwivedi, R; Rafeeq, M; Smitha, BR; Padmakumar, KB; Thomas, LC; Sanjeevan, VN; Prakash, P; Raman, M</t>
  </si>
  <si>
    <t>Dwivedi, R.; Rafeeq, M.; Smitha, B. R.; Padmakumar, K. B.; Thomas, Lathika Cicily; Sanjeevan, V. N.; Prakash, Prince; Raman, Mini</t>
  </si>
  <si>
    <t>Species identification of mixed algal bloom in the Northern Arabian Sea using remote sensing techniques</t>
  </si>
  <si>
    <t>ENVIRONMENTAL MONITORING AND ASSESSMENT</t>
  </si>
  <si>
    <t>Remote sensing; Algal bloom; Species identification; Arabian Sea</t>
  </si>
  <si>
    <t>GULF-OF-MEXICO; TOXIC DINOFLAGELLATE; NOCTILUCA-MILIARIS; KARENIA-BREVIS; WATERS</t>
  </si>
  <si>
    <t>Oceanic waters of the Northern Arabian Sea experience massive algal blooms during winter-spring (mid Feb-end Mar), which prevail for at least for 3 months covering the entire northern half of the basin from east to west. Ship cruises were conducted during winter-spring of 2001-2012 covering different stages of the bloom to study the biogeochemistry of the region. Phytoplankton analysis indicated the presence of green tides of dinoflagellate, Noctiluca scintillans (=N. miliaris), in the oceanic waters. Our observations indicated that diatoms are coupled and often co-exist with N. scintillans, making it a mixed-species ecosystem. In this paper, we describe an approach for detection of bloom-forming algae N. scintillans and its discrimination from diatoms using Moderate Resolution Imaging Spectroradiometer (MODIS)-Aqua data in a mixed-species environment. In situ remote sensing reflectance spectra were generated using Satlantic T hyperspectral radiometer for the bloom and non-bloom waters. Spectral shapes of the reflectance spectra for different water types were distinct, and the same were used for species identification. Scatter of points representing different phytoplankton classes on a derivative plot revealed four diverse clusters, viz. N. scintillans, diatoms, non-bloom oceanic, and non-bloom coastal waters. The criteria developed for species discrimination were implemented on MODIS data and validated using inputs from a recent ship cruise conducted in March 2013.</t>
  </si>
  <si>
    <t>[Dwivedi, R.; Rafeeq, M.; Smitha, B. R.; Padmakumar, K. B.; Thomas, Lathika Cicily; Sanjeevan, V. N.] Minist Earth Sci, Ctr Marine Living Resources &amp; Ecol, Kochi 37, Kerala, India; [Prakash, Prince] Natl Ctr Antarctic &amp; Ocean Res, Vasco Da Gama 403804, Goa, India; [Raman, Mini] Ctr Space Applicat, Ahmadabad 380015, Gujarat, India</t>
  </si>
  <si>
    <t>Ministry of Earth Sciences (MoES) - India; Centre for Marine Living Resources &amp; Ecology (CMLRE); Ministry of Earth Sciences (MoES) - India; National Centre for Polar and Ocean Research (NCPOR); Department of Space (DoS), Government of India; Indian Space Research Organisation (ISRO); Space Applications Centre (SAC)</t>
  </si>
  <si>
    <t>Dwivedi, R (corresponding author), Minist Earth Sci, Ctr Marine Living Resources &amp; Ecol, Kochi 37, Kerala, India.</t>
  </si>
  <si>
    <t>rashmindwivedi@gmail.com</t>
  </si>
  <si>
    <t>KB, Padmakumar/AAJ-1065-2021; bal raj, smitha/ABC-8782-2021; prakash, prince/HTT-2725-2023</t>
  </si>
  <si>
    <t>KB, Padmakumar/0000-0002-3991-4462; bal raj, smitha/0000-0003-3470-9272; Raman, Mini/0000-0002-2594-3799; Muthayil, M Rafeeq/0009-0007-6852-5988</t>
  </si>
  <si>
    <t>0167-6369</t>
  </si>
  <si>
    <t>1573-2959</t>
  </si>
  <si>
    <t>ENVIRON MONIT ASSESS</t>
  </si>
  <si>
    <t>Environ. Monit. Assess.</t>
  </si>
  <si>
    <t>10.1007/s10661-015-4291-2</t>
  </si>
  <si>
    <t>CA6HP</t>
  </si>
  <si>
    <t>WOS:000349012200051</t>
  </si>
  <si>
    <t>Budhavant, K; Safai, PD; Rao, PSP</t>
  </si>
  <si>
    <t>Budhavant, Krishnakant; Safai, P. D.; Rao, P. S. P.</t>
  </si>
  <si>
    <t>Sources and elemental composition of summer aerosols in the Larsemann Hills (Antarctica)</t>
  </si>
  <si>
    <t>Antarctic aerosols; PM10 and PM2.5; Chemical composition; Long-range transport; Non-sea-salt sulfate</t>
  </si>
  <si>
    <t>MARINE BOUNDARY-LAYER; SEA-SALT AEROSOL; CHEMICAL-COMPOSITION; SIZE DISTRIBUTION; SULFATE AEROSOL; ATLANTIC-OCEAN; PARTICLES; CHEMISTRY; ENRICHMENT; DEPOSITION</t>
  </si>
  <si>
    <t>Atmospheric aerosols play a major role in the global climate change. A better physical characterization of the chemical composition of atmospheric aerosols, especially in remote atmosphere, is an important step to reduce the current uncertainty in their effect on the radiative forcing of the climate. In the present work, surface aerosols have been studied over the Southern Ocean and over Bharati, Indian Research Station at Larsemann Hills at the Antarctic coast during the summer season of 2009-2010. Aerosol samples were collected using optical particle counter (OPC) and high-volume air sampler. PM10 and PM2.5 aerosol samples were analyzed for various water-soluble and acid-soluble ionic constituents. The Hysplit model was used to compute the history of the air masses for their possible origin. Supplementary measurements of meteorological parameters were also used. The average mass concentration for PM10 over the Southern Ocean was found to be 13.4 mu g m(3). Over coastal Antarctica, the mass of PM10 was 5.13 mu g m(-3), whereas that of PM2.5 was 4.3 mu g m(-3). Contribution of marine components, i.e., Na, Cl and Mg was dominant over the Southern Ocean (79%) than over the coastal Antarctica where they were dominant in coarse mode (67%) than in fine mode (53%) aerosols. The NH4/nss-SO4 ratio of 1.12 in PM2.5 indicates that the NH4 and SO4 ions were in the form of NH4HSO4. Computation of enrichment factors indicate that elements of anthropogenic origin, e.g., Zn, Cu, Pb, etc., were highly enriched with respect to crustal composition.</t>
  </si>
  <si>
    <t>[Budhavant, Krishnakant] Maldives Climate Observ Hanimaadhoo, H Dh Hanimaadhoo, Maldives; [Safai, P. D.; Rao, P. S. P.] Indian Inst Trop Meteorol, Pune, Maharashtra, India</t>
  </si>
  <si>
    <t>Ministry of Earth Sciences (MoES) - India; Indian Institute of Tropical Meteorology (IITM)</t>
  </si>
  <si>
    <t>Budhavant, K (corresponding author), Maldives Climate Observ Hanimaadhoo, H Dh Hanimaadhoo, Maldives.</t>
  </si>
  <si>
    <t>kbbudhavant@gmail.com</t>
  </si>
  <si>
    <t>Safai, P.D./AAL-9301-2021; BUDHAVANT, KRISHNAKANT/I-6766-2015</t>
  </si>
  <si>
    <t>BUDHAVANT, KRISHNAKANT/0000-0003-2753-3192</t>
  </si>
  <si>
    <t>IITM, Pune, India; National Centre for Antarctic and Ocean Research (NCAOR); Ministry of Earth Sciences (MoES)</t>
  </si>
  <si>
    <t>The authors are grateful to the Director, IITM, Pune, India, for the support and encouragement given to undertake this work. Thanks are also due to the National Centre for Antarctic and Ocean Research (NCAOR) and Ministry of Earth Sciences (MoES) for the financial support towards participation in the 29th Indian Antarctic Expedition.</t>
  </si>
  <si>
    <t>10.1007/s11356-014-3452-0</t>
  </si>
  <si>
    <t>CA4ZU</t>
  </si>
  <si>
    <t>WOS:000348917400051</t>
  </si>
  <si>
    <t>Robinson, SA; Erickson, DJ</t>
  </si>
  <si>
    <t>Robinson, Sharon A.; Erickson, David J., III</t>
  </si>
  <si>
    <t>Not just about sunburn - the ozone hole's profound effect on climate has significant implications for Southern Hemisphere ecosystems</t>
  </si>
  <si>
    <t>Antarctica; atmospheric and oceanic circulation; carbon cycle; extreme events; marine and terrestrial ecosystem impacts; ozone hole; precipitation; Southern Annular Mode (SAM); Southern Hemisphere; Southern Ocean; UV radiation</t>
  </si>
  <si>
    <t>ULTRAVIOLET-B RADIATION; PENINSULA ICE CORE; ANNULAR MODE; ANTARCTIC PENINSULA; WEST ANTARCTICA; MONTREAL PROTOCOL; OCEAN CIRCULATION; PINE ISLAND; UV-B; IMPACT</t>
  </si>
  <si>
    <t>Climate scientists have concluded that stratospheric ozone depletion has been a major driver of Southern Hemisphere climate processes since about 1980. The implications of these observed and modelled changes in climate are likely to be far more pervasive for both terrestrial and marine ecosystems than the increase in ultraviolet-B radiation due to ozone depletion; however, they have been largely overlooked in the biological literature. Here, we synthesize the current understanding of how ozone depletion has impacted Southern Hemisphere climate and highlight the relatively few documented impacts on terrestrial and marine ecosystems. Reviewing the climate literature, we present examples of how ozone depletion changes atmospheric and oceanic circulation, with an emphasis on how these alterations in the physical climate system affect Southern Hemisphere weather, especially over the summer season (December-February). These potentially include increased incidence of extreme events, resulting in costly floods, drought, wildfires and serious environmental damage. The ecosystem impacts documented so far include changes to growth rates of South American and New Zealand trees, decreased growth of Antarctic mosses and changing biodiversity in Antarctic lakes. The objective of this synthesis was to stimulate the ecological community to look beyond ultraviolet-B radiation when considering the impacts of ozone depletion. Such widespread changes in Southern Hemisphere climate are likely to have had as much or more impact on natural ecosystems and food production over the past few decades, than the increased ultraviolet radiation due to ozone depletion.</t>
  </si>
  <si>
    <t>[Robinson, Sharon A.] Univ Wollongong, Sch Biol Sci, Inst Conservat Biol, Wollongong, NSW 2522, Australia; [Erickson, David J., III] Oak Ridge Natl Lab, Comp Sci &amp; Math Div, Computat Earth Sci Grp, Oak Ridge, TN 37831 USA</t>
  </si>
  <si>
    <t>University of Wollongong; United States Department of Energy (DOE); Oak Ridge National Laboratory</t>
  </si>
  <si>
    <t>Robinson, SA (corresponding author), Univ Wollongong, Sch Biol Sci, Inst Conservat Biol, Wollongong, NSW 2522, Australia.</t>
  </si>
  <si>
    <t>sharonr@uow.edu.au</t>
  </si>
  <si>
    <t>Robinson, Sharon/B-2683-2008</t>
  </si>
  <si>
    <t>Robinson, Sharon/0000-0002-7130-9617</t>
  </si>
  <si>
    <t>Australian Research Council [DP110101714]; Australian Antarctic Science Grants [3129, 4046]; Oak Ridge National Laboratory by Office of Science of the U.S. Department of Energy [DE-AC05-00OR22725]</t>
  </si>
  <si>
    <t>Australian Research Council(Australian Research Council); Australian Antarctic Science Grants; Oak Ridge National Laboratory by Office of Science of the U.S. Department of Energy</t>
  </si>
  <si>
    <t>SAR acknowledges receipt of Australian Research Council Grant (DP110101714) and Australian Antarctic Science Grants 3129 and 4046. DJE acknowledges the support of Oak Ridge National Laboratory, which is supported by the Office of Science of the U.S. Department of Energy under Contract Number DE-AC05-00OR22725. We thank Andrew Netherwood for production of all figures and Stephen Wilson, members of the Robinson Research Group and two anonymous reviewers for feedback on drafts of the manuscript.</t>
  </si>
  <si>
    <t>10.1111/gcb.12739</t>
  </si>
  <si>
    <t>CA1DE</t>
  </si>
  <si>
    <t>WOS:000348652400003</t>
  </si>
  <si>
    <t>Collard, M; De Ridder, C; David, B; Dehairs, F; Dubois, P</t>
  </si>
  <si>
    <t>Collard, Marie; De Ridder, Chantal; David, Bruno; Dehairs, Frank; Dubois, Philippe</t>
  </si>
  <si>
    <t>Could the acid-base status of Antarctic sea urchins indicate a better-than-expected resilience to near-future ocean acidification?</t>
  </si>
  <si>
    <t>acid-base regulation; Antarctica; echinoderms; ocean acidification; sea urchins; Southern Ocean</t>
  </si>
  <si>
    <t>REDUCED SEAWATER PH; SOUTHERN-OCEAN; STERECHINUS-NEUMAYERI; CARBONIC-ACID; DISKO BAY; CO2; WATER; TEMPERATURE; IMPACT; SHELF</t>
  </si>
  <si>
    <t>Increasing atmospheric carbon dioxide concentration alters the chemistry of the oceans towards more acidic conditions. Polar oceans are particularly affected due to their low temperature, low carbonate content and mixing patterns, for instance upwellings. Calcifying organisms are expected to be highly impacted by the decrease in the oceans' pH and carbonate ions concentration. In particular, sea urchins, members of the phylum Echinodermata, are hypothesized to be at risk due to their high-magnesium calcite skeleton. However, tolerance to ocean acidification in metazoans is first linked to acid-base regulation capacities of the extracellular fluids. No information on this is available to date for Antarctic echinoderms and inference from temperate and tropical studies needs support. In this study, we investigated the acid-base status of 9 species of sea urchins (3 cidaroids, 2 regular euechinoids and 4 irregular echinoids). It appears that Antarctic regular euechinoids seem equipped with similar acid-base regulation systems as tropical and temperate regular euechinoids but could rely on more passive ion transfer systems, minimizing energy requirements. Cidaroids have an acid-base status similar to that of tropical cidaroids. Therefore Antarctic cidaroids will most probably not be affected by decreasing seawater pH, the pH drop linked to ocean acidification being negligible in comparison of the naturally low pH of the coelomic fluid. Irregular echinoids might not suffer from reduced seawater pH if acidosis of the coelomic fluid pH does not occur but more data on their acid-base regulation are needed. Combining these results with the resilience of Antarctic sea urchin larvae strongly suggests that these organisms might not be the expected victims of ocean acidification. However, data on the impact of other global stressors such as temperature and of the combination of the different stressors needs to be acquired to assess the sensitivity of these organisms to global change.</t>
  </si>
  <si>
    <t>[Collard, Marie; De Ridder, Chantal; Dubois, Philippe] Univ Libre Bruxelles, Lab Biol Marine, B-1050 Brussels, Belgium; [Collard, Marie; Dehairs, Frank] Vrije Univ Brussel, Earth Syst Sci Res Grp, B-1050 Brussels, Belgium; [David, Bruno] Univ Bourgogne, UMR CNRS 6282, F-21000 Dijon, France</t>
  </si>
  <si>
    <t>Universite Libre de Bruxelles; Vrije Universiteit Brussel; Universite de Bourgogne; Centre National de la Recherche Scientifique (CNRS); CNRS - Institute of Ecology &amp; Environment (INEE)</t>
  </si>
  <si>
    <t>Collard, M (corresponding author), Univ Libre Bruxelles, Lab Biol Marine, 50 Ave FD Roosevelt, B-1050 Brussels, Belgium.</t>
  </si>
  <si>
    <t>marie.collard9@gmail.com</t>
  </si>
  <si>
    <t>/AAL-3738-2021; DAVID, Bruno/N-8798-2013</t>
  </si>
  <si>
    <t>Collard, Marie/0000-0003-3919-6250</t>
  </si>
  <si>
    <t>Belgian FRIA grant; Belgian Science Policy Office (BELSPO) [BR/132/A1/vERSO]</t>
  </si>
  <si>
    <t>Belgian FRIA grant(Fonds de la Recherche Scientifique - FNRS); Belgian Science Policy Office (BELSPO)(Belgian Federal Science Policy Office)</t>
  </si>
  <si>
    <t>M. Collard is holder of a Belgian FRIA grant. Ph. Dubois is a Research Director of the National Fund for Scientific Research (FRS-FNRS; Belgium). We thank Professor J. Gutt and the Alfred Wegener Institute for the invitation to attend the R/V Polarstern Cruise ANTXXIX/3, and the captain, the officers and the crew of the R/V Polarstern for their superb support. We also thank D. Verstraeten (AMGC-VUB) for his assistance during IRMS analyses. This is contribution no. 2 to the vERSO project (www.versoproject.be), funded by the Belgian Science Policy Office (BELSPO, contract noBR/132/A1/vERSO).</t>
  </si>
  <si>
    <t>10.1111/gcb.12735</t>
  </si>
  <si>
    <t>WOS:000348652400010</t>
  </si>
  <si>
    <t>Schoenrock, KM; Schram, JB; Amsler, CD; McClintock, JB; Angus, RA</t>
  </si>
  <si>
    <t>Schoenrock, Kathryn M.; Schram, Julie B.; Amsler, Charles D.; McClintock, James B.; Angus, Robert A.</t>
  </si>
  <si>
    <t>Climate change impacts on overstory Desmarestia spp. from the western Antarctic Peninsula</t>
  </si>
  <si>
    <t>OCEAN ACIDIFICATION; BROWN MACROALGAE; CHEMICAL ECOLOGY; MARINE ECOSYSTEM; CO2; PHLOROTANNINS; SEAWEEDS; PHOTOSYNTHESIS; LAMINARIALES; TEMPERATE</t>
  </si>
  <si>
    <t>This study examines climate change impacts (increased temperature and pCO(2)) on canopy-forming Desmarestia anceps and D. menziesii from the western Antarctic Peninsula during the austral summer-winter of 2013. These are ecologically important species that play a role functionally equivalent to kelp forests in this region. Two-way factorial microcosm experiments with treatments reflecting near-future ocean conditions were run with these species and include increased temperature alone (3.5 A degrees C x pH 8.0), reduced pH alone (1.5 A degrees C x pH 7.6), and both factors combined (3.5 A degrees C x pH 7.6). Phlorotannin concentration, chlorophyll a concentration, growth, and photosynthetic parameters (slope to saturation of photo centers (alpha), saturating irradiance (E (k)), maximum electron transport rate (ETRmax), and maximum quantum yield of photosystem II (F (v)/F (m))) were used to assess the physiological responses of the individuals to the different climate change treatments. Few significant impacts were observed: In D. menziesii, E (k) at the midpoint (after 39 days) was significantly higher in the 3.5 A degrees C x pH 7.6 treatment and phlorotannin concentration was significantly higher in the 1.5 A degrees C x pH 7.6 treatment than others at the end point of the experiment (79 days). All individuals in the experiment grew quickly through the midpoint, but growth declined thereafter. The photosynthetic apparatus of these species acclimated to microcosm conditions, and photo-physiological parameters changed between initial, midpoint, and end point measurements. Results indicate that D. menziesii is the more sensitive of the two species and that climate change factors can have a synergistic effect on this species. However, neither species responds negatively to climate change factors at the level of change used in this study, though the observed shifts in phlorotannin concentration and photosynthetic characteristics may have an unforeseen impact on the community dynamics in this geographic area.</t>
  </si>
  <si>
    <t>[Schoenrock, Kathryn M.; Schram, Julie B.; Amsler, Charles D.; McClintock, James B.; Angus, Robert A.] Univ Alabama Birmingham, Birmingham, AL 35294 USA</t>
  </si>
  <si>
    <t>; Schoenrock, Kathryn/B-9082-2018</t>
  </si>
  <si>
    <t>Schram, Julie/0000-0002-1556-6483; Schoenrock, Kathryn/0000-0002-0407-3173; Amsler, Charles/0000-0002-4843-3759</t>
  </si>
  <si>
    <t>National Science Foundation [ANT-1041022]; Office of Polar Programs (OPP); Directorate For Geosciences [1041022] Funding Source: National Science Foundation</t>
  </si>
  <si>
    <t>This work was supported by National Science Foundation award ANT-1041022 (CDA, RAA, JBM) from the Antarctic Organisms and Ecosystems Program. Field support was provided by the Antarctic Support Contract staff of Palmer Station and the University of Alabama at Birmingham field team including Maggie Amsler and Kevin Scriber.</t>
  </si>
  <si>
    <t>10.1007/s00227-014-2582-8</t>
  </si>
  <si>
    <t>AZ9WI</t>
  </si>
  <si>
    <t>WOS:000348564300013</t>
  </si>
  <si>
    <t>Schram, JB; McClintock, JB; Amsler, CD; Baker, BJ</t>
  </si>
  <si>
    <t>Schram, Julie B.; McClintock, James B.; Amsler, Charles D.; Baker, Bill J.</t>
  </si>
  <si>
    <t>Impacts of acute elevated seawater temperature on the feeding preferences of an Antarctic amphipod toward chemically deterrent macroalgae</t>
  </si>
  <si>
    <t>CLIMATE-CHANGE; DEPENDENT BIOGEOGRAPHY; SUBTIDAL MACROALGAE; PHYSIOLOGICAL-BASIS; MARINE ECOSYSTEM; PENINSULA; DEFENSES; HERBIVORES; WEST; ICE</t>
  </si>
  <si>
    <t>As mean global temperatures continue to rise, regional seawater temperature measurements have revealed that some geographic areas are warming faster than others. One region that is experiencing particularly rapid warming is the western Antarctic Peninsula. Previous studies investigating direct effects of warming on Antarctic marine invertebrates have established that small increases in temperature can have significant impacts on aspects of behavior, physiology, and growth rates in these largely stenothermal organisms. To investigate how warming may impact feeding preferences of an ecologically important mesograzer on macroalgae of the Antarctic Peninsula, we examined the impacts of exposure to acute elevated temperature on the ecologically important omnivorous amphipod Gondogeneiea antarctica (Chevreux) at Palmer Station, Antarctica (64A degrees 46'S, 64A degrees 03'W) in April-May 2011. Amphipods were exposed to 1.5 A degrees C (mean monthly upper summer temperature) or 3.5 A degrees C (representative of current transient summer temperature peaks and projected mean for 2100) for a 24 h period. These amphipods were then used in choice-feeding assays with artificial food containing chemical extracts from six species of sympatric macroalgae known to produce feeding deterrents. We found that during acute exposure to elevated temperature (+2.0 A degrees C), amphipods lost their feeding preferences in assays with artificial foods containing lipophilic (one macroalga), hydrophilic (three macroalgae), or combined lipophilic/hydrophilic (one macroalga) extracts. Our findings suggest that increased frequency in transient peaks and longer-term upward trends in ambient summer seawater temperature have the potential to alter feeding preferences in a common mesograzer that could influence macroalgal communities that dominate benthic communities along the western Antarctic Peninsula.</t>
  </si>
  <si>
    <t>[Schram, Julie B.; McClintock, James B.; Amsler, Charles D.] Univ Alabama Birmingham, Dept Biol, Birmingham, AL 35294 USA; [Baker, Bill J.] Univ S Florida, Dept Chem, Tampa, FL 33620 USA</t>
  </si>
  <si>
    <t>Schram, JB (corresponding author), Univ Alabama Birmingham, Dept Biol, Birmingham, AL 35294 USA.</t>
  </si>
  <si>
    <t>Amsler, Charles/0000-0002-4843-3759; Schram, Julie/0000-0002-1556-6483</t>
  </si>
  <si>
    <t>NSF Office of Polar Programs (NSF) [OPP-9011927, OPP-9632763, OPP-0217282]; NSF [ANT-0838773, ANT-1041022, ANT-0838776]; UAB Department of Biology; Endowed Professorship in Polar and Marine Biology</t>
  </si>
  <si>
    <t>NSF Office of Polar Programs (NSF); NSF(National Science Foundation (NSF)); UAB Department of Biology; Endowed Professorship in Polar and Marine Biology</t>
  </si>
  <si>
    <t>The authors gratefully acknowledge the essential logistical support provided by the staff of Raytheon Polar Services Company at the United States Antarctic Program (USAP). Field collections were aided by the efforts of Margaret Amsler, Kathryn Schoenrock, Bill Dent, and Ruth McDowell. JBS is grateful to Margaret Amsler, Ruth McDowell, and Jacqueline von Salm for training in experimental protocols. We thank Robert A. Angus for his statistical assistance. Palmer Station regional sea surface temperature data were obtained from the Palmer LTER data repository supported by the NSF Office of Polar Programs (NSF Grants OPP-9011927, OPP-9632763 and OPP-0217282). The present study was supported by NSF Grants ANT-0838773 and ANT-1041022 (JBM, CDA) and ANT-0838776 (BJB). Additional support was provided by the UAB Department of Biology and an Endowed Professorship in Polar and Marine Biology to JBM.</t>
  </si>
  <si>
    <t>10.1007/s00227-014-2590-8</t>
  </si>
  <si>
    <t>WOS:000348564300017</t>
  </si>
  <si>
    <t>Sohrabinia, M; Zawar-Reza, P; Rack, W</t>
  </si>
  <si>
    <t>Sohrabinia, M.; Zawar-Reza, P.; Rack, W.</t>
  </si>
  <si>
    <t>Spatio-temporal analysis of the relationship between LST from MODIS and air temperature in New Zealand</t>
  </si>
  <si>
    <t>LAND-SURFACE TEMPERATURES; DAILY MAXIMUM; VALIDATION; SATELLITE; WIND; FLUX</t>
  </si>
  <si>
    <t>The ambient air temperature (T-a) is an important environmental parameter which can be estimated from satellite observations of the land surface temperature (LST) using a linear regression model. This paper attempts to answer the question of whether the series of a single pixel or a spatially averaged series over several pixels should be used for modelling T-a from remotely sensed LST data. Sensitivity of LST-T-a relationship to the moderate resolution imaging spectroradiometer (MODIS) window size, which determines the number of pixels contributed in the correlations, over a number of test sites in New Zealand was analysed. LST series of a single pixel over a period of 10 years gave a correlation coefficient 0.80 with T-a measurements. Bootstrapping by random resampling from seasonal subsets of both time-series was applied to determine seasonal and inter-annual variability of LST-T-a relationship. A fast Fourier filtering was applied for noise reduction and detection of dominant spectra in LST series. Spatially averaged time-series from larger windows, which included more pixels, showed slightly higher agreement with T-a measurements. We considered the effects of wind speed (WS) and wind direction (WD) on the LST-T-a relationship. Highest correlation between T-a and LST time-series was achieved using a 25 x 25 window at 2 a parts per thousand currency sign WS &lt; 8 ms(-1). No significant effect due to WD was found in the results. MODIS-Terra nighttime (10:30 PM) observations showed the highestwhile MODIS-Aqua nighttime (1:30 AM) observations showed the lowest agreement with T-a measurements. These results indicate that the best approach for modelling T-a based on LST observations from MODIS in the long-term is to use a spatially averaged LST series over a window of 5 x 5 to 25 x 25 pixels, with a consideration of WS effects and observation times.</t>
  </si>
  <si>
    <t>[Sohrabinia, M.; Zawar-Reza, P.] Univ Canterbury, Dept Geog, Ctr Atmospher Res, Christchurch 1, New Zealand; [Rack, W.] Univ Canterbury, Ctr Antarctic Studies &amp; Res, Christchurch 1, New Zealand</t>
  </si>
  <si>
    <t>Sohrabinia, M (corresponding author), Univ Canterbury, Dept Geog, Ctr Atmospher Res, Christchurch 1, New Zealand.</t>
  </si>
  <si>
    <t>sohrabinia.m@gmail.com</t>
  </si>
  <si>
    <t>Rack, Wolfgang/U-8898-2017</t>
  </si>
  <si>
    <t>Rack, Wolfgang/0000-0003-2447-377X</t>
  </si>
  <si>
    <t>10.1007/s00704-014-1106-2</t>
  </si>
  <si>
    <t>CA6KC</t>
  </si>
  <si>
    <t>WOS:000349020900013</t>
  </si>
  <si>
    <t>Nath, D; Chen, W; Guharay, A</t>
  </si>
  <si>
    <t>Nath, Debashis; Chen, Wen; Guharay, Amitava</t>
  </si>
  <si>
    <t>Climatology of stratospheric gravity waves and their interaction with zonal mean wind over the tropics using GPS RO and ground-based measurements in the two phases of QBO</t>
  </si>
  <si>
    <t>EQUATORIAL KELVIN; RADIOSONDE OBSERVATIONS; MOMENTUM FLUX; OCCULTATION; ATMOSPHERE; ENERGY; TEMPERATURE</t>
  </si>
  <si>
    <t>The present manuscript deals with the spatial distribution of gravity wave activity over the tropics using ten years (2001-2010) of CHAllenging Mini Payloads (CHAMP) and Constellation Observing System for Meteorology, Ionosphere and Climate (COSMIC) Global Positioning System (GPS) Radio Occultation (RO) data and ground-based radiosonde measurements over an equatorial station Singapore (1.36A degrees N, 103.98A degrees E) and four tropical stations, Guam (13.48A degrees N, 144.80A degrees E), Palau (7.33A degrees N, 134.48A degrees E) in the northern hemisphere, Darwin (12.41A degrees S, 130.88A degrees E) and Pago-Pago (14.33A degrees S, 170.71A degrees W) in the southern hemisphere from January 2001-December 2010. It also aims to quantify the difference in wave activity in the two phases of QBO, climatologically. Space-time spectra have been constructed over a latitude band of +/- 10A degrees and decomposing the CHAMP/COSMIC temperature perturbations into symmetric and antisymmetric modes about the equator. Clear signature of equatorial waves with higher wavelength and a constant background of gravity waves (GW) with inertial frequency are prominent in the spectra. Strong GW and mean flow interaction can be seen in the lower stratosphere potential energy density (E (P)) and momentum flux with enhanced wave activity during the westerly (eastward wind) phase of quasi-biennial oscillation (QBO) (WQBO) over the equatorial and tropical stations like Singapore and Palau/Darwin, respectively. From the latitudinal distribution of energy density, the occurrence of two-peak structure in energy density can be seen in the middle and lower latitudes with an enhancement during the WQBO phase. The E (P) associated with GWs are calculated at lower stratospheric (19-26 km) heights and are compared with outgoing longwave radiation (OLR) to correlate the wave events with tropical deep convection during the easterly, i.e. westward wind (EQBO) and WQBO phases of QBO. Clear coherence of convection due to Asian summer monsoon with localized enhancement of wave activity over Western Pacific, South America and African region during the WQBO phase is observed at the lower stratospheric heights. Significant enhancement is observed during Northern Hemisphere winter months and minimum during summer. The longitudinally elongated portion of E (P) over the equator is partially affected by Kelvin wave (KW) like disturbances with short vertical scales and also by inertia GW.</t>
  </si>
  <si>
    <t>[Nath, Debashis; Chen, Wen] Chinese Acad Sci, Inst Atmospher Phys, Ctr Monsoon Syst Res, Beijing 100029, Peoples R China; [Guharay, Amitava] INPE, Natl Inst Space Res, Sao Jose Dos Campos, SP, Brazil</t>
  </si>
  <si>
    <t>Chinese Academy of Sciences; Institute of Atmospheric Physics, CAS; Instituto Nacional de Pesquisas Espaciais (INPE)</t>
  </si>
  <si>
    <t>Nath, D (corresponding author), Chinese Acad Sci, Inst Atmospher Phys, Ctr Monsoon Syst Res, Beijing 100029, Peoples R China.</t>
  </si>
  <si>
    <t>debashis.narl@gmail.com</t>
  </si>
  <si>
    <t>Nath, Debashis/HKO-5527-2023; Guharay, Amitava/B-6523-2013; Chen, Wen/G-6058-2011</t>
  </si>
  <si>
    <t>Nath, Debashis/0000-0001-9299-2729; Chen, Wen/0000-0001-9327-9079; Guharay, Amitava/0000-0003-1395-7322</t>
  </si>
  <si>
    <t>National Natural Science Foundation of China [41250110073, 41350110331]; Chinese Academy of Sciences [2011Y2ZZB05]; China postdoctoral science foundation [2013 M541010]</t>
  </si>
  <si>
    <t>National Natural Science Foundation of China(National Natural Science Foundation of China (NSFC)); Chinese Academy of Sciences(Chinese Academy of Sciences); China postdoctoral science foundation(China Postdoctoral Science Foundation)</t>
  </si>
  <si>
    <t>We are thankful to the UCAR &amp; RISH, Kyoto University, NCEP-NCAR, ECMWF and Wyoming University upper air sounding data archival for providing the CHAMP/COSMIC data, OLR data, zonal wind data and Singapore, Palau, Guam, Darwin and Pago-Pago radiosonde data, respectively. This work is supported jointly by the National Natural Science Foundation of China (Grant No. 41250110073, 41350110331), the Chinese Academy of Sciences fellowships for young international scientists (2011Y2ZZB05) and China postdoctoral science foundation grant (2013 M541010). We sincerely thank Dr. Yoshio Kawatani of JAMSTEC, Japan and Dr. S.P. Alexander from Australian Antarctic Division for their suggestions to derive the space-time spectra.</t>
  </si>
  <si>
    <t>10.1007/s00704-014-1146-7</t>
  </si>
  <si>
    <t>WOS:000349020900025</t>
  </si>
  <si>
    <t>Fernanda, PA; Clementina, BC; Javier, C; Gabriela, M</t>
  </si>
  <si>
    <t>Analia Fernanda, Perez; Claudia Clementina, Boy; Javier, Calcagno; Gabriela, Malanga</t>
  </si>
  <si>
    <t>Reproduction and oxidative metabolism in the brooding sea star Anasterias antarctica (Lutken, 1957)</t>
  </si>
  <si>
    <t>Anasterias antarctica; Antioxidants; Brooding; Oxidative metabolism; Reproduction; ROS production</t>
  </si>
  <si>
    <t>URCHIN LOXECHINUS-ALBUS; SEASONAL-CHANGES; DIGESTIVE GLAND; BEAGLE CHANNEL; VITAMIN-E; STRESS; CAROTENOIDS; TEMPERATURE; MUSSEL; ALLOCATION</t>
  </si>
  <si>
    <t>The oral-brooding sea star Anasterias antarctica is distributed on the coasts of South Patagonia and north of Antarctic Peninsula. This species is a potential predator of shellfish Mytilus chilensis, an important commercial resource for Beagle Channel region. The aims of this work were to study the variation in the gonad index (GI), to establish the brooding season, to determine the reproductive effort of both sexes, and to assess the concentration of liposoluble antioxidants and production of reactive oxygen species (ROS) in male and female gonads and embryos of A. antarctica during the year. Four samplings were performed: three during the brooding season and one during the non-brooding season. Individuals sampled during the brooding season were assigned to one of the three groups: brooding females, non-brooding females, and males. Individuals sampled during the non-brooding season were assigned to one of the three groups: sexually mature females, sexually non-mature females and males. Histological observations allowed determining that only females incubate the embryos on the oral surface for seven months. Males showed a strategy characteristic of broadcast spawners, whereas females spawned only a small number of eggs, as it is characteristic of brooders and as observed in other species of asteroids. Males show a significant increase in GI before spawning (from 1% to 15%) and then a marked decrease. During gametogenesis, testes showed a low level of beta-carotene and high production of ROS. Between May and October; brooding and non-brooding females showed similar values of ROS production and concentration of antioxidants. Mature females had a significantly higher GI and lipid soluble antioxidant concentration than non-mature females. ROS production was higher in non-mature females. In A. antarctica embryos, ROS production increased and liposoluble antioxidant defenses decreased along development. The reproductive effort of males was about 25% lower than that of females, probably because of brooding costs. Gonadal maturation occurred in summer in both sexes, in concordance with an increase in the concentration of liposoluble antioxidants and the minimum values of ROS production. This suggests a strategy of oxidative damage prevention and gamete protection through allocation of antioxidants to mature gonads. The beta-carotene and a-tocopherol accumulation in ovaries would protect not only maturing oocytes but also embryos, given that these antioxidants would be transferred to eggs. Along the reproductive cycle, A. antarctica gonads are protected from oxidative processes, mainly by beta-carotene. Further, during gonad maturation, protection increases with the increase in a-tocopherol concentration and the decrease in ROS, whose highest and lowest values coincide with maximum gonadal maturation. (C) 2014 Elsevier B.V. All rights reserved.</t>
  </si>
  <si>
    <t>[Analia Fernanda, Perez; Javier, Calcagno] Univ Maimonides CONICET, CEBBAD, Lab Invertebrados Merinos, Buenos Aires, DF, Argentina; [Claudia Clementina, Boy] CADIC CONICET, Lab Ecol Fisiol Evolut Org Acuat, Tierra Fuego, Argentina; [Gabriela, Malanga] Univ Buenos Aires, CONICET, Fac Farm &amp; Bioquim, Inst Bioquim &amp; Med Mol, Buenos Aires, DF, Argentina</t>
  </si>
  <si>
    <t>Consejo Nacional de Investigaciones Cientificas y Tecnicas (CONICET); University of Buenos Aires; Consejo Nacional de Investigaciones Cientificas y Tecnicas (CONICET)</t>
  </si>
  <si>
    <t>Fernanda, PA (corresponding author), Univ Maimonides CONICET, CEBBAD, Lab Invertebrados Merinos, Hidalgo 775, Buenos Aires, DF, Argentina.</t>
  </si>
  <si>
    <t>analiafperez1@gmail.com; claudiaboy@gmail.com; jkalcagno@gmail.com; gmalanga@ffyb.uba.ar</t>
  </si>
  <si>
    <t>CONICET [PIP 0128]; Universidad National de la Patagonia San Juan Bosco-Asociacion de Parques Nacionales, Chubut, Argentina [997]</t>
  </si>
  <si>
    <t>CONICET(Consejo Nacional de Investigaciones Cientificas y Tecnicas (CONICET)); Universidad National de la Patagonia San Juan Bosco-Asociacion de Parques Nacionales, Chubut, Argentina</t>
  </si>
  <si>
    <t>This research was supported by CONICET (PIP 0128) and Universidad National de la Patagonia San Juan Bosco-Asociacion de Parques Nacionales 997, Chubut, Argentina. Authors are grateful to Administracion de Parques Nacionales Delegacion Tierra del Fuego, to personal of Catedra de Fisicoquimica of Facultad de Farmacia y Bioquimica of Universidad de Buenos Aires, to personnel from Laboratorio de Ecologia, Fisiologia y Evolucion de Organismos Acuaticos from CADIC-CONICET and to Dra. Juliana Gimenez for facilitating the microscope. [SS]</t>
  </si>
  <si>
    <t>10.1016/j.jembe.2014.11.009</t>
  </si>
  <si>
    <t>CA0TD</t>
  </si>
  <si>
    <t>WOS:000348628400019</t>
  </si>
  <si>
    <t>Hernández, E; Piquet, AMT; Lopez, JL; Buma, AGJ; Mac Cormack, WP</t>
  </si>
  <si>
    <t>Hernandez, Edgardo A.; Piquet, Anouk M-T; Lopez, Jose L.; Buma, Anita G. J.; Mac Cormack, Walter P.</t>
  </si>
  <si>
    <t>Marine archaeal community structure from Potter Cove, Antarctica: high temporal and spatial dominance of the phylum Thaumarchaeota</t>
  </si>
  <si>
    <t>Antarctic Peninsula; 16S rDNA; DGGE; Marine archaea</t>
  </si>
  <si>
    <t>ARCTIC-OCEAN; PLANKTONIC ARCHAEA; ASSEMBLAGES; ABUNDANCE; BACTERIAL; BIOMASS; WATERS; SOIL; SEA</t>
  </si>
  <si>
    <t>Archaeal communities represent a significant fraction of the Antarctic marine microbial plankton and surely play a relevant role in the proper functioning of the ecosystem. We studied the archaeal community structure in surface water samples from Potter Cove, Antarctica. Temporal and spatial variability was investigated along a whole year cycle using DGGE and 16S rRNA gene sequencing from clone libraries. Additionally, photosynthetic pigments, suspended particulate matter (SPM), salinity and temperature were measured. The multivariate analysis performed using diversity, dominance and richness indexes, and environmental data evidenced a seasonal pattern in the archaeal community and revealed that spring-summer samples clustered separately from autumn to winter ones. High salinity and high values of diversity and richness were related to autumn-winter samples, whereas the spring-summer samples were associated mainly with higher values of temperature, SPM, Chl-a, carotenoids and archaeal dominance. The phylogenetic analysis of five independent clone libraries (467 sequences) showed that 448 sequences fell into a clade containing Nitrosopumilus maritimus and other sequences of ammonia-oxidizing archaea which belong to the Thaumarchaeota phylum. A high fraction of these sequences (62 %) constituted a single cluster containing only highly similar Potter Cove representatives, which probably belong to the same species. Fifteen sequences were affiliated to a group closely related to the order Thermoplasmatales (Euryarchaeota). This work represents a first step towards obtaining a deep understanding of the structure of archaeal communities from Antarctic coastal marine environments and contributes to cover the current gap in knowledge of the dynamics of the archaeoplankton in the Antarctic seas.</t>
  </si>
  <si>
    <t>[Hernandez, Edgardo A.; Mac Cormack, Walter P.] Inst Antartico Argentino, Dept Microbiol Ambiental, Buenos Aires, DF, Argentina; [Hernandez, Edgardo A.; Mac Cormack, Walter P.] Univ Buenos Aires, UBA CONICET, Catedra Biotecnol, Fac Farm &amp; Bioquim, Junin 956 Piso 6,C1113AAD, Buenos Aires, DF, Argentina; [Hernandez, Edgardo A.; Mac Cormack, Walter P.] Univ Buenos Aires, UBA CONICET, Inst Nanobiotecnol, Buenos Aires, DF, Argentina; [Piquet, Anouk M-T; Buma, Anita G. J.] Univ Groningen, Energy &amp; Sustainabil Res Inst, Dept Ocean Ecosyst, Groningen, Netherlands; [Lopez, Jose L.] Univ Buenos Aires, Fac Farm &amp; Bioquim, Catedra Virol, Buenos Aires, DF, Argentina</t>
  </si>
  <si>
    <t>Instituto Antartico Argentino; Consejo Nacional de Investigaciones Cientificas y Tecnicas (CONICET); University of Buenos Aires; Consejo Nacional de Investigaciones Cientificas y Tecnicas (CONICET); University of Buenos Aires; University of Groningen; University of Buenos Aires</t>
  </si>
  <si>
    <t>Mac Cormack, WP (corresponding author), Univ Buenos Aires, UBA CONICET, Catedra Biotecnol, Fac Farm &amp; Bioquim, Junin 956 Piso 6,C1113AAD, Buenos Aires, DF, Argentina.</t>
  </si>
  <si>
    <t>Buma, Anita GJ/E-8372-2015</t>
  </si>
  <si>
    <t>Mac Cormack, Walter/0000-0002-5280-5463</t>
  </si>
  <si>
    <t>Agencia Nacional de Promocion Cientifica y Tecnologica (ANPCyT) [PICTO 2010-0124]; Universidad de Buenos Aires [UBA 20020100100378]; European Commission through the Marie Curie Action IRSES [318718]</t>
  </si>
  <si>
    <t>Agencia Nacional de Promocion Cientifica y Tecnologica (ANPCyT)(ANPCyTSpanish Government); Universidad de Buenos Aires(University of Buenos Aires); European Commission through the Marie Curie Action IRSES</t>
  </si>
  <si>
    <t>This research was carried out under an agreement between the Instituto Antartico Argentino and the Facultad de Farmacia y Bioquimica of the Universidad de Buenos Aires. This work was supported by grants PICTO 2010-0124 from the Agencia Nacional de Promocion Cientifica y Tecnologica (ANPCyT) and UBA 20020100100378 from Universidad de Buenos Aires. Also we had the financial support from the European Commission through the Marie Curie Action IRSES, project no 318718, IMCONet (Interdisciplinary Modelling of climate change in coastal Western Antarctica-Network for staff Exchange and Training). We thank Gustavo Latorre, Gaston Aguirre and Oscar Gonzalez for their technical assistance and Cecilia Ferreiro for the correction of the English manuscript.</t>
  </si>
  <si>
    <t>10.1007/s00300-014-1569-8</t>
  </si>
  <si>
    <t>AZ6EB</t>
  </si>
  <si>
    <t>WOS:000348310200001</t>
  </si>
  <si>
    <t>Morrison, KW; Battley, PF; Sagar, PM; Thompson, DR</t>
  </si>
  <si>
    <t>Morrison, Kyle W.; Battley, Phil F.; Sagar, Paul M.; Thompson, David R.</t>
  </si>
  <si>
    <t>Population dynamics of Eastern Rockhopper Penguins on Campbell Island in relation to sea surface temperature 1942-2012: current warming hiatus pauses a long-term decline</t>
  </si>
  <si>
    <t>Climate change; Eudyptes chrysocome filholi; Global warming hiatus; Marine top predator; Seabird; Sub-Antarctic</t>
  </si>
  <si>
    <t>EUDYPTES-CHRYSOCOME; SOUTHERN ROCKHOPPER; NEW-ZEALAND; FALKLAND ISLANDS; AERIAL-PHOTOGRAPHY; CLIMATE; PACIFIC; ANTARCTICA; NUMBERS; TRENDS</t>
  </si>
  <si>
    <t>Major population changes of marine mega-fauna are ongoing as global warming, and other anthropogenic drivers affect prey availability. The historical stronghold of the Eastern Rockhopper Penguin (Eudyptes chrysocome filholi) was New Zealand's sub-Antarctic Campbell Island, but the population declined by 94 % between 1942 and 1984. The apparent mechanism of collapse was warm ocean temperatures causing an inadequate food supply. Eudyptes penguin population declines are ongoing at some breeding sites, highlighting the need to investigate the population trend on Campbell Island since 1984. We estimated the Eastern Rockhopper Penguin breeding population size through physical and photo-counts of birds and nests in 2012, and changes in colony area relative to 1984 and 1996 photographs. We estimated the 2012 population size at 33,239 breeding pairs, a 21.8 % decrease from an (adjusted) estimate of 42,528 pairs in 1984. Although substantial, the recent 1984-2012 decline occurred at a much slower rate (lambda = 0.991) than the 1942-1984 decline (lambda = 0.940). Despite great variation in trends between colonies ostensibly linked to differences in predation rates, the recent decline occurred primarily between 1984 and 1996, and thereafter the overall population grew. A 100-year time series of extended reconstructed sea surface temperatures (ERSST) confirmed that the population declined during warm periods and increased during cool periods, but that the initial decline began before increases in regional ERSST. Population growth after 1996 appears related to the current global warming hiatus, lower ERSST, and increased abundance of a key prey species. We predict a continuation of the long-term population decline after warming resumes.</t>
  </si>
  <si>
    <t>[Morrison, Kyle W.; Battley, Phil F.] Massey Univ, Inst Nat Resources, Ecol Grp, Palmerston North 4442, New Zealand; [Sagar, Paul M.] Natl Inst Water &amp; Atmospher Res, Christchurch 8011, New Zealand; [Thompson, David R.] Natl Inst Water &amp; Atmospher Res, Wellington 6021, New Zealand</t>
  </si>
  <si>
    <t>Massey University; National Institute of Water &amp; Atmospheric Research (NIWA) - New Zealand; National Institute of Water &amp; Atmospheric Research (NIWA) - New Zealand</t>
  </si>
  <si>
    <t>Morrison, KW (corresponding author), Massey Univ, Inst Nat Resources, Ecol Grp, Palmerston North 4442, New Zealand.</t>
  </si>
  <si>
    <t>k.w.morrison@massey.ac.nz</t>
  </si>
  <si>
    <t>Battley, Philip/AAI-1443-2021; Thompson, David/C-3520-2008</t>
  </si>
  <si>
    <t>Battley, Philip/0000-0002-8590-8098;</t>
  </si>
  <si>
    <t>New Zealand Ministry of Business, Innovation, and Employment [C01X0905]; Massey University; Natural Sciences and Engineering Research Council of Canada; Education New Zealand; New Zealand Ministry of Business, Innovation &amp; Employment (MBIE) [C01X0905] Funding Source: New Zealand Ministry of Business, Innovation &amp; Employment (MBIE)</t>
  </si>
  <si>
    <t>New Zealand Ministry of Business, Innovation, and Employment(New Zealand Ministry of Business, Innovation and Employment (MBIE)); Massey University; Natural Sciences and Engineering Research Council of Canada(Natural Sciences and Engineering Research Council of Canada (NSERC)CGIAR); Education New Zealand; New Zealand Ministry of Business, Innovation &amp; Employment (MBIE)(New Zealand Ministry of Business, Innovation and Employment (MBIE))</t>
  </si>
  <si>
    <t>Our thanks to D. Armstrong and the three anonymous reviewers of this manuscript for constructive comments. This work was supported by the New Zealand Ministry of Business, Innovation, and Employment (contract C01X0905 to the National Institute for Water and Atmospheric Research). K.W.M. is grateful to Massey University, the Natural Sciences and Engineering Research Council of Canada, and Education New Zealand for financial support. Thank you to P. Moors, D. Cunningham, P. Moore, G. Taylor, J. Roberts, and S. Jamieson for photographs, unpublished data, and helpful discussions. We appreciate L. Chilvers for providing the Campbell Island base map and J. Roberts the ERSST data. Thank you to the Department of Conservation, Southland Conservancy for supporting our research on Campbell Island, and to H. Haazen and the crew of RV 'Tiama' for safe transport. Our methods were approved by the Massey University Animal Ethics Committee, Protocol No. 10/90. This research would not have been possible without the penguin-counting efforts and cliff-edge anchorage provided almost willingly from N. Morrison, R. Buchheit, and R. Dunn.</t>
  </si>
  <si>
    <t>10.1007/s00300-014-1575-x</t>
  </si>
  <si>
    <t>WOS:000348310200005</t>
  </si>
  <si>
    <t>Majewska, R; Kuklinski, P; Balazy, P; Yokoya, NS; Martins, AP; De Stefano, M</t>
  </si>
  <si>
    <t>Majewska, Roksana; Kuklinski, Piotr; Balazy, Piotr; Yokoya, Nair Sumie; Martins, Aline Paternostro; De Stefano, Mario</t>
  </si>
  <si>
    <t>A comparison of epiphytic diatom communities on Plocamium cartilagineum (Plocamiales, Florideophyceae) from two Antarctic areas</t>
  </si>
  <si>
    <t>Antarctic diatoms; Epiphytes; Grazing; Growth form; Plocamium cartilagineum; SEM</t>
  </si>
  <si>
    <t>KING-GEORGE-ISLAND; TERRA-NOVA BAY; ROSS SEA; POTTER COVE; BENTHIC COMMUNITIES; WINDMILL ISLANDS; ICE; SEDIMENTS; BIOMASS; BIODIVERSITY</t>
  </si>
  <si>
    <t>Our understanding of diatoms, one of the most important Antarctic primary producers, is based mostly on investigations of plankton, sea-ice, and sediment samples. Herein, we contribute to the limited research devoted to benthic Antarctic diatoms by presenting a study on epiphytic diatom communities sampled in two remote Antarctic regions: Admiralty Bay (maritime Antarctica, Antarctic Peninsula) and Terra Nova Bay (Ross Sea). Recent studies have demonstrated that the most critical factor for the local epiphytic diatom communities was the nature of the substrate. In order to eliminate this factor so we could evaluate other potential controls, we sampled epiphytic diatoms from only one substrate that is common to both regions: the macroalgae Plocamium cartilagineum (L.) Dixon. Thalli of P. cartilagineum and their associated microalgal community was collected in January 2011 (Admiralty Bay) and 2012 (Terra Nova Bay) from a water depth of 5-25 m. Dehydrated macroalgal pieces were placed on stubs and sputter-coated, which allowed observation of diatoms attached to the substrate in their original position using scanning electron microscopy. A total of 72 taxa were observed, of which 31 taxa were common to both regions. Cell abundance and diatom growth form dominance were significantly different in Admiralty Bay and Terra Nova Bay samples. Total diatom abundance was higher in Admiralty Bay samples, dominated by adnate diatoms (Cocconeis spp.), but the number of taxa found as well as the values of ecological indices were higher for samples from the Ross Sea, where motile forms were dominant (Navicula spp.). Our results suggest that Antarctic shallow-water benthic habitats may present a high degree of microniche heterogeneity and highlight the need of fine-scale analyses in microbial studies. We also suggest grazers as a factor that contributes greatly to the observed differences.</t>
  </si>
  <si>
    <t>[Majewska, Roksana; De Stefano, Mario] Univ Naples 2, Caserta, Italy; [Kuklinski, Piotr; Balazy, Piotr] Polish Acad Sci, Inst Oceanol, Sopot, Poland; [Yokoya, Nair Sumie] Ctr Res Phycol, Inst Bot, Sao Paulo, Brazil; [Martins, Aline Paternostro] Univ Sao Paolo, Inst Chem, Sao Paulo, Brazil</t>
  </si>
  <si>
    <t>Universita della Campania Vanvitelli; Polish Academy of Sciences; Institute of Oceanology of the Polish Academy of Sciences; Instituto de Botanica - Sao Paulo</t>
  </si>
  <si>
    <t>Majewska, R (corresponding author), Univ Naples 2, Caserta, Italy.</t>
  </si>
  <si>
    <t>roksana.majewska@unina2.it</t>
  </si>
  <si>
    <t>Yokoya, Nair S/F-1571-2015; Balazy, Piotr/D-2949-2018; Majewska, Roksana/P-1280-2015; Martins, Aline/H-7951-2012</t>
  </si>
  <si>
    <t>Balazy, Piotr/0000-0002-1126-3151; Majewska, Roksana/0000-0003-2681-4304; DE STEFANO, Mario/0000-0003-0342-192X; Martins, Aline/0000-0003-4847-7580; Kuklinski, Piotr/0000-0002-1507-215X</t>
  </si>
  <si>
    <t>Second University of Naples (SUN); Polish Academy of Sciences (PAS); Italian National Program of Research in Antarctica (it. PNRA)</t>
  </si>
  <si>
    <t>Many people helped us plan and implement this study. We are grateful to everyone, especially to Andrzej Tatur and Jaroslaw Roszczyk for their invaluable help in making the expedition to H. Arctowski'' Station possible and to all members of the XXXV Polish Antarctic Expedition for the hospitality and friendliness while visiting the station. We thank Tadeusz Stryjek who contributed to the collection of macroalgae from Admiralty Bay, Enrico Olivari who helped collected data from Terra Nova Bay, and Paolo Povero for making the data on physical parameters in Terra Nova Bay available. We also thank Brett Grant for his generous assistance with the linguistic revision of the manuscript. Detailed comments and valuable suggestions by the editor, anonymous reviewers and David M. Harwood on the previous version of this work are gratefully acknowledged. This study was financially supported by the Second University of Naples (SUN), Polish Academy of Sciences (PAS), and the Italian National Program of Research in Antarctica (it. PNRA) coordinated by the Italian National Research Council (it. CNR).</t>
  </si>
  <si>
    <t>10.1007/s00300-014-1578-7</t>
  </si>
  <si>
    <t>WOS:000348310200007</t>
  </si>
  <si>
    <t>Anosov, SE; Spiridonov, VA; Neretina, TV; Uryupova, EF; Schepetov, D</t>
  </si>
  <si>
    <t>Anosov, Sergey E.; Spiridonov, Vassily A.; Neretina, Tatiana V.; Uryupova, Ekaterina F.; Schepetov, Dimitry</t>
  </si>
  <si>
    <t>King crabs of the western Atlantic sector of Antarctic and adjacent areas: new records, molecular barcode data and distribution (Crustacea: Decapoda: Lithodidae)</t>
  </si>
  <si>
    <t>Morphological variation; COI; Divergence; Faunal discontinuity; Southern Ocean; Scotia Sea; Drake Passage</t>
  </si>
  <si>
    <t>LECITHOTROPHIC LARVAL DEVELOPMENT; CHEMICAL-COMPOSITION; PARALOMIS CRUSTACEA; DNA BARCODES; STONE CRAB; ANOMURA; CLIMATE; MAXIMUM; BIOMASS; HERMIT</t>
  </si>
  <si>
    <t>In many areas of the Antarctic and Subantarctic, king crabs records are still fragmentary. New data on the distribution of Lithodidae in the Scotia Sea and the adjacent area of the south-west Atlantic and the south-east Pacific have been collected during exploratory pot fishing in the year 2010 and are also based on some earlier collections that are deposited in Russian museums. The occurrence of Lithodes macquariae off Peter I Island is confirmed. Lithodes confundens, Lithodes turkayi and Neolithodes diomedeae were found in abundance on the Northern Scotia Ridge at a depth of, respectively, 315-775, 315-1,410 and 840-1,300 m. Paralomis formosa was recorded for the first time on the shelf of the South Orkney Islands, which is the southernmost record of this species. New material and literature data demonstrate the existence of two discontinuous lithodid faunas: the Antarctic Pacific fauna that extends up to the western Antarctic Peninsula and the Magellanic-Scotia fauna. The origin of this faunal discontinuity is discussed. The molecular barcodes (subunit I of the mitochondrial cytochrome-oxidase gene-COI) data for N. diomedeae and L. turkayi are provided for the first time. COI gene tree suggests that two main Subantarctic/Antarctic lineages of Lithodes, i.e. a pair Lithodes santolla/L. confundens and L. turkayi (with possibly closely related Lithodes murrayi and L. macquariae) are phylogenetically distant from each other as well as with low-latitude Pacific and Atlantic species of this genus.</t>
  </si>
  <si>
    <t>[Anosov, Sergey E.; Uryupova, Ekaterina F.] Russian Fed Inst Fishery &amp; Oceanog VNIRO, Moscow 107140, Russia; [Spiridonov, Vassily A.] Russian Acad Sci, PP Shirshov Oceanol Inst, Moscow 117997, Russia; [Neretina, Tatiana V.] Moscow MV Lomonosov State Univ, Fac Biol, Moscow State Univ, NA Pertsov White Sea Biol Stn, Moscow 119234, Russia; [Schepetov, Dimitry] Russian Acad Sci, NK Koltsov Inst Dev Biol, Moscow 119334, Russia</t>
  </si>
  <si>
    <t>Russian Academy of Sciences; Shirshov Institute of Oceanology; Lomonosov Moscow State University; Russian Academy of Sciences; Koltzov Institute of Developmental Biology of the Russian Academy of Sciences</t>
  </si>
  <si>
    <t>Spiridonov, VA (corresponding author), Russian Acad Sci, PP Shirshov Oceanol Inst, Nakhimov Ave 36, Moscow 117997, Russia.</t>
  </si>
  <si>
    <t>Vassily.Spiridonov@msc.org</t>
  </si>
  <si>
    <t>Schepetov, Dimitry M/S-5444-2018; Neretina, Tatiana Vladimirovna/O-3724-2016; Uryupova, Ekaterina/AAL-6138-2020</t>
  </si>
  <si>
    <t>Schepetov, Dimitry M/0000-0002-1195-0461; Uryupova, Ekaterina/0000-0002-1335-1673</t>
  </si>
  <si>
    <t>RFBR [13-04-01127]; Ministry of Education and Science of the Russian Federation [11.G34.31.0008]</t>
  </si>
  <si>
    <t>RFBR(Russian Foundation for Basic Research (RFBR)); Ministry of Education and Science of the Russian Federation(Ministry of Education and Science, Russian Federation)</t>
  </si>
  <si>
    <t>We thank Sedna Industries Inc.'' and the master and crew of M.S. Tamango'' for the excellent support of the scientific observers programme on board. Comments and constructive criticism of three anonymous reviewers were of great help for improving the manuscript. We are also obliged to Anna Zalota for checking and correcting the English text. The studies of SA, VS and EU on the lithodid crabs were supported by the RFBR Grant No. 13-04-01127. The laboratory work and analysis was funded by the Ministry of Education and Science of the Russian Federation (Grant No. 11.G34.31.0008 to TN and DS).</t>
  </si>
  <si>
    <t>10.1007/s00300-014-1581-z</t>
  </si>
  <si>
    <t>WOS:000348310200010</t>
  </si>
  <si>
    <t>Soubeyran, Y; Meyer, JY; Lebouvier, M; De Thoisy, B; Lavergne, C; Urtizberea, F; Kirchner, F</t>
  </si>
  <si>
    <t>Soubeyran, Yohann; Meyer, Jean-Yves; Lebouvier, Marc; De Thoisy, Benoit; Lavergne, Christophe; Urtizberea, Frank; Kirchner, Florian</t>
  </si>
  <si>
    <t>Dealing with invasive alien species in the French overseas territories: results and benefits of a 7-year Initiative</t>
  </si>
  <si>
    <t>BIOLOGICAL INVASIONS</t>
  </si>
  <si>
    <t>French overseas territories; Islands; Network; Capacity building; Regional cooperation</t>
  </si>
  <si>
    <t>CROZET; IMPACT; EXTENT; ISLAND</t>
  </si>
  <si>
    <t>Invasive alien species (IAS) are one of the most serious threats to the rich and unique biodiversity of the 13 French overseas territories (FOTs) scattered across three oceans and two continents. To address this critical issue, a dedicated Initiative has been conducted since 2005, with the support of a large panel of national and local experts and stakeholders. This paper summarizes the main results and benefits of this project after 7 years. As a first phase, an unprecedented overview of IAS and their impacts in all the FOTs was achieved. A total of 630 alien taxa were recorded, among which 258 plants, 52 terrestrial vertebrates and 32 invertebrates were identified as a threat, or a potential threat, to native species and/or natural habitats. Gaps in the knowledge about invasive species were also highlighted and a comprehensive set of recommendations was developed. Using a range of targeted collaborative actions and promoting the exchange of information and regional cooperation, the Initiative raised awareness of invasive species issues, improved access to information and strengthened local and regional capacities. In this paper, we report on the outcomes of the Initiative and what remains to be done with regards to the prevention of new introductions, early detection, rapid response and public awareness, as well as future challenges.</t>
  </si>
  <si>
    <t>[Soubeyran, Yohann; Kirchner, Florian] Com Francais UICN, 26 Rue Geoffroy St Hilaire, F-75005 Paris, France; [Meyer, Jean-Yves] Govt Polynesie Francaise, Delegat Rech, F-98713 Papeete, Tahiti, France; [Lebouvier, Marc] Univ Rennes 1, UMR CNRS Ecobio 6553, F-35380 Paimpont, France; [De Thoisy, Benoit] Assoc Kwata, Cayenne 97335, French Guiana; [Lavergne, Christophe] Conservatoire Bot Natl Mascarin, F-97436 Colimacons St Leu, Reunion, France; [Urtizberea, Frank] Assoc SPM Fragiles, F-97500 St Pierre, St Pierre &amp; Miq, France</t>
  </si>
  <si>
    <t>Universite de Rennes</t>
  </si>
  <si>
    <t>Soubeyran, Y (corresponding author), Com Francais UICN, 26 Rue Geoffroy St Hilaire, F-75005 Paris, France.</t>
  </si>
  <si>
    <t>yohann.soubeyran@uicn.fr</t>
  </si>
  <si>
    <t>de thoisy, benoit/0000-0002-8420-5112</t>
  </si>
  <si>
    <t>French Ministry of Environment; French Ministry of Overseas Territories; National Forest Office; Regional Council of Reunion Island; CIRAD</t>
  </si>
  <si>
    <t>The Initiative on IAS in the French overseas territories would not have been a success without the involvement of a wide range of contributors, especially the local coordinators. Some of them are among the authors of the article. We want to thank here warmly all the others for their important role: Anne-Claire Goarant and Julie Goxe (New Caledonia), Paino Vanai and Atoloto Malau (Wallis and Futuna), Pierre Jouventin (French Southern and Antarctic territories), Fabien Barthelat et Benjamin Esperance (Mayotte), Claudia Pavis and Jean-Marie Flower (Guadeloupe), Vincent Arenales del Campo and Cyrille Barnerias (Martinique), Pauline Malterre (SaintMartin) and Franciane Le Quellec (Saint-Barthelemy). We also thank all the contributors for sharing their precious knowledge and experience on IAS all along the 7 years. We would like to thank Sebastien Moncorps and Jean-Philippe Palasi, who have initiated the first phase of the Initiative and set up this project in 2005. We are grateful to Souad Boudjelas and Carola Warner for comments and improvement of the clarity of the manuscript, as well as to two anonymous referees who provided valuable comments. We also thank the partner organizations that provided their financial contribution to the Initiative, especially the French Ministry of Environment, the French Ministry of Overseas Territories, the National Forest Office, the Regional Council of Reunion Island and the CIRAD for their strong support.</t>
  </si>
  <si>
    <t>1387-3547</t>
  </si>
  <si>
    <t>1573-1464</t>
  </si>
  <si>
    <t>BIOL INVASIONS</t>
  </si>
  <si>
    <t>Biol. Invasions</t>
  </si>
  <si>
    <t>10.1007/s10530-014-0766-2</t>
  </si>
  <si>
    <t>AZ3TO</t>
  </si>
  <si>
    <t>WOS:000348149700003</t>
  </si>
  <si>
    <t>Zamora, LM; King, CK; Payne, SJ; Virtue, P</t>
  </si>
  <si>
    <t>Zamora, Lara Marcus; King, Catherine K.; Payne, Sarah J.; Virtue, Patti</t>
  </si>
  <si>
    <t>Sensitivity and response time of three common Antarctic marine copepods to metal exposure</t>
  </si>
  <si>
    <t>Antarctica; Zooplankton; Contamination; Toxicity; Cadmium; Copper</t>
  </si>
  <si>
    <t>PARAMOREA-WALKERI; COPPER TOXICITY; CASEY STATION; TIGRIOPUS; AMPHIPOD; CADMIUM; BIOACCUMULATION; CONTAMINATION; ACCUMULATION; COMMUNITIES</t>
  </si>
  <si>
    <t>Understanding the sensitivity of Antarctic marine organisms to metals is essential in order to manage environmental contamination risks. To date toxicity studies conducted on Antarctic marine species are limited. This study is the first to examine the acute effects of copper and cadmium on three common coastal Antarctic copepods: the calanoids Paralabidocera antarctica and Stephos long-ipes, and the cyclopoid Oncaea curvata. These copepods responded slowly to metal exposure (4-7 d) emphasising that the exposure period of 48-96 h commonly used in toxicity tests with temperate and tropical species is not appropriate for polar organisms. We found that a longer 7 d exposure period was the minimum duration appropriate for Antarctic copepods. Although sensitivity to metal exposure varied between species, copper was more toxic than cadmium in all three species. P. antarctica was the most sensitive with 7 d LC50 values for copper and cadmium of 20 mu g L-1 and 237 mu g L-1 respectively. Sensitivities to copper were similar for both O. curvata (LC50 = 64 mu g L-1) and S. longipes (LC50 = 56 mu g L-1), while O. curvata was more sensitive to cadmium (LC50 = 901 mu g L-1) than S. longipes (LC50 = 1250 mu g L-1). In comparison to copepods from lower latitudes, Antarctic copepods were more sensitive to copper and of similar sensitivity or less sensitive to cadmium. This study highlights the need for longer exposure periods in toxicity tests with slow responding Antarctic biota in order to generate relevant sensitivity data for inclusion in site-specific environmental quality guidelines for Antarctica. (C) 2014 Elsevier Ltd. All rights reserved.</t>
  </si>
  <si>
    <t>[Zamora, Lara Marcus; Payne, Sarah J.; Virtue, Patti] Univ Tasmania, Inst Marine &amp; Antarctic Studies, Hobart, Tas 7001, Australia; [King, Catherine K.] Australian Antarctic Div, Kingston, Tas 7050, Australia</t>
  </si>
  <si>
    <t>Zamora, LM (corresponding author), Univ Tasmania, Inst Marine &amp; Antarctic Studies, Private Bag 129, Hobart, Tas 7001, Australia.</t>
  </si>
  <si>
    <t>Imarcus@utas.edu.au</t>
  </si>
  <si>
    <t>King, Catherine K/0000-0003-3356-0381; Virtue, Patti/0000-0002-9870-1256</t>
  </si>
  <si>
    <t>Australian Antarctic Science Grant [AAS 2933]</t>
  </si>
  <si>
    <t>Australian Antarctic Science Grant</t>
  </si>
  <si>
    <t>This research was funded and supported by an Australian Antarctic Science Grant (AAS 2933) to C King. We are grateful to Jane Wasley for her logistical support, to Ashley Cooper for the chemical analysis, to Kerrie Swadling for assistance in the identification of copepods, and to Anne Palmer for her help in the writing process. We would also like to thank all the crew at Davis Station for the summer 2010-2011 with a special acknowledgment to the Marine team John Van de Hoff, Bianca Sfiligoj, Ashley Miskelly, Jessica Ericson, Melanie Ho, Claire Wallis, Kathryn Brown and Andrew Bryant.</t>
  </si>
  <si>
    <t>10.1016/j.chemosphere.2014.07.051</t>
  </si>
  <si>
    <t>AZ1MN</t>
  </si>
  <si>
    <t>WOS:000348003200037</t>
  </si>
  <si>
    <t>Bader, NE; Nicolaysen, KP; Lopez-Maldonado, R; Murray, KE; Mudd, AC</t>
  </si>
  <si>
    <t>Bader, Nicholas E.; Nicolaysen, Kirsten P.; Lopez-Maldonado, Ricardo; Murray, Kira E.; Mudd, Anna C.</t>
  </si>
  <si>
    <t>Extensive middle Miocene weathering interpreted from a well-preserved paleosol, Cricket Flat, Oregon, USA</t>
  </si>
  <si>
    <t>ATMOSPHERIC CARBON-DIOXIDE; OXYGEN-ISOTOPE EVIDENCE; LATE EOCENE; SOILS; GEOCHEMISTRY; STRATIGRAPHY; PALEOCLIMATE; PEDOGENESIS; CHEMISTRY; EVOLUTION</t>
  </si>
  <si>
    <t>The high-resolution marine isotope climate record indicates pronounced global cooling during the Langhian (16-13.8 Ma), beginning with the warm middle Miocene climatic optimum and ending with significant Antarctic ice sheet expansion and the transition to icehouse conditions. However, the timing and rate of cooling during the Langhian are uncertain. Terrestrial paleoclimate data from this interval is sparse and sometimes conflicting; in particular, there are gaps in the terrestrial record in the Pacific Northwest during the late Langhian and early Serravallian between about 14.5 and 12.5 Ma. New terrestrial paleoclimate data from this time and region could help reconcile these conflicting records. Paleosols are particularly useful for reconstructing paleoenvironment because the rate and style of pedogenesis are primarily a function of surface environmental conditions; however, complete and well-preserved paleosols are uncommon. Most soils form in erosive environments that are not preserved, or in environments such as floodplains that accumulate in small increments; the resulting cumulic soils are usually thin, weakly developed, and subject to diagenetic overprinting from subsequent soils. The paleosol at Cricket Flat in northeastern Oregon is an unusually complete and well-preserved paleosol from a middle Miocene volcanic sequence in the Powder River Volcanic Field. An olivine basalt flow buried the paleosol at approximately 13.8 +/- 0.6 Ma, based on three 40Ar/39Ar dates on the basalt. We described the Cricket Flat paleosol and used its physical and chemical profile and micromorphology to assess pedogenesis. The Cricket Flat paleosol is an Ultisol-like paleosol, chemically consistent with a high degree of weathering. Temperature and rainfall proxies suggest that Cricket Flat received 1120 +/- 180 mm precipitation year(-1) and experienced a mean annual temperature of 14.5 +/- 2.1 degrees C during the formation of the paleosol, significantly warmer and wetter than today. This suggests slower cooling after the middle Miocene climatic optimum than is seen in the existing paleosol record. (C) 2014 Elsevier B.V. All rights reserved.</t>
  </si>
  <si>
    <t>[Bader, Nicholas E.; Nicolaysen, Kirsten P.; Murray, Kira E.] Whitman Coll, Dept Geol, Walla Walla, WA 99362 USA; [Lopez-Maldonado, Ricardo] Univ Idaho, Dept Geol Sci, Moscow, ID 83844 USA; [Mudd, Anna C.] Coll Wooster, Dept Geol, Wooster, OH 44691 USA</t>
  </si>
  <si>
    <t>Whitman College; Idaho; University of Idaho; University System of Ohio; College of Wooster</t>
  </si>
  <si>
    <t>Bader, NE (corresponding author), Whitman Coll, Dept Geol, 345 Boyer Ave, Walla Walla, WA 99362 USA.</t>
  </si>
  <si>
    <t>baderne@whitman.edu</t>
  </si>
  <si>
    <t>Bader, Nicholas/0000-0002-8092-5163; Nicolaysen, Kirsten/0000-0002-3285-6263</t>
  </si>
  <si>
    <t>Keck Geology Consortium member institutions; National Science Foundation (NSF-REU) [1062720]; ExxonMobil Corporation; Division Of Earth Sciences; Directorate For Geosciences [1358987, 1062720] Funding Source: National Science Foundation</t>
  </si>
  <si>
    <t>Keck Geology Consortium member institutions; National Science Foundation (NSF-REU)(National Science Foundation (NSF)NSF - Office of the Director (OD)); ExxonMobil Corporation(Exxon Mobil Corporation); Division Of Earth Sciences; Directorate For Geosciences(National Science Foundation (NSF)NSF - Directorate for Geosciences (GEO))</t>
  </si>
  <si>
    <t>lThis project was funded by the Keck Geology Consortium member institutions, the National Science Foundation (NSF-REU Grant 1062720), and the ExxonMobil Corporation. Mark Ferns and Jason McClaughry (Oregon Department of Geology and Mineral Industries), Jay Van Tassell (Eastern Oregon University), R. Bud Wobus (Williams College) and Patrick Spencer (Whitman College) visited our field site and provided their insight and advice. Greg Retallack (Oregon State University) kindly provided field notes from his earlier site visit. Rick Conrey (Washington State University, Pullman) at the GeoAnalytical lab provided student training and XRF analyses. Rebecca Rodd (UNC Chapel Hill), Dennis Geist (U of Idaho), Meagen Pollock (College of Wooster), and Ken Verosub (UC Davis) assisted the authors with their analyses following the field season. Jim and Holly Akenson kindly made their land available to our group during the field season. We thank Nathan Sheldon, an anonymous reviewer, and the Editor, who made helpful comments on an earlier draft that significantly improved the quality of this article.</t>
  </si>
  <si>
    <t>10.1016/j.geoderma.2014.10.007</t>
  </si>
  <si>
    <t>AY7XA</t>
  </si>
  <si>
    <t>WOS:000347768000019</t>
  </si>
  <si>
    <t>McWatters, RS; Rowe, RK</t>
  </si>
  <si>
    <t>McWatters, Rebecca S.; Rowe, R. Kerry</t>
  </si>
  <si>
    <t>Permeation of Volatile Organic Compounds through EVOH Thin Film Membranes and Coextruded LLDPE/EVOH/LLDPE Geomembranes</t>
  </si>
  <si>
    <t>JOURNAL OF GEOTECHNICAL AND GEOENVIRONMENTAL ENGINEERING</t>
  </si>
  <si>
    <t>Coextruded; Ethylene vinyl alcohol (EVOH); Geomembranes; Diffusion; Permeation; Partitioning; Volatile organic compounds (VOCs); Benzene, toluene, ethylbenzene, and xylenes (BTEX); Temperature; Arrhenius</t>
  </si>
  <si>
    <t>DENSITY POLYETHYLENE GEOMEMBRANES; TRANSPORT PARAMETERS; VOC TRANSPORT; DIFFUSION; SORPTION; CONTAMINANTS; LLDPE; PVC</t>
  </si>
  <si>
    <t>Coextruded geomembranes with an inner ethylene vinyl alcohol (EVOH) layer are gaining attention as potential improved barriers to volatile organic compounds (VOCs) when used in barrier systems that would traditionally use high-density polyethylene (HDPE) geomembranes. The permeation characteristics of nine common VOCs in aqueous solutions through the EVOH layer are investigated for two thin films: a 0.015-mm-thick, 32 mol% EVOH and a 0.02-mm-thick, 44 mol% EVOH. The VOCs included aromatic hydrocarbons [benzene, toluene, ethylbenzene, and xylenes (BTEX)] and chlorinated hydrocarbons [1,2-dichloroethane (1,2-DCA), dichloromethane (DCM), trichloroethylene (TCE), and tetrachloroethylene (PCE)]. The BTEX permeation coefficients, P-g, range from 1.4 x 10(-14) to 25 x 10(-14) m(2).s(-1) depending on the contaminant and mol% EVOH. When a 0.02-mm-thick, 38 mol% EVOH thin film layer is coextruded with linear low-density polyethylene (LLDPE) to form a 0.53-mm-thick geomembrane, the BTEX permeation values of the EVOH thin film itself are reduced to P-g = 0.4 x 10(-14) to 0.7 x 10(-14) m(2).s(-1). The higher permeation coefficients for the thin films as compared with the film contained in the coextruded LLDPE/EVOH/LLDPE geomembrane are attributed to interactions between the water in the aqueous solution and the EVOH layer, an interaction that is prevented by the presence of the LLDPE in the coextruded geomembrane. These P-g values are two to four orders of magnitude lower than values that have been observed for LLDPE and HDPE geomembranes. The effect of temperature on VOC permeation was also studied for the 32 mol% EVOH thin films at 23, 30, 40, and 50 +/- 1 degrees C. An Arrhenius relationship was developed that allows the evaluation of the permeation characteristics at temperatures 23-50 degrees C and, by extrapolation, an estimation of the values for temperatures a little higher or lower than the test temperatures. (C) 2014 American Society of Civil Engineers.</t>
  </si>
  <si>
    <t>[McWatters, Rebecca S.] Australian Antarctic Div, Kingston, Tas 7050, Australia; [Rowe, R. Kerry] Queens Univ, Queens RMC, GeoEngn Ctr, Kingston, ON K7L 3N6, Canada; [Rowe, R. Kerry] Queens Univ, Dept Civil Engn, Kingston, ON K7L 3N6, Canada</t>
  </si>
  <si>
    <t>Australian Antarctic Division; Royal Military College - Canada; Queens University - Canada; Queens University - Canada</t>
  </si>
  <si>
    <t>Rowe, RK (corresponding author), Queens Univ, Queens RMC, GeoEngn Ctr, Kingston, ON K7L 3N6, Canada.</t>
  </si>
  <si>
    <t>rebecca.mcwatters@aad.gov.au; kerry@civil.queensu.ca</t>
  </si>
  <si>
    <t>Rowe, R. Kerry/0000-0002-1009-0447</t>
  </si>
  <si>
    <t>EVAL-Kuraray Americas (Houston, Texas); Raven Industries Engineered Films Division (Sioux Falls, South Dakota)</t>
  </si>
  <si>
    <t>This study was financially supported by EVAL-Kuraray Americas (Houston, Texas), who provided the EVOH thin films, and Raven Industries Engineered Films Division (Sioux Falls, South Dakota), who provided the coextruded LLDPE/EVOH/LLDPE geomembrane. Their support throughout the project is gratefully acknowledged. The authors are also grateful to key contributors to the study: E. Sandl and D. Jones; Dr. A. Rutter, P. Whitley, and the Analytical Services Unit at Queen's University, Kingston, Canada, for their expertise in method development, testing, and use of laboratory facilities; and Prof. I. Snape, G. Hince, and the team at the Australian Antarctic Division, Kingston, Australia.</t>
  </si>
  <si>
    <t>ASCE-AMER SOC CIVIL ENGINEERS</t>
  </si>
  <si>
    <t>RESTON</t>
  </si>
  <si>
    <t>1801 ALEXANDER BELL DR, RESTON, VA 20191-4400 USA</t>
  </si>
  <si>
    <t>1090-0241</t>
  </si>
  <si>
    <t>1943-5606</t>
  </si>
  <si>
    <t>J GEOTECH GEOENVIRON</t>
  </si>
  <si>
    <t>J. Geotech. Geoenviron. Eng.</t>
  </si>
  <si>
    <t>10.1061/(ASCE)GT.1943-5606.0001209</t>
  </si>
  <si>
    <t>Engineering, Geological; Geosciences, Multidisciplinary</t>
  </si>
  <si>
    <t>AZ1YY</t>
  </si>
  <si>
    <t>WOS:000348032400006</t>
  </si>
  <si>
    <t>Tartu, S; Angelier, F; Wingfield, JC; Bustamante, P; Labadie, P; Budzinski, H; Weimerskirch, H; Bustnes, JO; Chastel, O</t>
  </si>
  <si>
    <t>Tartu, S.; Angelier, F.; Wingfield, J. C.; Bustamante, P.; Labadie, P.; Budzinski, H.; Weimerskirch, H.; Bustnes, J. O.; Chastel, O.</t>
  </si>
  <si>
    <t>Corticosterone, prolactin and egg neglect behavior in relation to mercury and legacy POPs in a long-lived Antarctic bird</t>
  </si>
  <si>
    <t>SCIENCE OF THE TOTAL ENVIRONMENT</t>
  </si>
  <si>
    <t>Snow petrel; Mercury; Persistent organic pollutants; Age; Reproduction</t>
  </si>
  <si>
    <t>PERSISTENT ORGANIC POLLUTANTS; BASE-LINE CORTICOSTERONE; KITTIWAKES RISSA-TRIDACTYLA; BREEDING GLAUCOUS GULLS; PETREL PAGODROMA-NIVEA; STRESS-RESPONSE; ORGANOCHLORINE POLLUTANTS; ADRENOCORTICAL FUNCTION; REPRODUCTIVE SUCCESS; TOP PREDATOR</t>
  </si>
  <si>
    <t>Seabirds often have high loads of contaminants. These contaminants have endocrine disrupting properties but their relationships with some endocrine mechanisms are still poorly investigated in free-living organisms. This is the case for the stress response which shifts energy investment away from reproduction and redirects it towards survival. In birds, this stress response is achieved through a release of corticosterone and is also accompanied by a decrease in circulating prolactin, an anterior pituitary hormone widely involved in regulating parental cares. We measured blood concentrations of some legacy persistent organic pollutants (POPS) and mercury (Hg) and examined their relationships with the corticosterone and prolactin responses of known-age (9-46 years old) incubating snow petrels (Pagodroma nivea) to a standardized capture/handling stress protocol. In this Antarctic seabird, we also investigated whether high contaminant burden correlates with a higher occurrence of egg neglect, a frequently observed behavior in snow petrels. POPs and Hg were unrelated to age. Stress-induced corticosterone concentrations were positively related to POPs in both sexes, and stress-induced prolactin concentrations were negatively related to Hg in males. Egg-neglect behavior was not related to POPs burden, but males with higher Hg concentrations were more likely to neglect their egg. This suggests that in birds, relationships between age and contaminants are complex and that even low to moderate concentrations of POPs and Hg are significantly related to hormonal secretion. In this Antarctic species, exposure to legacy POPs and Hg could make individuals more susceptible to environmental stressors such as ongoing disturbances in Polar Regions. (C) 2014 Elsevier B.V. All rights reserved.</t>
  </si>
  <si>
    <t>[Tartu, S.; Angelier, F.; Weimerskirch, H.; Chastel, O.] Univ La Rochelle, CNRS, UMR 7372, Villiers En Bois, France; [Wingfield, J. C.] Univ Calif Davis, Dept Neurobiol Physiol &amp; Behav, Davis, CA 95616 USA; [Bustamante, P.] Univ La Rochelle, CNRS, UMR 7266, Littoral Environm &amp; Soc LIENSs, La Rochelle, France; [Labadie, P.; Budzinski, H.] Univ Bordeaux, EPOC LPTC, UMR 5805, F-33400 Talence, France; [Labadie, P.; Budzinski, H.] CNRS, EPOC LPTC, UMR 5805, F-33400 Talence, France; [Bustnes, J. O.] Norwegian Inst Nat Res, FRAM High North Res Ctr Climate &amp; Environm, NO-9296 Tromso, Norway</t>
  </si>
  <si>
    <t>Centre National de la Recherche Scientifique (CNRS); CNRS - Institute of Ecology &amp; Environment (INEE); La Rochelle Universite; University of California System; University of California Davis; Centre National de la Recherche Scientifique (CNRS); CNRS - Institute of Ecology &amp; Environment (INEE); La Rochelle Universite; Centre National de la Recherche Scientifique (CNRS); Universite de Bordeaux; CNRS - National Institute for Earth Sciences &amp; Astronomy (INSU); Centre National de la Recherche Scientifique (CNRS); CNRS - National Institute for Earth Sciences &amp; Astronomy (INSU); Norwegian Institute Nature Research</t>
  </si>
  <si>
    <t>Tartu, S (corresponding author), Univ La Rochelle, CNRS, UMR 7372, Villiers En Bois, France.</t>
  </si>
  <si>
    <t>Weimerskirch, Henri/F-5562-2013; Weimerskirch, Henri/K-7306-2019; Tartu, Sabrina/Q-4062-2018; Bustamante, Paco/G-5833-2011; Labadie, Pierre/F-9297-2015</t>
  </si>
  <si>
    <t>Weimerskirch, Henri/0000-0002-0457-586X; Bustamante, Paco/0000-0003-3877-9390; BUDZINSKI, Helene/0000-0001-5282-9011; Labadie, Pierre/0000-0001-7184-6327</t>
  </si>
  <si>
    <t>Agence Nationale de la Recherche (ANR PolarTop); French Polar Institute (IPEV) [109]; 7th Research Program of the European Community FP7 (Marie-Curie Fellowship) [237034]</t>
  </si>
  <si>
    <t>Agence Nationale de la Recherche (ANR PolarTop)(Agence Nationale de la Recherche (ANR)); French Polar Institute (IPEV); 7th Research Program of the European Community FP7 (Marie-Curie Fellowship)</t>
  </si>
  <si>
    <t>This project was funded by Agence Nationale de la Recherche (ANR PolarTop, O. Chastel), the French Polar Institute (IPEV, Program 109, H. Weimerskirch) and the 7th Research Program of the European Community FP7/2007-2013 (Marie-Curie Fellowship, no. 237034, F. Angelier). The funders played no part in the design, analysis, or reporting of the study.</t>
  </si>
  <si>
    <t>0048-9697</t>
  </si>
  <si>
    <t>1879-1026</t>
  </si>
  <si>
    <t>SCI TOTAL ENVIRON</t>
  </si>
  <si>
    <t>Sci. Total Environ.</t>
  </si>
  <si>
    <t>10.1016/j.scitotenv.2014.10.008</t>
  </si>
  <si>
    <t>AY6CJ</t>
  </si>
  <si>
    <t>WOS:000347654900018</t>
  </si>
  <si>
    <t>Zhang, SS; Sun, XY; Liu, DC</t>
  </si>
  <si>
    <t>Zhang, Shasha; Sun, Xiaoyun; Liu, Daicheng</t>
  </si>
  <si>
    <t>Preparation of (3R, 3′R)-astaxanthin monoester and (3R, 3′R)-astaxanthin from Antarctic krill (Euphausia superba Dana)</t>
  </si>
  <si>
    <t>EUROPEAN FOOD RESEARCH AND TECHNOLOGY</t>
  </si>
  <si>
    <t>(3R, 3 ' R)-Astaxanthin monoester; (3R, 3 ' R)-Astaxanthin; Antarctic krill (Euphausia superba Dana); HPLC; Silica gel column chromatography; GC-MS</t>
  </si>
  <si>
    <t>MICROALGA HAEMATOCOCCUS-PLUVIALIS; PRESSURE CHEMICAL-IONIZATION; SHRIMP PANDALUS-BOREALIS; ASTAXANTHIN ESTERS; MASS-SPECTROMETRY; FATTY-ACIDS; WATER; CAROTENOIDS; LIPIDS; WASTE</t>
  </si>
  <si>
    <t>A special method is described for the preparation of (3R, 3'R)-astaxanthin monoester (AM) and (3R, 3'R)-astaxanthin from Antarctic krill (Euphausia superba Dana). Purified AM was obtained on a large scale from crude extract extracted from Antarctic krill in 38.14 % yield by silica gel column chromatography. After the AM was saponified with methanolic KOH (0.10 mol L-1) and separated by high-performance thin-layer chromatography, pure astaxanthin was obtained. There was only one optical (3R, 3'R)-isomer of the esterification of astaxanthin with (-)-camphanic acid chloride detected by high-performance liquid chromatography compared with astaxanthin standard. It was further proved that the AM consists of only one optical (3R, 3'R)-isomer. Twelve types of fatty acids in the AM from Antarctic krill were found by gas chromatography-mass spectrometer. Eicosapentaenoic and docosahexaenoic acids are the major fatty acids. It is the first time to prepare (3R, 3'R)-AM and (3R, 3'R)-astaxanthin from Antarctic krill. The purified (3R, 3'R)-AM and (3R, 3'R)-astaxanthin can be used as a standard for further related study.</t>
  </si>
  <si>
    <t>[Zhang, Shasha; Sun, Xiaoyun; Liu, Daicheng] Shandong Normal Univ, Coll Life Sci, Jinan 250014, Peoples R China</t>
  </si>
  <si>
    <t>Liu, DC (corresponding author), Shandong Normal Univ, Coll Life Sci, 88 East Wenhua Rd, Jinan 250014, Peoples R China.</t>
  </si>
  <si>
    <t>Shandong Keruier Biological Products Co. China</t>
  </si>
  <si>
    <t>This work was partly supported by Shandong Keruier Biological Products Co. China.</t>
  </si>
  <si>
    <t>1438-2377</t>
  </si>
  <si>
    <t>1438-2385</t>
  </si>
  <si>
    <t>EUR FOOD RES TECHNOL</t>
  </si>
  <si>
    <t>Eur. Food Res. Technol.</t>
  </si>
  <si>
    <t>10.1007/s00217-014-2327-4</t>
  </si>
  <si>
    <t>AY8SW</t>
  </si>
  <si>
    <t>WOS:000347824600004</t>
  </si>
  <si>
    <t>Gardner, C; Hartmann, K; Punt, AE; Jennings, S; Green, B</t>
  </si>
  <si>
    <t>Gardner, Caleb; Hartmann, Klaas; Punt, Andre E.; Jennings, Sarah; Green, Bridget</t>
  </si>
  <si>
    <t>Bio-economics of commercial scale translocation of southern rock lobster</t>
  </si>
  <si>
    <t>Translocation; Fisheries management; Enhancement; Bioeconomic model; Rock lobster; Jasus edwardsii</t>
  </si>
  <si>
    <t>JASUS-EDWARDSII; STOCK ENHANCEMENT; SPATIAL VARIATION; FISHERIES; SIZE; MANAGEMENT; TASMANIA</t>
  </si>
  <si>
    <t>Moving animals between locations to increase production is routine in terrestrial systems but has rarely been attempted in marine systems. Data on the biological impacts of translocating lobsters, Jasus edwardsii, from regions around Tasmania Australia with high density but slow growth to faster growth areas have been collected over 10 years documenting increases in growth, yield and value. We used a bioeconomic model to evaluate the benefits and costs of improving yield per recruit from commercial scale operations. Simulations were based on commercial scale operations, which move 100,000 lobsters per year within the range of natural larval dispersal. Translocation was combined with a catch quota and fishers could harvest both translocated and resident lobsters. Improvement in total biomass and egg production was comparable to what would otherwise require a 4.5% reduction in catch. Catch rates increased due to higher density, thus reducing fishing costs. This led to higher future rents, with the estimated NPV (i = 7.5%) of the fishery increasing by 7.4%. Commercial scale translocations have been adopted on the basis of our results and are now funded and managed by the commercial industry. (C) 2014 Elsevier B.V. All rights reserved.</t>
  </si>
  <si>
    <t>[Gardner, Caleb; Hartmann, Klaas; Green, Bridget] Univ Tasmania, Inst Marine &amp; Antarctic Studies, Hobart, Tas 7001, Australia; [Punt, Andre E.] CSIRO Oceans &amp; Atmosphere Flagship, Hobart, Tas 7001, Australia; [Punt, Andre E.] Univ Washington, Sch Aquat &amp; Fishery Sci, Seattle, WA 98195 USA; [Jennings, Sarah] Univ Tasmania, Sch Econ &amp; Finance, Hobart, Tas 7001, Australia</t>
  </si>
  <si>
    <t>University of Tasmania; Commonwealth Scientific &amp; Industrial Research Organisation (CSIRO); University of Washington; University of Washington Seattle; University of Tasmania</t>
  </si>
  <si>
    <t>Gardner, C (corresponding author), Univ Tasmania, Inst Marine &amp; Antarctic Studies, Private Bag 49, Hobart, Tas 7001, Australia.</t>
  </si>
  <si>
    <t>Caleb.Gardner@utas.edu.au</t>
  </si>
  <si>
    <t>Hartmann, Klaas/B-3991-2008; Gardner, Caleb/I-7086-2013; Jennings, Sarah/J-7888-2014</t>
  </si>
  <si>
    <t>Gardner, Caleb/0000-0003-0324-4337; Jennings, Sarah/0000-0002-5760-4193</t>
  </si>
  <si>
    <t>Australian Seafood Cooperative Research Centre; Fisheries Research and Development Corporation; Tasmanian Department of Primary Industry, Parks, Water and the Environment; Tasmanian Rock Lobster Fishermen's Association; Southern Rock Lobster Ltd.</t>
  </si>
  <si>
    <t>Australian Seafood Cooperative Research Centre(Australian GovernmentDepartment of Industry, Innovation and ScienceCooperative Research Centres (CRC) Programme); Fisheries Research and Development Corporation; Tasmanian Department of Primary Industry, Parks, Water and the Environment; Tasmanian Rock Lobster Fishermen's Association; Southern Rock Lobster Ltd.</t>
  </si>
  <si>
    <t>The manuscript was substantially improved by the input of referees. The research was supported by: the Australian Seafood Cooperative Research Centre; the Fisheries Research and Development Corporation; the Tasmanian Department of Primary Industry, Parks, Water and the Environment; the Tasmanian Rock Lobster Fishermen's Association; and Southern Rock Lobster Ltd.</t>
  </si>
  <si>
    <t>10.1016/j.fishres.2014.09.015</t>
  </si>
  <si>
    <t>AY7TM</t>
  </si>
  <si>
    <t>WOS:000347761700004</t>
  </si>
  <si>
    <t>Rigual-Hernández, AS; Trull, TW; Bray, SG; Closset, I; Armand, LK</t>
  </si>
  <si>
    <t>Rigual-Hernandez, Andres S.; Trull, Thomas W.; Bray, Stephen G.; Closset, Ivia; Armand, Leanne K.</t>
  </si>
  <si>
    <t>Seasonal dynamics in diatom and particulate export fluxes to the deep sea in the Australian sector of the southern Antarctic Zone</t>
  </si>
  <si>
    <t>Diatom flux; Particulate flux; Sediment traps; Southern Ocean</t>
  </si>
  <si>
    <t>SUBSURFACE CHLOROPHYLL MAXIMUM; SEDIMENT TRAP; ATLANTIC SECTOR; PARTICLE-FLUX; OCEAN CARBON; BIOGENIC SILICA; ORGANIC-CARBON; FRONTAL ZONES; PHYTOPLANKTON PRODUCTION; EQUATORIAL ATLANTIC</t>
  </si>
  <si>
    <t>Particle fluxes were recorded over a one-year period (2001-02) in the southern Antarctic Zone in the Australian Sector of the Southern Ocean. Here, we present the results on the seasonal and vertical variability of biogenic particle and diatom valve fluxes. Total Mass and diatom fluxes were highly seasonal, with maxima registered during the austral summer and minima during winter. Biogenic opal dominated sedimentation, followed by carbonate, and very low levels of organic carbon (annual average 1.4%). The strong correlation between opal and organic carbon at both depth levels suggests that a significant fraction of organic matter exported to the deep sea was associated with diatom-sedimentation events. Seasonal diatom fluxes appear driven principally by changes in the flux of Fragilariopsis kerguelensis. The occurrence of the sea-ice affiliated diatoms Fragilariopsis cylindrus and Fragilariopsis curta in both sediment traps is considered to correspond to the sedimentation of a diatom bloom advected from an area under the influence of sea ice. Highest fluxes of the subsurface-dwelling species Thalassiothrix antarctica registered at the end of the summer bloom were linked to a drop of the light levels during the summer-autumn transition. This study provides the first annual observation on seasonal succession of diatom species in the Australian sector of the Antarctic Zone, and corresponds, in terms of magnitude and seasonality of diatom fluxes, to those in neighbouring sectors (Pacific and eastern Atlantic). (C) 2014 Elsevier B.V. All rights reserved.</t>
  </si>
  <si>
    <t>[Rigual-Hernandez, Andres S.; Armand, Leanne K.] Macquarie Univ, Dept Biol Sci, N Ryde, NSW 2109, Australia; [Trull, Thomas W.; Bray, Stephen G.] Univ Tasmania, Antarct Climate &amp; Ecosyst Cooperat Res Ctr, Hobart, Tas 7001, Australia; [Trull, Thomas W.] CSIRO, Oceans &amp; Atmosphere Flagship, Hobart, Tas 7001, Australia; [Closset, Ivia] Univ Paris 06, Sorbonne Univ, CNRS, IRD MNHN,LOCEAN Lab, F-75005 Paris, France</t>
  </si>
  <si>
    <t>Macquarie University; University of Tasmania; Commonwealth Scientific &amp; Industrial Research Organisation (CSIRO); Museum National d'Histoire Naturelle (MNHN); Institut de Recherche pour le Developpement (IRD); Sorbonne Universite; Centre National de la Recherche Scientifique (CNRS)</t>
  </si>
  <si>
    <t>Rigual-Hernández, AS (corresponding author), Macquarie Univ, Dept Biol Sci, N Ryde, NSW 2109, Australia.</t>
  </si>
  <si>
    <t>andres.rigualhernandez@mq.edu.au</t>
  </si>
  <si>
    <t>Rigual-Hernández, Andrés/E-2041-2018; Armand, Leanne K/C-9004-2009; Trull, Tom W/B-7028-2014</t>
  </si>
  <si>
    <t>Rigual-Hernández, Andrés/0000-0003-1521-3896; Armand, Leanne/0000-0003-3995-308X; Closset, Ivia/0000-0002-6286-3296</t>
  </si>
  <si>
    <t>Australian Government's Australian Antarctic Science Grant Program [4078]; Macquarie University; ANARE; Australian Antarctic Division (ASAC) [1156, 2256]; CSIRO Division of Marine Research Oceans and Climate Program, Geosciences Australia; New Zealand's National Institute of Water and Atmospheric Research (NIWA); Macquarie University Microscopy Unit</t>
  </si>
  <si>
    <t>Australian Government's Australian Antarctic Science Grant Program(Australian Government); Macquarie University; ANARE; Australian Antarctic Division (ASAC); CSIRO Division of Marine Research Oceans and Climate Program, Geosciences Australia; New Zealand's National Institute of Water and Atmospheric Research (NIWA); Macquarie University Microscopy Unit</t>
  </si>
  <si>
    <t>This project is supported through funding from the Australian Government's Australian Antarctic Science Grant Program (Project number 4078) and Macquarie University. The SAZ Project is grateful for logistical and equipment support from ANARE and the Australian Antarctic Division (T. Trull, ASAC grants 1156 and 2256), the CSIRO Division of Marine Research Oceans and Climate Program, Geosciences Australia, and New Zealand's National Institute of Water and Atmospheric Research (NIWA). The officers, crews, and scientific staff of the Aurora Australis voyages are thanked for their professionalism and dedication. Anne-Marie Ballegeer is greatly acknowledged for her comments during the preparation of the manuscript The authors acknowledge the assistance and support of Nicole Vella and Debra Birch from the Macquarie University Microscopy Unit for performing scanning electron microscopy experiments. Robert O'Malley provided remote sensing support during analysis. The chlorophyll-a data used in this paper were produced with the Giovanni online data system, developed and maintained by the NASA GES DISC. Dr Anne-Marie Ballegeer is acknowledged for her suggestions and technical support. Critical comments and suggestions from two anonymous reviewers helped to improve the manuscript.</t>
  </si>
  <si>
    <t>10.1016/j.jmarsys.2014.10.002</t>
  </si>
  <si>
    <t>AY7KY</t>
  </si>
  <si>
    <t>WOS:000347740300006</t>
  </si>
  <si>
    <t>Xue, F; Zeng, QC; Huang, RH; Li, CY; Lu, RY; Zhou, TJ</t>
  </si>
  <si>
    <t>Xue Feng; Zeng Qingcun; Huang Ronghui; Li Chongyin; Lu Riyu; Zhou Tianjun</t>
  </si>
  <si>
    <t>Recent Advances in Monsoon Studies in China</t>
  </si>
  <si>
    <t>East Asian monsoon; global monsoon system; ENSO; interannual variability; interdecadal variability</t>
  </si>
  <si>
    <t>ASIAN SUMMER MONSOON; WESTERN NORTH PACIFIC; HUAIHE RIVER VALLEY; INTERANNUAL VARIABILITY; EASTERN CHINA; INTERDECADAL VARIABILITY; ANTARCTIC OSCILLATION; MEI-YU; RAINFALL; PRECIPITATION</t>
  </si>
  <si>
    <t>This review provides a synopsis of the major progress that has been made in monsoon studies in China and to further bridge the gap between the Chinese and international meteorological community. It consists of seven major sections. After the introduction, the second section begins with the global monsoon systems and their seasonal variation, based on some new methods proposed in recent years. Besides, some major intraseasonal features of East Asian monsoon, including the onset of South China Sea summer monsoon are discussed. In the third section, we review the interactions between ENSO and the East Asian monsoon, focusing in particular on the results of Chinese meteorologists that indicate the influence of ENSO on the East Asian summer monsoon (EASM) is obviously different from that on the tropical monsoon. Besides the tropical Pacific, other ocean basins, such as the Indian Ocean and the Atlantic Ocean, are also important to the East Asian monsoon, and this topic is discussed in the fourth section. In the fifth section, we address the role of land surface processes in East Asian monsoon. For example, we describe work that has shown more snow cover in spring on the Tibetan Plateau is followed by a weakened EASM and more summer rainfall in the Yangtze River valleys. The sixth section focuses on the influence of atmospheric circulation in the Southern Hemisphere (SH) on EASM, demonstrating how the signal from the SH is likely to provide new clues for the seasonal forecasting of summer rainfall in China. Finally, in the seventh section, we concentrate on the interdecadal variations of EASM. In particular, we look at a significant interdecadal variation that occurred at the end of the 1970s, and how our understanding of this feature could affect forecasting ability.</t>
  </si>
  <si>
    <t>[Xue Feng; Zeng Qingcun; Huang Ronghui; Li Chongyin; Lu Riyu; Zhou Tianjun] Chinese Acad Sci, Inst Atmospher Phys, Beijing 100029, Peoples R China</t>
  </si>
  <si>
    <t>Chinese Academy of Sciences; Institute of Atmospheric Physics, CAS</t>
  </si>
  <si>
    <t>Xue, F (corresponding author), Chinese Acad Sci, Inst Atmospher Phys, Beijing 100029, Peoples R China.</t>
  </si>
  <si>
    <t>fxue@lasg.iap.ac.cn</t>
  </si>
  <si>
    <t>ZHOU, Tianjun/C-3195-2012</t>
  </si>
  <si>
    <t>ZHOU, Tianjun/0000-0002-5829-7279</t>
  </si>
  <si>
    <t>Chinese Academy of Sciences [XDA05110201]; National Natural Science Foundation of China [41475052]</t>
  </si>
  <si>
    <t>Chinese Academy of Sciences(Chinese Academy of Sciences); National Natural Science Foundation of China(National Natural Science Foundation of China (NSFC))</t>
  </si>
  <si>
    <t>The authors would like to thank Prof. WANG Huijun for his help in organizing the writing of this paper. The authors have benefited from the insightful comments and suggestions of three anonymous reviewers. They also thank Dr. SU Tonghua for preparing some of figures. This work was supported by the Chinese Academy of Sciences (Grant No. XDA05110201) and the National Natural Science Foundation of China (Grant No. 41475052).</t>
  </si>
  <si>
    <t>10.1007/s00376-014-0015-8</t>
  </si>
  <si>
    <t>AY0KG</t>
  </si>
  <si>
    <t>WOS:000347284900004</t>
  </si>
  <si>
    <t>Wang, HJ; Fan, K; Sun, JQ; Li, SL; Lin, ZH; Zhou, GQ; Chen, LJ; Lang, XM; Li, F; Zhu, YL; Chen, H; Zheng, F</t>
  </si>
  <si>
    <t>Wang Huijun; Fan Ke; Sun Jianqi; Li Shuanglin; Lin Zhaohui; Zhou Guangqing; Chen Lijuan; Lang Xianmei; Li Fang; Zhu Yali; Chen Hong; Zheng Fei</t>
  </si>
  <si>
    <t>A Review of Seasonal Climate Prediction Research in China</t>
  </si>
  <si>
    <t>seasonal prediction; climate variability; predictability</t>
  </si>
  <si>
    <t>ASIAN SUMMER MONSOON; WESTERN NORTH PACIFIC; TROPICAL CYCLONE ACTIVITY; YANGTZE-RIVER VALLEY; MULTIMODEL ENSEMBLE PREDICTION; STATISTICAL DOWNSCALING MODEL; DUST WEATHER FREQUENCY; SHORT-TERM CLIMATE; ARCTIC SEA-ICE; ANTARCTIC OSCILLATION</t>
  </si>
  <si>
    <t>The ultimate goal of climate research is to produce climate predictions on various time scales. In China, efforts to predict the climate started in the 1930s. Experimental operational climate forecasts have been performed since the late 1950s, based on historical analog circulation patterns. However, due to the inherent complexity of climate variability, the forecasts produced at that time were fairly inaccurate. Only from the late 1980s has seasonal climate prediction experienced substantial progress, when the Tropical Ocean and Global Atmosphere project of the World Climate Research program (WCRP) was launched. This paper, following a brief description of the history of seasonal climate prediction research, provides an overview of these studies in China. Processes and factors associated with the climate variability and predictability are discussed based on the literature published by Chinese scientists. These studies in China mirror aspects of the climate research effort made in other parts of the world over the past several decades, and are particularly associated with monsoon research in East Asia. As the climate warms, climate extremes, their frequency, and intensity are projected to change, with a large possibility that they will increase. Thus, seasonal climate prediction is even more important for China in order to effectively mitigate disasters produced by climate extremes, such as frequent floods, droughts, and the heavy frozen rain events of South China.</t>
  </si>
  <si>
    <t>[Wang Huijun; Fan Ke; Sun Jianqi; Li Shuanglin; Lin Zhaohui; Lang Xianmei; Zhu Yali] Chinese Acad Sci, Inst Atmospher Phys, Nansen Zhu Int Res Ctr, Beijing 100029, Peoples R China; [Lin Zhaohui; Zhou Guangqing; Li Fang; Chen Hong; Zheng Fei] Chinese Acad Sci, Inst Atmospher Phys, Beijing 100029, Peoples R China; [Wang Huijun; Fan Ke; Sun Jianqi; Li Shuanglin; Zhou Guangqing; Lang Xianmei; Li Fang; Zhu Yali; Chen Hong; Zheng Fei] Chinese Acad Sci, Climate Change Res Ctr, Beijing 100029, Peoples R China; [Chen Lijuan] China Meteorol Adm, Natl Climate Ctr, Beijing 100081, Peoples R China</t>
  </si>
  <si>
    <t>Chinese Academy of Sciences; Institute of Atmospheric Physics, CAS; Chinese Academy of Sciences; Institute of Atmospheric Physics, CAS; Chinese Academy of Sciences; China Meteorological Administration</t>
  </si>
  <si>
    <t>Wang, HJ (corresponding author), Chinese Acad Sci, Inst Atmospher Phys, Nansen Zhu Int Res Ctr, Beijing 100029, Peoples R China.</t>
  </si>
  <si>
    <t>wanghj@mail.iap.ac.cn</t>
  </si>
  <si>
    <t>Zheng, Fei/O-8876-2016; Fan, Ke/AAJ-2315-2020; Li, Shuanglin/D-5695-2013; Sun, Jianqi/A-7084-2016; chen, lijuan/HSE-1019-2023; Fan, K/GXH-3734-2022; Li, Fang/AAJ-6404-2020; LIN, Zhaohui/E-9358-2011</t>
  </si>
  <si>
    <t>LIN, Zhaohui/0000-0003-1376-3106</t>
  </si>
  <si>
    <t>National Natural Science Foundation of China [41130103, 41210007]</t>
  </si>
  <si>
    <t>This work was supported by the National Natural Science Foundation of China (Grant Nos. 41130103 and 41210007).</t>
  </si>
  <si>
    <t>10.1007/s00376-014-0016-7</t>
  </si>
  <si>
    <t>WOS:000347284900001</t>
  </si>
  <si>
    <t>Hughes, KA</t>
  </si>
  <si>
    <t>Hughes, Kevin A.</t>
  </si>
  <si>
    <t>A new paradigm - Antarctic influence without Antarctic presence?</t>
  </si>
  <si>
    <t>Hughes, Kevin/JVZ-0793-2024</t>
  </si>
  <si>
    <t>10.1017/S0954102014000844</t>
  </si>
  <si>
    <t>WOS:000351294900001</t>
  </si>
  <si>
    <t>Kennicutt, MC; Chown, SL; Cassano, JJ; Liggett, D; Peck, LS; Massom, R; Rintoul, SR; Storey, J; Vaughan, DG; Wilson, TJ; Allison, I; Ayton, J; Badhe, R; Baeseman, J; Barrett, PJ; Bell, RE; Bertler, N; Bo, S; Brandt, A; Bromwich, D; Cary, SC; Clark, MS; Convey, P; Costa, ES; Cowan, D; Deconto, R; Dunbar, R; Elfring, C; Escutia, C; Francis, J; Fricker, HA; Fukuchi, M; Gilbert, N; Gutt, J; Havermans, C; Hik, D; Hosie, G; Jones, C; Kim, YD; Le Maho, Y; Lee, SH; Leppe, M; Leitchenkov, G; Li, X; Lipenkov, V; Lochte, K; López-Martínez, J; Lüdecke, C; Lyons, W; Marenssi, S; Miller, H; Morozova, P; Naish, T; Nayak, S; Ravindra, R; Retamales, J; Ricci, CA; Rogan-Finnemore, M; Ropert-Coudert, Y; Samah, AA; Sanson, L; Scambos, T; Schloss, IR; Shiraishi, K; Siegert, MJ; Simoes, JC; Storey, B; Sparrow, MD; Wall, DH; Walsh, JC; Wilson, G; Winther, JG; Xavier, JC; Yang, H; Sutherland, WJ</t>
  </si>
  <si>
    <t>Kennicutt, M. C., II; Chown, S. L.; Cassano, J. J.; Liggett, D.; Peck, L. S.; Massom, R.; Rintoul, S. R.; Storey, J.; Vaughan, D. G.; Wilson, T. J.; Allison, I.; Ayton, J.; Badhe, R.; Baeseman, J.; Barrett, P. J.; Bell, R. E.; Bertler, N.; Bo, S.; Brandt, A.; Bromwich, D.; Cary, S. C.; Clark, M. S.; Convey, P.; Costa, E. S.; Cowan, D.; Deconto, R.; Dunbar, R.; Elfring, C.; Escutia, C.; Francis, J.; Fricker, H. A.; Fukuchi, M.; Gilbert, N.; Gutt, J.; Havermans, C.; Hik, D.; Hosie, G.; Jones, C.; Kim, Y. D.; Le Maho, Y.; Lee, S. H.; Leppe, M.; Leitchenkov, G.; Li, X.; Lipenkov, V.; Lochte, K.; Lopez-Martinez, J.; Luedecke, C.; Lyons, W.; Marenssi, S.; Miller, H.; Morozova, P.; Naish, T.; Nayak, S.; Ravindra, R.; Retamales, J.; Ricci, C. A.; Rogan-Finnemore, M.; Ropert-Coudert, Y.; Samah, A. A.; Sanson, L.; Scambos, T.; Schloss, I. R.; Shiraishi, K.; Siegert, M. J.; Simoes, J. C.; Storey, B.; Sparrow, M. D.; Wall, D. H.; Walsh, J. C.; Wilson, G.; Winther, J. G.; Xavier, J. C.; Yang, H.; Sutherland, W. J.</t>
  </si>
  <si>
    <t>A roadmap for Antarctic and Southern Ocean science for the next two decades and beyond</t>
  </si>
  <si>
    <t>extraordinary logistics; future directions; horizon scan; research priorities; Scientific Committee on Antarctic Research; technological challenges</t>
  </si>
  <si>
    <t>GLACIAL ISOSTATIC-ADJUSTMENT; ICE-SHEET; SEA-ICE; OVERTURNING CIRCULATION; VISCOELASTIC RESPONSE; WEST ANTARCTICA; IMPACTS; EVOLUTION; CHALLENGES; LANDSCAPE</t>
  </si>
  <si>
    <t>Antarctic and Southern Ocean science is vital to understanding natural variability, the processes that govern global change and the role of humans in the Earth and climate system. The potential for new knowledge to be gained from future Antarctic science is substantial. Therefore, the international Antarctic community came together to 'scan the horizon' to identify the highest priority scientific questions that researchers should aspire to answer in the next two decades and beyond. Wide consultation was a fundamental principle for the development of a collective, international view of the most important future directions in Antarctic science. From the many possibilities, the horizon scan identified 80 key scientific questions through structured debate, discussion, revision and voting. Questions were clustered into seven topics: i) Antarctic atmosphere and global connections, ii) Southern Ocean and sea ice in a warming world, iii) ice sheet and sea level, iv) the dynamic Earth, v) life on the precipice, vi) near-Earth space and beyond, and vii) human presence in Antarctica. Answering the questions identified by the horizon scan will require innovative experimental designs, novel applications of technology, invention of next-generation field and laboratory approaches, and expanded observing systems and networks. Unbiased, non-contaminating procedures will be required to retrieve the requisite air, biota, sediment, rock, ice and water samples. Sustained year-round access to Antarctica and the Southern Ocean will be essential to increase winter-time measurements. Improved models are needed that represent Antarctica and the Southern Ocean in the Earth System, and provide predictions at spatial and temporal resolutions useful for decision making. A co-ordinated portfolio of cross-disciplinary science, based on new models of international collaboration, will be essential as no scientist, programme or nation can realize these aspirations alone.</t>
  </si>
  <si>
    <t>[Kennicutt, M. C., II] Texas A&amp;M Univ, Dept Oceanog, MS 3146, College Stn, TX 77843 USA; [Chown, S. L.] Monash Univ, Sch Biol Sci, Clayton, Vic 3800, Australia; [Cassano, J. J.] Univ Colorado, Dept Atmos &amp; Ocean Sci, Cooperat Inst Res Environm Sci, Boulder, CO 80309 USA; [Liggett, D.] Univ Canterbury, Gateway Antarctica, Christchurch 8140, New Zealand; [Massom, R.; Allison, I.] Australian Antarctic Div, Antarctic Climate &amp; Ecosystems CRC, Hobart, Tas 7001, Australia; [Peck, L. S.; Vaughan, D. G.; Clark, M. S.; Convey, P.; Francis, J.] British Antarctic Surv, Cambridge CB3 0ET, England; [Rintoul, S. R.] CSIRO Ocean &amp; Atmosphere Flagship, Antarctic Climate &amp; Ecosyst Cooperat Res Ctr, Hobart, Tas 7001, Australia; [Storey, J.] Univ New S Wales, Sch Phys, Sydney, NSW 2052, Australia; [Wilson, T. J.; Lyons, W.] Ohio State Univ, Sch Earth Sci, Columbus, OH 43210 USA; [Sutherland, W. J.] Univ Cambridge, Dept Zool, Conservat Sci Grp, Cambridge CB2 3EJ, England; [Ayton, J.] Australian Antarctic Div, Kingston, Tas 7050, Australia; [Badhe, R.; Sparrow, M. D.] Univ Cambridge, Scott Polar Res Inst, SCAR, Cambridge CB2 1ER, England; [Baeseman, J.] CliC Int Project Off, Norwegian Polar Inst, Fram Ctr, NO-9296 Tromso, Norway; [Barrett, P. J.; Naish, T.] Victoria Univ Wellington, Antarctic Res Ctr, Wembly, WA 6014, Australia; [Bell, R. E.] Columbia Univ, Lamont Doherty Earth Observ, Palisades, NY 10964 USA; [Bertler, N.] Victoria Univ, Joint Antarctic Res Inst, Wellington, New Zealand; [Bertler, N.] GNS Sci, Wellington, New Zealand; [Bo, S.; Yang, H.] Polar Res Inst China, Shanghai 200136, Peoples R China; [Brandt, A.] Univ Hamburg, Bioctr Grindel &amp;Zool Museum, D-20146 Hamburg, Germany; [Bromwich, D.] Ohio State Univ, Byrd Polar Res Ctr, Columbus, OH 43210 USA; [Cary, S. C.] Univ Waikato, Int Ctr Terr Antarctic Res, Hamilton, New Zealand; [Costa, E. S.] Univ Fed Rio de Janeiro, Lab Radioisotopos Eduardo Penna Franca, BR-2194190 Rio De Janeiro, Brazil; [Cowan, D.] Univ Pretoria, Ctr Microbial Ecol &amp; Genom, ZA-0002 Pretoria, South Africa; [Deconto, R.] Univ Massachusetts, Dept Geosci, Amherst, MA 01003 USA; [Dunbar, R.] Stanford Univ, Environm Earth Syst Sci, Palo Alto, CA 94306 USA; [Elfring, C.] US Natl Acad Sci, Natl Acad K 636, Washington, DC 20001 USA; [Escutia, C.] CSIC UGR, Inst Andaluz Ciencias Tierra, Armilla 18100, Spain; [Fricker, H. A.] Univ Calif San Diego, Scripps Inst Oceanog, Inst Geophys &amp; Planetary Phys, La Jolla, CA 92093 USA; [Fukuchi, M.] Hokkaido Univ, Tokyo Off, Tokyo 1000005, Japan; [Gilbert, N.] Antarctica New Zealand, Christchurch, New Zealand; [Gutt, J.; Lochte, K.; Miller, H.] Helmholtz Zentrum Polar &amp; Meeresforsch, Alfred Wegener Inst, D-27568 Bremerhaven, Germany; [Havermans, C.] Royal Belgian Inst Nat Sci, OD Nat Environm, B-1000 Brussels, Belgium; [Hik, D.] Univ Alberta, Dept Biol Sci, Edmonton, AB T5N 0R5, Canada; [Jones, C.] NOAA Southwest Fisheries Sci Ctr, Antarctic Ecosyst Res Div, La Jolla, CA 92037 USA; [Kim, Y. D.; Lee, S. H.] Korea Polar Res Inst, Incheon 406840, South Korea; [Le Maho, Y.] CNRS, Inst Pluridisciplinaire Hubert Curien, F-67087 Strasbourg, France; [Le Maho, Y.] Strasbourg Univ, F-67087 Strasbourg, France; [Leppe, M.] Inst Antartico Chileno, Punta Arenas, Chile; [Leitchenkov, G.] Res Inst Geol &amp; Mineral Resources World Ocean, St Petersburg, Russia; [Li, X.] NYU, Courant Inst Math Sci, New York, NY 10012 USA; [Lipenkov, V.] Arctic &amp; Antarctic Res Inst AARI, St Petersburg 199397, Russia; [Lopez-Martinez, J.] Univ Autonoma Madrid, Fac Ciencias, Dept Geol &amp; Geoquim, Madrid 28049, Spain; [Luedecke, C.] Univ Hamburg, D-81373 Munich, Germany; [Marenssi, S.] Univ Buenos Aires, CONICET, IGeBA, Dto Ciencias Geol FCEyN, Buenos Aires, DF, Argentina; [Morozova, P.] Russian Acad Sci, Inst Geog, Moscow 119017, Russia; [Nayak, S.] Earth Syst Sci Org &amp; Prithvi Bhavan, New Delhi 110023, India; [Ravindra, R.] Earth Syst Sci Org, Minist Earth Sci, New Delhi 110003, India; [Retamales, J.] Chilean Antarctic Inst, Punta Arenas, Chile; [Ricci, C. A.] Univ Siena, Museo Nazl Antartide, I-53100 Siena, Italy; [Rogan-Finnemore, M.] COMNAP Secretariat, Christchurch, New Zealand; [Ropert-Coudert, Y.] Inst Pluridisciplinaire Hubert Curien DEPE, CNRS, UMR7178, F-67087 Strasbourg, France; [Samah, A. A.] Univ Malaya, Natl Antarctic Res Ctr, Kuala Lumpur 50603, Malaysia; [Sanson, L.] Dept Conservat, Wellington, New Zealand; [Scambos, T.] Univ Colorado, Natl Snow &amp; Ice Data Ctr, Boulder, CO 80303 USA; [Schloss, I. R.] Inst Sci Rimouski, Rimouski, PQ, Canada; [Schloss, I. R.] Ciudad Autonoma Buenos Aires, Inst Antartico Argentino, Balcarce 290 C1064AAF, Buenos Aires, DF, Argentina; [Shiraishi, K.] Natl Inst Polar Res, Tokyo 1908518, Japan; [Siegert, M. J.] Univ London Imperial Coll Sci Technol &amp; Med, Grantham Inst, London SW7 2AZ, England; [Siegert, M. J.] Univ London Imperial Coll Sci Technol &amp; Med, Dept Earth Sci &amp; Engn, London SW7 2AZ, England; [Simoes, J. C.] Univ Fed Rio Grande do Sul UFRGS, Inst Geociencias, Ctr Polar &amp; Climat, Porto Alegre, RS, Brazil; [Storey, B.] Univ Canterbury, Christchurch, New Zealand; [Wall, D. H.] Colorado State Univ, Sch Global Environm Sustainabil, Ft Collins, CO 80523 USA; [Wilson, G.] New Zealand Antarctic Res Inst, Christchurch, New Zealand; [Winther, J. G.] Norwegian Polar Res Inst, Fram Ctr, NO-9296 Tromso, Norway; [Xavier, J. C.] Univ Coimbra, Dept Life Sci, Inst Marine Res, P-3001401 Coimbra, Portugal; [Walsh, J. C.] Univ Cambridge, Dept Zool, Cambridge CB2 3EJ, England</t>
  </si>
  <si>
    <t>Texas A&amp;M University System; Texas A&amp;M University College Station; Monash University; University of Colorado System; University of Colorado Boulder; University of Canterbury; Australian Antarctic Division; UK Research &amp; Innovation (UKRI); Natural Environment Research Council (NERC); NERC British Antarctic Survey; Commonwealth Scientific &amp; Industrial Research Organisation (CSIRO); Antarctic Climate &amp; Ecosystems Cooperative Research Centre (ACE CRC); University of New South Wales Sydney; University System of Ohio; Ohio State University; University of Cambridge; Australian Antarctic Division; University of Cambridge; Norwegian Polar Institute; Columbia University; Victoria University Wellington; GNS Science - New Zealand; Polar Research Institute of China; University of Hamburg; University System of Ohio; Ohio State University; University of Waikato; Universidade Federal do Rio de Janeiro; University of Pretoria; University of Massachusetts System; University of Massachusetts Amherst; Stanford University; National Academies of Sciences, Engineering &amp; Medicine; Consejo Superior de Investigaciones Cientificas (CSIC); CSIC - Instituto Andaluz de Ciencias de la Tierra (IACT); University of Granada; University of California System; University of California San Diego; Scripps Institution of Oceanography; Hokkaido University; Helmholtz Association; Alfred Wegener Institute, Helmholtz Centre for Polar &amp; Marine Research; Royal Belgian Institute of Natural Sciences; University of Alberta; National Oceanic Atmospheric Admin (NOAA) - USA; Korea Polar Research Institute (KOPRI); Universites de Strasbourg Etablissements Associes; Universite de Strasbourg; Centre National de la Recherche Scientifique (CNRS); Universites de Strasbourg Etablissements Associes; Universite de Strasbourg; New York University; Arctic &amp; Antarctic Research Institute; Autonomous University of Madrid; University of Hamburg; University of Buenos Aires; Consejo Nacional de Investigaciones Cientificas y Tecnicas (CONICET); Russian Academy of Sciences; Institute of Geography, Russian Academy of Sciences; Earth System Science Organization (ESSO); Ministry of Earth Sciences (MoES) - India; Earth System Science Organization (ESSO); University of Siena; Universites de Strasbourg Etablissements Associes; Universite de Strasbourg; Centre National de la Recherche Scientifique (CNRS); CNRS - National Institute of Nuclear and Particle Physics (IN2P3); Universiti Malaya; University of Colorado System; University of Colorado Boulder; Instituto Antartico Argentino; Research Organization of Information &amp; Systems (ROIS); National Institute of Polar Research (NIPR) - Japan; Imperial College London; Imperial College London; Universidade Federal do Rio Grande do Sul; University of Canterbury; Colorado State University; Norwegian Polar Institute; Universidade de Coimbra; University of Cambridge</t>
  </si>
  <si>
    <t>Kennicutt, MC (corresponding author), Texas A&amp;M Univ, Dept Oceanog, MS 3146, College Stn, TX 77843 USA.</t>
  </si>
  <si>
    <t>mckennicutt@gmail.com; steven.chown@monash.edu; john.cassano@colorado.edu; daniela.liggett@canterbury.ac.nz; Rob.Massom@aad.gov.au; S.l.peck@bas.ac.uk; Steve.Rintoul@csiro.au; j.storey@unsw.edu.au; dgv@bas.ac.uk; wilson.43@osu.edu; Ian.Allison@utas.edu.au; Jeff.Ayton@aad.gov.au; renuka@cantab.net; jbaeseman@gmail.com; peter.barrett@vuw.ac.nz; robinb@ldeo.columbia.edu; Nancy.Bertler@vuw.ac.nz; sunbo@pric.gov.cn; Abrandt@uni-hamburg.de; bromwich.1@osu.edu; caryc@waikato.ac.nz; mscl@bas.ac.uk; pcon@bas.ac.uk; costaerli@gmail.com; Don.Cowan@up.ac.za; deconto@geo.umass.edu; dunbar@stanford.edu; CElfring@nas.edu; cescutia@ugr.es; janefr@bas.ac.uk; Hafricker@ucsd.edu; fukuchi@nipr.ac.jp; enviroconsultant@antarcticanz.govt.nz; julian.gutt@awi.de; chavermans@naturalsciences.be; dhik@ualberta.ca; graham.hosie@iinet.net.au; chris.d.jones@noaa.gov; ydkim@kopri.re.kr; yvon.lemaho@iphc.cnrs.fr; shlee@kopri.re.kr; mleppe@inach.cl; german_l@mail.ru; xichenslc@gmail.com; lipenkov@aari.nw.ru; karin.lochte@awi.de; jeronimo.lopez@uam.es; C.Luedecke@lrz.uni-muenchen.de; lyons.142@osu.edu; smarenssi@hotmail.com; Heinrich.Miller@awi.de; morozova_polina@mail.ru; Timothy.Naish@vuw.ac.nz; secretary@moes.gov.in; rasikravindra@gmail.com; jretamales@inach.cl; carloalberto.ricci@unisi.it; michelle.finnemore@comnap.aq; docyaounde@gmail.com; azizans@um.edu.m; lsanson@doc.govt.nz; teds@nsidc.org; ireschloss@gmail.com; kshiraishi@nipr.ac.jp; m.siegert@imperial.ac.uk; jefferson.simoes@ufrgs.br; bryan.storey@canterbury.ac.nz; mds68@cam.ac.uk; Diana.Wall@colostate.edu; j.walsh@zoo.cam.ac.uk; gary.wilson@otago.ac.nz; jan.gunnar.winther@npolar.no; jccx@cantab.net; Huigen_yang@pric.gov.cn; w.sutherland@zoo.cam.ac.uk</t>
  </si>
  <si>
    <t>Chown, Steven/ABD-7646-2021; Leppe, Marcelo/L-5447-2014; Cassano, John/HKW-8817-2023; Allison, Ian F/I-4477-2015; Wilson, Gary S/B-3803-2010; Bertler, Nancy A N/F-3967-2011; Wall, Diana H/F-5491-2011; Rintoul, Stephen R/A-1471-2012; Siegert, Martin/M-9939-2019; COSTA, ERLI SCHNEIDER/AAP-2375-2020; Gilbert, Neil/AAD-7842-2022; Lopez-Martinez, Jeronimo/C-5744-2011; Convey, Peter/AAV-5728-2020; Vaughan, David/C-8348-2011; Schloss, Irene R./U-5411-2018; Xavier, José/KFB-6739-2024; Simoes, Jefferson Cardia/D-7232-2013; Li, Xichen/ISB-4663-2023; Siegert, Martin J/A-3826-2008; Brandt, Angelika/C-1630-2018; Cowan, Donald A/E-3991-2012; Nayak, Shailesh/AAC-7784-2021; Sutherland, William/B-1291-2013; Scambos, Ted A/B-1856-2009; Morozova, Polina A./A-3471-2014; ABU SAMAH, AZIZAN HJ/B-8295-2010; Clark, Melody/D-7371-2014; Chown, Steven/H-3347-2011; Hik, David/B-3462-2009; Escutia, Carlota/B-8614-2015; Lipenkov, Vladimir/Q-8262-2016</t>
  </si>
  <si>
    <t>Leppe, Marcelo/0000-0002-1545-8167; Allison, Ian F/0000-0001-9599-0251; Rintoul, Stephen R/0000-0002-7055-9876; Siegert, Martin/0000-0002-0090-4806; COSTA, ERLI SCHNEIDER/0000-0002-3739-1178; Gilbert, Neil/0000-0003-2055-4249; Lopez-Martinez, Jeronimo/0000-0002-1750-8287; Convey, Peter/0000-0001-8497-9903; Schloss, Irene R./0000-0002-5917-8925; Simoes, Jefferson Cardia/0000-0001-5555-3401; Siegert, Martin J/0000-0002-0090-4806; Cowan, Donald A/0000-0001-8059-861X; Vaughan, David/0000-0002-9065-0570; SCAMBOS, Ted A./0000-0003-4268-6322; Liggett, Daniela/0000-0003-4184-5205; Sutherland, William/0000-0002-6498-0437; Kennicutt II, Mahlon C./0000-0001-7850-4266; Wilson, Gary/0000-0003-0025-3641; Cary, Stephen/0000-0002-2876-2387; Gutt, Julian/0000-0003-3773-9370; Ayton, Jeffrey/0000-0003-4012-6719; Badhe, Renuka/0000-0001-5255-744X; Clark, Melody/0000-0002-3442-3824; Miller, Heinrich/0000-0003-1015-2828; Chown, Steven/0000-0001-6069-5105; Massom, Robert/0000-0003-1533-5084; Bertler, Nancy/0000-0001-6028-4891; Hik, David/0000-0002-8994-9305; Escutia, Carlota/0000-0002-4932-8619; /0000-0002-9621-6660; Naish, Tim/0000-0002-1185-9932; Fricker, Helen Amanda/0000-0002-0921-1432; Lipenkov, Vladimir/0000-0003-4221-5440; Leitchenkov, German/0000-0001-6316-8511; Havermans, Charlotte/0000-0002-1126-4074; Walsh, Jessica/0000-0002-5284-4323</t>
  </si>
  <si>
    <t>Tinker Foundation; Antarctica New Zealand; New Zealand Antarctic Research Institute; Scientific Committee on Antarctic Research (SCAR); Council of Managers of National Antarctic Programs (COMNAP); Alfred Wegner Institut; Helmholtz Zentrum fur Polar und Meeresforschung (Germany); British Antarctic Survey (UK); Antarctic Climate AMP; Ecosystems Cooperative Research Centre (Australia); Canadian Polar Commission, the Climate and Cryosphere Program; Instituto Antartico Chileno; Kelly Tarlton's Sea Life Aquarium; Korean Polar Research Institute; Monash University (Australia); National Institute of Polar Research (Japan); New Zealand Post; Polar Research Institute of China; Programma Nazionale di Ricerche in Antartide (Italy); University of Malaya; SCAR Secretariat; Natural Environment Research Council [NE/F016646/1, NE/G00465X/2, bas0100027] Funding Source: researchfish; Directorate For Geosciences; Division Of Earth Sciences [1103550] Funding Source: National Science Foundation; Directorate For Geosciences; Division Of Ocean Sciences [1129101] Funding Source: National Science Foundation; Div Atmospheric &amp; Geospace Sciences; Directorate For Geosciences [1203910] Funding Source: National Science Foundation; Office of Polar Programs (OPP); Directorate For Geosciences [1043657, 1115245, 0943952] Funding Source: National Science Foundation; Office of Polar Programs (OPP); Directorate For Geosciences [1245737] Funding Source: National Science Foundation; NERC [bas0100027, NE/F016646/1, NE/G00465X/2] Funding Source: UKRI</t>
  </si>
  <si>
    <t>Tinker Foundation; Antarctica New Zealand; New Zealand Antarctic Research Institute; Scientific Committee on Antarctic Research (SCAR); Council of Managers of National Antarctic Programs (COMNAP); Alfred Wegner Institut; Helmholtz Zentrum fur Polar und Meeresforschung (Germany); British Antarctic Survey (UK); Antarctic Climate AMP; Ecosystems Cooperative Research Centre (Australia)(Australian GovernmentDepartment of Industry, Innovation and ScienceCooperative Research Centres (CRC) Programme); Canadian Polar Commission, the Climate and Cryosphere Program; Instituto Antartico Chileno; Kelly Tarlton's Sea Life Aquarium; Korean Polar Research Institute; Monash University (Australia)(Monash University); National Institute of Polar Research (Japan); New Zealand Post; Polar Research Institute of China; Programma Nazionale di Ricerche in Antartide (Italy); University of Malaya(Universiti Malaya); SCAR Secretariat; Natural Environment Research Council(UK Research &amp; Innovation (UKRI)Natural Environment Research Council (NERC)); Directorate For Geosciences; Division Of Earth Sciences(National Science Foundation (NSF)NSF - Directorate for Geosciences (GEO)); Directorate For Geosciences; Division Of Ocean Sciences(National Science Foundation (NSF)NSF - Directorate for Geosciences (GEO)); Div Atmospheric &amp; Geospace Sciences; Directorate For Geosciences(National Science Foundation (NSF)NSF - Directorate for Geosciences (GEO)); Office of Polar Programs (OPP); Directorate For Geosciences(National Science Foundation (NSF)NSF - Directorate for Geosciences (GEO)); Office of Polar Programs (OPP); Directorate For Geosciences(National Science Foundation (NSF)NSF - Directorate for Geosciences (GEO)); NERC(UK Research &amp; Innovation (UKRI)Natural Environment Research Council (NERC))</t>
  </si>
  <si>
    <t>The authors of this paper and the organizers of the 1st SCAR Antarctic and Southern Ocean Science Horizon Scan recognize the financial support that made this event possible. Major financial support was provided by the Tinker Foundation. Substantial financial support was provided by Antarctica New Zealand, The New Zealand Antarctic Research Institute, the Scientific Committee on Antarctic Research (SCAR), the Council of Managers of National Antarctic Programs (COMNAP), the Alfred Wegner Institut, Helmholtz Zentrum fur Polar und Meeresforschung (Germany), and the British Antarctic Survey (UK). Support was provided by the Antarctic Climate &amp; Ecosystems Cooperative Research Centre (Australia), the Canadian Polar Commission, the Climate and Cryosphere Program, the Instituto Antartico Chileno, Kelly Tarlton's Sea Life Aquarium, the Korean Polar Research Institute, Monash University (Australia), the National Institute of Polar Research (Japan), New Zealand Post, the Polar Research Institute of China, the Programma Nazionale di Ricerche in Antartide (Italy) and the University of Malaya. The support of the SCAR Secretariat and Antarctica New Zealand staff is gratefully recognized The authors thank three anonymous reviewers for their constructive comments that improved the manuscript. Finally, thank you to those that submitted questions and nominated Retreat attendees. The contribution of each author is specified in Supplemental Table S1.</t>
  </si>
  <si>
    <t>10.1017/S0954102014000674</t>
  </si>
  <si>
    <t>Green Submitted, Green Published, hybrid, Green Accepted</t>
  </si>
  <si>
    <t>WOS:000351294900003</t>
  </si>
  <si>
    <t>Pabis, K; Blazewicz-Paszkowycz, M; Józwiak, P; Barnes, DKA</t>
  </si>
  <si>
    <t>Pabis, Krzysztof; Blazewicz-Paszkowycz, Magdalena; Jozwiak, Piotr; Barnes, David K. A.</t>
  </si>
  <si>
    <t>Tanaidacea of the Amundsen and Scotia seas: an unexplored diversity</t>
  </si>
  <si>
    <t>Antarctic; biodiversity; macrobenthos; Peracarida; Scotia Arc</t>
  </si>
  <si>
    <t>ANTARCTIC ICE-SHEET; SOUTHERN-OCEAN; MARINE; BIODIVERSITY; SHELF; SLOPE; EVOLUTION; BOTTOM; FAUNA</t>
  </si>
  <si>
    <t>The Scotia Arc and Amundsen Sea are contrasting regions within West Antarctica. The Scotia Sea shelf is well studied and central to the origin and diversity of the Southern Ocean benthic fauna, whilst the shelf of Amundsen Sea is one of the least studied shelf areas in the world; a 'white spot' on the map of benthic research. Here we report on the tanaidaceans collected using an epibenthic sledge on two expeditions, BIOPEARL 1 and 2, of the RRS James Clark Ross in 2006 and 2008, respectively. This study represents the first analysis of the tanaidacean fauna of those two basins. Thirty-seven species were found in the Amundsen Sea from 500-1500m depth and 51 species were found at depths ranging from 200-1600m in the Scotia Sea. In the Scotia Sea, many species were unique to each of the study sites which may be evidence of allopatric speciation episodes. Site specificity was especially evident for Typhlotanais and Pseudotanais. Only three species were common to both basins. Around 90% of the species were previously undescribed. Our findings increase the number of the tanaidaceans known in the Southern Ocean by 50%.</t>
  </si>
  <si>
    <t>[Pabis, Krzysztof; Blazewicz-Paszkowycz, Magdalena; Jozwiak, Piotr] Univ Lodz, Lab Polar Biol &amp; Oceanobiol, PL-90237 Lodz, Poland; [Barnes, David K. A.] British Antarctic Survey, NERC, Cambridge CB3 0ET, England</t>
  </si>
  <si>
    <t>University of Lodz; UK Research &amp; Innovation (UKRI); Natural Environment Research Council (NERC); NERC British Antarctic Survey</t>
  </si>
  <si>
    <t>Pabis, Krzysztof/O-8628-2017; Błażewicz, Magdalena/J-5175-2017</t>
  </si>
  <si>
    <t>Pabis, Krzysztof/0000-0002-9625-3453; Jozwiak, Piotr/0000-0002-5171-3145; Blazewicz, Magdalena/0000-0002-4753-3424</t>
  </si>
  <si>
    <t>Polish Ministry of Science and Higher Education [7984/B/P01/2011/40]; NERC [bas0100026] Funding Source: UKRI; Natural Environment Research Council [bas0100026] Funding Source: researchfish</t>
  </si>
  <si>
    <t>Polish Ministry of Science and Higher Education(Ministry of Science and Higher Education, Poland); NERC(UK Research &amp; Innovation (UKRI)Natural Environment Research Council (NERC)); Natural Environment Research Council(UK Research &amp; Innovation (UKRI)Natural Environment Research Council (NERC))</t>
  </si>
  <si>
    <t>The study was supported by a grant of Polish Ministry of Science and Higher Education No. 7984/B/P01/2011/40. We would particularly like to thank Peter Enderlein, Katrin Linse, Stefanie Kaiser and Chester Sands for aid with the EBS deployment and sample sorting as well as the officers, crew and science team on RRS James Clarke Ross on the voyages JR144 and JR179. We also would like to thank the two anonymous reviewers for their helpful comments.</t>
  </si>
  <si>
    <t>10.1017/S0954102014000303</t>
  </si>
  <si>
    <t>WOS:000351294900004</t>
  </si>
  <si>
    <t>Majewska, R; De Stefano, M</t>
  </si>
  <si>
    <t>Majewska, Roksana; De Stefano, Mario</t>
  </si>
  <si>
    <t>Epiphytic diatom communities on Phyllophora antarctica from the Ross Sea</t>
  </si>
  <si>
    <t>Antarctic seaweeds; growth form; ice influence; marine diatoms; SEM; sampling effort</t>
  </si>
  <si>
    <t>TERRA-NOVA BAY; MCMURDO SOUND; CAPE EVANS; ICE; GROWTH; PHOTOSYNTHESIS; HABITATS; BIOMASS; RIVER; COVE</t>
  </si>
  <si>
    <t>Antarctic seaweeds play an important ecological role, but the vast macroalgal beds, typical of the shallow-water zone, are not efficiently grazed. However, macroalgal thalli are covered by epiphytic diatoms which represent a rich food source for higher trophic levels. We describe the abundances, growth form structure, species composition and distribution patterns in the diatom communities associated with Phyllophora antarctica from selected sites within the Ross Sea. The goal of this work was to learn more about the relationships between various components of the epiphytic community and its habitat. To examine diatoms at the microscale, four relatively well described sampling sites were chosen and analyses were performed on a large number of diatoms. All observations and counts were made with the scanning electron microscope. Samples collected in the same season but from different sites and under different sea and ice conditions differed significantly in terms of species composition, but all represented abundant and well-developed diatom communities. A list of species associated with P. antarctica from the investigated area is provided and the influence of the sampling effort on the observed diatom diversity is assessed.</t>
  </si>
  <si>
    <t>[Majewska, Roksana; De Stefano, Mario] Univ Naples 2, Dept Environm Biol &amp; Pharmaceut Sci &amp; Technol, I-81100 Caserta, Italy</t>
  </si>
  <si>
    <t>Universita della Campania Vanvitelli</t>
  </si>
  <si>
    <t>Majewska, R (corresponding author), Univ Naples 2, Dept Environm Biol &amp; Pharmaceut Sci &amp; Technol, I-81100 Caserta, Italy.</t>
  </si>
  <si>
    <t>Majewska, Roksana/P-1280-2015</t>
  </si>
  <si>
    <t>Majewska, Roksana/0000-0003-2681-4304; DE STEFANO, Mario/0000-0003-0342-192X</t>
  </si>
  <si>
    <t>Second University of Naples (SUN); Italian National Program of Research in Antarctica (PNRA)</t>
  </si>
  <si>
    <t>Second University of Naples (SUN); Italian National Program of Research in Antarctica (PNRA)(Ministry of Education, Universities and Research (MIUR))</t>
  </si>
  <si>
    <t>We acknowledge financial support from the Second University of Naples (SUN) and from the Italian National Program of Research in Antarctica (PNRA). We are deeply grateful to Deneb Karentz who collected samples from Cape Evans, provided invaluable feedback, constructive comments, important suggestions as well as linguistic revision of the manuscript. We thank Enrico Olivari and Paolo Povero who generously provided data on salinity and water temperature from Terra Nova Bay. Thanks are also due to Alessandra Antonucci for her kind assistance with the preparation of the material. We would also like to thank the reviewers for their comments on the manuscript.</t>
  </si>
  <si>
    <t>10.1017/S0954102014000327</t>
  </si>
  <si>
    <t>WOS:000351294900006</t>
  </si>
  <si>
    <t>Oliphant, AJ; Hindmarsh, RCA; Cullen, NJ; Lawson, W</t>
  </si>
  <si>
    <t>Oliphant, Andrew J.; Hindmarsh, Richard C. A.; Cullen, Nicolas J.; Lawson, Wendy</t>
  </si>
  <si>
    <t>Microclimate and mass fluxes of debris-laden ice surfaces in Taylor Valley, Antarctica</t>
  </si>
  <si>
    <t>ablation; evaporation; freezing front; melt; surface energy budget; sublimation</t>
  </si>
  <si>
    <t>MCMURDO DRY VALLEYS; SOUTHERN VICTORIA LAND; WRIGHT VALLEY; HEAT-FLUX; CLIMATE; SUBLIMATION; ENERGY; TEMPERATURE; ECOSYSTEM; GLACIERS</t>
  </si>
  <si>
    <t>This study investigates the microclimate and hydrology of debris-laden ice surfaces in the Taylor Valley, Antarctica, in early summer, focusing on the onset of melt. Measurements of energy and mass fluxes were made on an outwash fan and in moraines near the terminus of Taylor Glacier. The surface microclimate was strongly controlled by absorbed solar radiation, with a low albedo of 0.17. Seasonal warming of the substrate led to an abrupt shift in thermal and hydrological patterns as temperatures exceeded freezing point. Within a week the Bowen ratio switched from 2.05 to 0.48 and mass losses to the atmosphere increased four-fold from 0.39 to 1.6mm d(-1). Melt onset also produced complex ground temperature patterns with strong diurnal damping below the freezing front. These patterns were caused by phase changes in the freezing front, coupled with an abundant water supply from local runoff. Of secondary importance to the surface energy balance and mass fluxes was the effect of local winds on boundary layer characteristics. This resulted in larger mass losses during the more turbulent, warmer and drier down-valley flows.</t>
  </si>
  <si>
    <t>[Oliphant, Andrew J.] San Francisco State Univ, Dept Geog &amp; Environm, San Francisco, CA 94132 USA; [Cullen, Nicolas J.] British Antarctic Survey, NERC, Sci Programmes, Cambridge CB3 0ET, England; [Lawson, Wendy] Univ Canterbury, Gateway Antarctica, Christchurch 8140, New Zealand</t>
  </si>
  <si>
    <t>California State University System; San Francisco State University; UK Research &amp; Innovation (UKRI); Natural Environment Research Council (NERC); NERC British Antarctic Survey; University of Canterbury</t>
  </si>
  <si>
    <t>Oliphant, AJ (corresponding author), San Francisco State Univ, Dept Geog &amp; Environm, San Francisco, CA 94132 USA.</t>
  </si>
  <si>
    <t>andrewo@sfsu.edu</t>
  </si>
  <si>
    <t>Hindmarsh, Richard C A/C-1405-2012; Hindmarsh, Richard/N-1195-2019</t>
  </si>
  <si>
    <t>Hindmarsh, Richard/0000-0003-1633-2416; Cullen, Nicolas James/0000-0001-8877-1325</t>
  </si>
  <si>
    <t>Antarctica New Zealand; NERC [bas0100027] Funding Source: UKRI; Natural Environment Research Council [bas0100027] Funding Source: researchfish</t>
  </si>
  <si>
    <t>Antarctica New Zealand; NERC(UK Research &amp; Innovation (UKRI)Natural Environment Research Council (NERC)); Natural Environment Research Council(UK Research &amp; Innovation (UKRI)Natural Environment Research Council (NERC))</t>
  </si>
  <si>
    <t>Antarctica New Zealand provided funding and all logistical support for this experiment and we are grateful to all who had a hand in obtaining these observations. Analysis and early writing on this manuscript was completed while the lead author was a visiting fellow at Gateway Antarctica, University of Canterbury and we would like to acknowledge the support provided by the director and staff there. We are also grateful for the comprehensive reviews of two anonymous reviewers, whose comments greatly improved the quality of the final manuscript.</t>
  </si>
  <si>
    <t>10.1017/S0954102014000534</t>
  </si>
  <si>
    <t>WOS:000351294900011</t>
  </si>
  <si>
    <t>Reyes, FR; Lougheed, VL</t>
  </si>
  <si>
    <t>Reyes, Francisco R.; Lougheed, Vanessa L.</t>
  </si>
  <si>
    <t>Rapid nutrient release from permafrost thaw in arctic aquatic ecosystems</t>
  </si>
  <si>
    <t>MACKENZIE DELTA REGION; ORGANIC-MATTER; CLIMATE-CHANGE; CARBON-CYCLE; LAKE BASINS; ALASKA; SOIL; BIOGEOCHEMISTRY; PEATLANDS; NITROGEN</t>
  </si>
  <si>
    <t>Few studies provide experimental data to support the role of permafrost thaw on changes in arctic freshwater chemistry. We designed an incubation experiment to look at rapid nutrient release from permafrost soils and active layer soils under different warming scenarios, changes in redox environment, and microbial activity. Permafrost soil tended to immediately release more nutrients than active layer soils, especially under warmer conditions; suggesting the active layer is depleted in nutrients and the water column may be re-supplied with these ions from thawing permafrost. The release of micronutrients (Ca, Fe, Mg, S, Si) from incubated permafrost soils responded strongly to increased temperature; however, temperature alone was not necessarily the primary driver of macronutrient (N, P) release from permafrost. Other physicochemical parameters influenced by temperature, such as oxidation-reduction potential (ORP), microbial activity, dissolved organic carbon (DOC), and Fe played an additional role in nutrient release from permafrost. These experiments suggest nutrient release via thaw of permafrost soils is able to contribute ample essential nutrients to arctic aquatic ecosystems, even within one day of warming. Further warming of the Arctic is likely to result in substantial changes to nutrient availability and cycling in these dominant habitats.</t>
  </si>
  <si>
    <t>[Reyes, Francisco R.] Univ Texas El Paso, Dept Geol Sci, Environm Sci Program, El Paso, TX 79968 USA; [Lougheed, Vanessa L.] Univ Texas El Paso, Dept Biol Sci, El Paso, TX 79968 USA</t>
  </si>
  <si>
    <t>University of Texas System; University of Texas El Paso; University of Texas System; University of Texas El Paso</t>
  </si>
  <si>
    <t>Lougheed, VL (corresponding author), Univ Texas El Paso, Dept Biol Sci, 500 West Univ Ave, El Paso, TX 79968 USA.</t>
  </si>
  <si>
    <t>vlougheed@utep.edu</t>
  </si>
  <si>
    <t>Lougheed, Vanessa/0000-0002-6091-1151</t>
  </si>
  <si>
    <t>National Science Foundation (NSF) [ARC-0909502]; University of Texas at El Paso NSF Undergraduate Research Mentoring (URM) Program [DBI-0933979]; Div Of Biological Infrastructure; Direct For Biological Sciences [0933979] Funding Source: National Science Foundation</t>
  </si>
  <si>
    <t>National Science Foundation (NSF)(National Science Foundation (NSF)); University of Texas at El Paso NSF Undergraduate Research Mentoring (URM) Program; Div Of Biological Infrastructure; Direct For Biological Sciences(National Science Foundation (NSF)NSF - Directorate for Biological Sciences (BIO))</t>
  </si>
  <si>
    <t>This study was funded by National Science Foundation (NSF) Polar Programs (ARC-0909502) and the University of Texas at El Paso NSF Undergraduate Research Mentoring (URM) Program (DBI-0933979). We thank Ken Hinkel for lending us his core driller; Christian Andresen, Christina Hernandez, and Craig Tweedie for collecting soil samples; Gabriela Contreras for laboratory assistance; and Shane Walker and Isaac Campos for assistance running OES samples.</t>
  </si>
  <si>
    <t>10.1657/AAAR0013-099</t>
  </si>
  <si>
    <t>WOS:000350219000004</t>
  </si>
  <si>
    <t>Mao, Z; Wang, Y; Jourdan, C; Cécillon, L; Nespoulous, J; Rey, H; Saint-André, L; Stokes, A</t>
  </si>
  <si>
    <t>Mao, Zhun; Wang, Yan; Jourdan, Christophe; Cecillon, Lauric; Nespoulous, Jerome; Rey, Herve; Saint-Andre, Laurent; Stokes, Alexia</t>
  </si>
  <si>
    <t>Characterizing above- and belowground carbon partitioning in forest trees along an altitudinal gradient using area-based indicators</t>
  </si>
  <si>
    <t>FINE-ROOT BIOMASS; TROPICAL MOUNTAIN FORESTS; COCONUT COCOS-NUCIFERA; SCOTS PINE STANDS; NORWAY SPRUCE; PICEA-ABIES; ELEVATION TRANSECT; SOLAR-RADIATION; GLOBAL CHANGE; RAIN-FORESTS</t>
  </si>
  <si>
    <t>Characterizing the above-and belowground carbon stocks of ecosystems is vital for a better understanding of the role of vegetation in carbon cycling. Yet studies on forest ecosystems at high altitudes remain scarce. We examined above-and belowground carbon partitioning in trees growing in mixed montane/upper montane forest ecosystems in the French Alps. Field work was performed in three forests along a gradient of both altitude (1400 m, 1700 m, and 2000 m) and altitude-induced species composition (from lower altitude Abies alba and Fagus sylvatica to higher altitude Picea abies and Pinus uncinata). We performed forest inventories and root sampling along soil wall profiles, so that the stand basal area (SBA, in m(2) ha(-1)) and root cross-sectional area (RCSA, in m(2) ha(-1)) were estimated at each altitude. To characterize the carbon allocation trend between the above-and belowground compartments, the ratio of RCSA to SBA was then calculated. We found that both SBA and RCSA of coarse roots (diameter &gt; 2 mm) were significantly different among the three altitudes. No significant difference in RCSA of fine roots (diameter 2 mm) was found among altitudes. The ratio of RCSA of fine roots to SBA augmented with increasing elevation, suggesting that forest ecosystems at higher altitudes allocate more carbon from above-to belowground organs. This increased allocation to fine roots would allow trees to scavenge nutrients more efficiently throughout the short growing season. Furthermore, this work highlighted the interest of using easy to measure area-based indicators as proxies of root and stem biomass when investigating carbon partitioning in highly heterogeneous montane/upper montane forests.</t>
  </si>
  <si>
    <t>[Mao, Zhun; Cecillon, Lauric] Inst Natl Rech Sci &amp; Technol Environm &amp; Agr, IRSTEA, UR EMGR, F-38402 St Martin Dheres, France; [Mao, Zhun; Cecillon, Lauric] UGA, F-38402 St Martin Dheres, France; [Wang, Yan; Nespoulous, Jerome; Stokes, Alexia] INRA, UMR AMAP, F-34398 Montpellier 5, France; [Jourdan, Christophe; Saint-Andre, Laurent] UMR Eco&amp;Sols Ecol Fonct &amp; Biogeochim Montpellier, Ctr Cooperat Int Rech Agron Dev CIRAD, F-34060 Montpellier, France; [Rey, Herve] CIRAD, UMR AMAP, F-34398 Montpellier 5, France; [Saint-Andre, Laurent] INRA, UR BEF Biogeochim Ecosyst Forestiers, F-54280 Champenoux, France</t>
  </si>
  <si>
    <t>INRAE; Communaute Universite Grenoble Alpes; Universite Grenoble Alpes (UGA); INRAE; CIRAD; Centre National de la Recherche Scientifique (CNRS); Institut de Recherche pour le Developpement (IRD); Universite de Montpellier; CIRAD; CIRAD; Centre National de la Recherche Scientifique (CNRS); Institut de Recherche pour le Developpement (IRD); Universite de Montpellier; INRAE</t>
  </si>
  <si>
    <t>Mao, Z (corresponding author), Inst Natl Rech Sci &amp; Technol Environm &amp; Agr, IRSTEA, UR EMGR, 2 Rue Papeterie,BP 76, F-38402 St Martin Dheres, France.</t>
  </si>
  <si>
    <t>maozhun04@126.com</t>
  </si>
  <si>
    <t>Herve, Rey/JXL-9169-2024; CECILLON, Lauric/HNP-5068-2023</t>
  </si>
  <si>
    <t>saint-andre, laurent/0000-0002-3089-416X; JOURDAN, Christophe/0000-0001-9857-3269; MAO, ZHUN/0000-0001-8042-6316; Cecillon, Lauric/0000-0001-7795-2382</t>
  </si>
  <si>
    <t>AXA Ph.D. bursary; INRA Jeune Equipe; French-funded Agence Nationale de la Recherche (ANR) project ECOSFIX (Ecosystem Services of Roots-Hydraulic Redistribution, Carbon Sequestration and Soil Fixation) [ANR-2010-STRA-003-01]; French National Research Agency through the Laboratory of Excellence ARBRE [ANR-12-LABXARBRE-01]</t>
  </si>
  <si>
    <t>AXA Ph.D. bursary(AXA Research Fund); INRA Jeune Equipe; French-funded Agence Nationale de la Recherche (ANR) project ECOSFIX (Ecosystem Services of Roots-Hydraulic Redistribution, Carbon Sequestration and Soil Fixation)(Agence Nationale de la Recherche (ANR)); French National Research Agency through the Laboratory of Excellence ARBRE(Agence Nationale de la Recherche (ANR))</t>
  </si>
  <si>
    <t>This study was financed by an AXA Ph.D. bursary (Mao), an INRA Jeune Equipe and a French-funded Agence Nationale de la Recherche (ANR) project ECOSFIX (Ecosystem Services of Roots-Hydraulic Redistribution, Carbon Sequestration and Soil Fixation, ANR-2010-STRA-003-01). The UR BEF, one of the research units contributing to the present study, is supported by the French National Research Agency through the Laboratory of Excellence ARBRE (ANR-12-LABXARBRE-01). We thank V. Perez (AgroParisTech, Nancy, France) and Meteo-Chamrousse (http://www.meteo-chamrousse.com/) for climate data. We thank the Office National des Forets and the Mairie de Chamrousse for their kind help with site selection and work permits. Dr. B. Courbaud (IRSTEA, France) is gratefully acknowledged for his help with site selection and plot installation. Finally, we are thankful to Dr. M. Genet, F. Pailler, F-X. Mine (IRSRA, France), M. Foulonneau (Universite de Savoie, France), C. Gadenne (AgroParis- Tech, France), Dr. H. Vogt-Schilb (CNRS and Biotope, France), M-L. Bonis (Universite Paris VI, France), and Auberge du Virage, Chamrousse, for their help with field work and logistics.</t>
  </si>
  <si>
    <t>10.1657/AAAR0014-014</t>
  </si>
  <si>
    <t>WOS:000350219000006</t>
  </si>
  <si>
    <t>Palmtag, J; Hugelius, G; Lashchinskiy, N; Tamstorf, MP; Richter, A; Elberling, B; Kuhry, P</t>
  </si>
  <si>
    <t>Palmtag, J.; Hugelius, G.; Lashchinskiy, N.; Tamstorf, M. P.; Richter, A.; Elberling, B.; Kuhry, P.</t>
  </si>
  <si>
    <t>Storage, landscape distribution, and burial history of soil organic matter in contrasting areas of continuous permafrost</t>
  </si>
  <si>
    <t>CARBON DISTRIBUTION; ACCUMULATION; PEATLANDS; SEDIMENTS; IGNITION; CLIMATE; ALASKA; STOCKS</t>
  </si>
  <si>
    <t>This study describes and compares soil organic matter (SOM) quantity and characteristics in two areas of continuous permafrost, a mountainous region in NE Greenland (Zackenberg study site) and a lowland region in NE Siberia (Cherskiy and Shalaurovo study sites). Our assessments are based on stratified-random landscape-level inventories of soil profiles down to 1 m depth, with physico-chemical, elemental, and radiocarbon-dating analyses. The estimated mean soil organic carbon (SOC) storage in the upper meter of soils in the NE Greenland site is 8.3 +/- 1.8 kg C m(-2) compared to 20.3 +/- 2.2 kg C m(-2) and 30.0 +/- 2.0 kg C m(-2) in the NE Siberian sites (95% confidence intervals). The lower SOC storage in the High Arctic site in NE Greenland can be largely explained by the fact that 59% of the study area is located at higher elevation with mostly barren ground and thus very low SOC contents. In addition, SOC-rich fens and bogs occupy a much smaller proportion of the landscape in NE Greenland (similar to 3%) than in NE Siberia (similar to 20%). The contribution of deeper buried C-enriched material in the mineral soil horizons to the total SOC storage is lower in the NE Greenland site (similar to 13%) compared to the NE Siberian sites (similar to 24%-30%). Buried SOM seems generally more decomposed in NE Greenland than in NE Siberia, which we relate to different burial mechanisms prevailing in these regions.</t>
  </si>
  <si>
    <t>[Palmtag, J.; Hugelius, G.; Kuhry, P.] Stockholm Univ, Dept Phys Geog, S-10691 Stockholm, Sweden; [Lashchinskiy, N.] Russian Acad Sci, Siberian Branch, Cent Siberian Bot Garden, Novosibirsk 630090, Russia; [Tamstorf, M. P.] Aarhus Univ, Dept Biosci, Arctic Res Ctr, DK-4000 Roskilde, Denmark; [Richter, A.] Univ Vienna, Dept Microbiol &amp; Ecosyst Sci, A-1090 Vienna, Austria; [Elberling, B.] Univ Copenhagen, Dept Geosci &amp; Nat Resource Management, Ctr Permafrost CENPERM, DK-1350 Copenhagen, Denmark</t>
  </si>
  <si>
    <t>Stockholm University; Central Siberian Botanical Garden; Russian Academy of Sciences; Aarhus University; University of Vienna; University of Copenhagen</t>
  </si>
  <si>
    <t>Palmtag, J (corresponding author), Stockholm Univ, Dept Phys Geog, S-10691 Stockholm, Sweden.</t>
  </si>
  <si>
    <t>juri.palmtag@natgeo.su.se</t>
  </si>
  <si>
    <t>Palmtag, Juri/AAE-4075-2022; Hugelius, Gustaf/C-9759-2011; Tamstorf, Mikkel/ACU-7592-2022; Lashchinskiy, Nikolay/I-5409-2018; Richter, Andreas/D-8483-2012; Palmtag, Juri/AAA-2964-2019; Tamstorf, Mikkel/I-7101-2013; Elberling, Bo/M-4000-2014</t>
  </si>
  <si>
    <t>Palmtag, Juri/0000-0002-6921-5697; Hugelius, Gustaf/0000-0002-8096-1594; Richter, Andreas/0000-0003-3282-4808; Palmtag, Juri/0000-0002-6921-5697; Tamstorf, Mikkel/0000-0002-2811-331X; Elberling, Bo/0000-0002-6023-885X; Lasinskii, Nikolai/0000-0003-1085-1987</t>
  </si>
  <si>
    <t>Swedish Research Council; Austrian Science Fund [FWF I370-B17]; Danish National Research Foundation [CENPERM DNRF100]; Norden DEFROST project; EU [282700]; Norden PERMANOR project; ESF CryoCARB project; Austrian Science Fund (FWF) [I 370] Funding Source: researchfish; Austrian Science Fund (FWF) [I370] Funding Source: Austrian Science Fund (FWF)</t>
  </si>
  <si>
    <t>Swedish Research Council(Swedish Research Council); Austrian Science Fund(Austrian Science Fund (FWF)); Danish National Research Foundation(Danmarks Grundforskningsfond); Norden DEFROST project; EU(European Union (EU)); Norden PERMANOR project; ESF CryoCARB project; Austrian Science Fund (FWF)(Austrian Science Fund (FWF)); Austrian Science Fund (FWF)(Austrian Science Fund (FWF))</t>
  </si>
  <si>
    <t>Fieldwork in Zackenberg during summer 2009 was supported by a grant of the Swedish Research Council (VR project to Kuhry); fieldwork in NE Siberia during summer 2010 was financed through the ESF CryoCARB project, by grants of the Swedish Research Council (VR project to Kuhry) and the Austrian Science Fund (FWF I370-B17 to Richter); fieldwork in Zackenberg during summer 2012 was supported by grants from the Danish National Research Foundation (CENPERM DNRF100 to Elberling), the Norden DEFROST project, The EU FP7 PAGE21 project (grant agreement no 282700), and the EU FP7 INTERACT Integrating Activity. Radiocarbon dating and elemental analyses were financed through the Norden PERMANOR project, coordinated by Elberling, the ESF CryoCARB project (VR project to Kuhry), and the Norden DEFROST project. We would like to thank Ms. Daiga Smeke for field assistance in Zackenberg 2012 and Ms. Magarethe Watzka for C and N measurements at the University of Vienna.</t>
  </si>
  <si>
    <t>10.1657/AAAR0014-027</t>
  </si>
  <si>
    <t>WOS:000350219000007</t>
  </si>
  <si>
    <t>Treml, V; Chuman, T</t>
  </si>
  <si>
    <t>Treml, Vaclav; Chuman, Tomas</t>
  </si>
  <si>
    <t>Ecotonal dynamics of the altitudinal forest limit are affected by terrain and vegetation structure variables: an example from the Sudetes Mountains in Central Europe</t>
  </si>
  <si>
    <t>LAND-USE CHANGES; CLIMATE-CHANGE; TREELINE ECOTONE; SWEDISH SCANDES; ALPINE TREELINE; LANDSCAPE; GROWTH; SHIFTS; TIMBERLINE; ESTABLISHMENT</t>
  </si>
  <si>
    <t>At the landscape scale, the response of alpine treelines to increasing temperatures often varies due to second-order factors such as terrain properties, vegetation structure, and land use. In this study, we examined the influence of topographic and vegetation-structure variables on spatial patterns of treeline ecotone shifts in the Sudetes Mountains (Czech Republic). The changing positions of the alpine timberline and alpine treeline were determined from orthogonal aerial images allowing comparisons between 1936 and 2005. Our results showed that the alpine timberline advanced upward at an overall rate between 0.30 m yr-1 in the Hruby Jesenik Mountains (eastern part of the Sudetes) and 0.43 m yr(-1) in the Giant Mountains (western part of the Sudetes). Forest infilling was substantially greater than advances above original alpine treeline positions. Forest upward shifts occurred mostly on sites with already established, well-dispersed trees and low levels of prostrate dwarf pine cover. Topographic variables such as altitude and heat load affected forest advance if initial tree cover was low. The occurrence of competitive prostrate shrubs and the presence of climatically extreme convex parts of slopes appear to be important secondorder factors affecting treeline ecotone shifts, particularly at wind-affected treelines.</t>
  </si>
  <si>
    <t>[Treml, Vaclav; Chuman, Tomas] Charles Univ Prague, Fac Sci, Dept Phys Geog &amp; Geoecol, CZ-12843 Prague, Czech Republic</t>
  </si>
  <si>
    <t>Treml, V (corresponding author), Charles Univ Prague, Fac Sci, Dept Phys Geog &amp; Geoecol, Albertov 6, CZ-12843 Prague, Czech Republic.</t>
  </si>
  <si>
    <t>treml@natur.cuni.cz</t>
  </si>
  <si>
    <t>Chuman, Tomas/H-7870-2014; Treml, Vaclav/A-7508-2009</t>
  </si>
  <si>
    <t>Chuman, Tomas/0000-0003-2525-5379; Treml, Vaclav/0000-0001-5067-3308</t>
  </si>
  <si>
    <t>project GACR [P504/11/P557]</t>
  </si>
  <si>
    <t>project GACR</t>
  </si>
  <si>
    <t>This study was funded by grant project GACR P504/11/P557. The authors wish to thank J. Rosenthal for improving the English. The comments of the anonymous reviewers and associate editor on an earlier version of the manuscript are acknowledged.</t>
  </si>
  <si>
    <t>10.1657/AAAR0013-108</t>
  </si>
  <si>
    <t>WOS:000350219000012</t>
  </si>
  <si>
    <t>Oelkers, RJ; Macri, LM; Wang, LF; Ashley, MCB; Cui, XQ; Feng, LL; Gong, XF; Lawrence, JS; Qiang, L; Luong-Van, D; Pennypacker, CR; Yang, HG; Yuan, XY; York, DG; Zhou, X; Zhu, ZX</t>
  </si>
  <si>
    <t>Oelkers, Ryan J.; Macri, Lucas M.; Wang, Lifan; Ashley, Michael C. B.; Cui, Xiangqun; Feng, Long-Long; Gong, Xuefei; Lawrence, Jon S.; Qiang, Liu; Luong-Van, Daniel; Pennypacker, Carl R.; Yang, Huigen; Yuan, Xiangyan; York, Donald G.; Zhou, Xu; Zhu, Zhenxi</t>
  </si>
  <si>
    <t>DIFFERENCE IMAGE ANALYSIS OF DEFOCUSED OBSERVATIONS WITH CSTAR</t>
  </si>
  <si>
    <t>methods: data analysis; stars: variables: general</t>
  </si>
  <si>
    <t>VARIABLE-STARS; DOME; PHOTOMETRY; TELESCOPE; PRECISION</t>
  </si>
  <si>
    <t>The Chinese Small Telescope ARray carried out high-cadence time-series observations of 27 square degrees centered on the South Celestial Pole during the Antarctic winter seasons of 2008-2010. Aperture photometry of the 2008 and 2010 i-band images resulted in the discovery of over 200 variable stars. Yearly servicing left the array defocused for the 2009 winter season, during which the system also suffered from intermittent frosting and power failures. Despite these technical issues, nearly 800,000 useful images were obtained using g, r, and clear filters. We developed a combination of difference imaging and aperture photometry to compensate for the highly crowded, blended, and defocused frames. We present details of this approach, which may be useful for the analysis of time-series data from other small-aperture telescopes regardless of their image quality. Using this approach, we were able to recover 68 previously known variables and detected variability in 37 additional objects. We also have determined the observing statistics for Dome A during the 2009 winter season; we find the extinction due to clouds to be less than 0.1 and 0.4 mag for 40% and 63% of the dark time, respectively.</t>
  </si>
  <si>
    <t>[Oelkers, Ryan J.; Macri, Lucas M.; Wang, Lifan] Texas A&amp;M Univ, Dept Phys &amp; Astron, George P &amp; Cynthiya W Mitchell Inst Fundamental, College Stn, TX 77843 USA; [Wang, Lifan; Feng, Long-Long; Zhu, Zhenxi] Chinese Acad Sci, Purple Mt Observ, Nanjing, Peoples R China; [Wang, Lifan; Cui, Xiangqun; Feng, Long-Long; Gong, Xuefei; Qiang, Liu; Yang, Huigen; Yuan, Xiangyan; Zhou, Xu; Zhu, Zhenxi] Chinese Ctr Antarct Astron, Nanjing, Peoples R China; [Ashley, Michael C. B.; Lawrence, Jon S.; Luong-Van, Daniel] Univ New S Wales, Sch Phys, Sydney, NSW 2052, Australia; [Cui, Xiangqun; Gong, Xuefei; Yuan, Xiangyan] Nanjing Inst Astron Optic &amp; Technol, Nanjing, Peoples R China; [Lawrence, Jon S.] Australian Astron Observ, Epping, NSW, Australia; [Qiang, Liu; Zhou, Xu] Chinese Acad Sci, Natl Astron Observ, Beijing, Peoples R China; [Pennypacker, Carl R.] Inst Nucl &amp; Particle Astrophys, Lawrence Berkeley Natl Lab, Berkeley, CA USA; [Yang, Huigen] Polar Res Inst China, Shanghai, Peoples R China; [York, Donald G.] Univ Chicago, Enrico Fermi Inst, Dept Astron &amp; Astrophys, Chicago, IL 60637 USA</t>
  </si>
  <si>
    <t>Texas A&amp;M University System; Texas A&amp;M University College Station; Purple Mountain Observatory, CAS; Chinese Academy of Sciences; Nanjing Institute of Astronomical Optics &amp; Technology, NAOC, CAS; University of New South Wales Sydney; Chinese Academy of Sciences; Nanjing Institute of Astronomical Optics &amp; Technology, NAOC, CAS; Chinese Academy of Sciences; National Astronomical Observatory, CAS; United States Department of Energy (DOE); Lawrence Berkeley National Laboratory; Polar Research Institute of China; University of Chicago</t>
  </si>
  <si>
    <t>Oelkers, RJ (corresponding author), Texas A&amp;M Univ, Dept Phys &amp; Astron, George P &amp; Cynthiya W Mitchell Inst Fundamental, College Stn, TX 77843 USA.</t>
  </si>
  <si>
    <t>ryan.oelkers@physics.tamu.edu</t>
  </si>
  <si>
    <t>Lawrence, Jon/0000-0002-6998-6993; Macri, Lucas/0000-0002-1775-4859; Ashley, Michael/0000-0003-1412-2028; Oelkers, Ryan/0000-0002-0582-1751</t>
  </si>
  <si>
    <t>Robert Martin Ayers Science Fund; Collaborative Research Center The Milky Way System of the German Research Foundation (DFG) [SFB 881, A3]; U. S. National Science Foundation [9988259]; NASA through Hubble Fellowship grant [HF-01082.01-96A]; Space Telescope Science Institute; Natural Sciences and Engineering Research Council of Canada (NSERC); National Aeronautics and Space Administration; National Science Foundation; Direct For Mathematical &amp; Physical Scien; Division Of Astronomical Sciences [9988259] Funding Source: National Science Foundation</t>
  </si>
  <si>
    <t>Robert Martin Ayers Science Fund; Collaborative Research Center The Milky Way System of the German Research Foundation (DFG)(German Research Foundation (DFG)); U. S. National Science Foundation(National Science Foundation (NSF)); NASA through Hubble Fellowship grant; Space Telescope Science Institute(Space Telescope Science Institute); Natural Sciences and Engineering Research Council of Canada (NSERC)(Natural Sciences and Engineering Research Council of Canada (NSERC)); National Aeronautics and Space Administration(National Aeronautics &amp; Space Administration (NASA)); National Science Foundation(National Science Foundation (NSF)); Direct For Mathematical &amp; Physical Scien; Division Of Astronomical Sciences(National Science Foundation (NSF)NSF - Directorate for Mathematical &amp; Physical Sciences (MPS))</t>
  </si>
  <si>
    <t>We appreciate helpful recommendations from an anonymous referee. Observations using PROMPT were made possible by the Robert Martin Ayers Science Fund. M. A. acknowledges support by the Collaborative Research Center The Milky Way System (SFB 881, subproject A3) of the German Research Foundation (DFG). A. L. acknowledges support from the U. S. National Science Foundation under grant No. 9988259 and from NASA through Hubble Fellowship grant HF-01082.01-96A, which was awarded by the Space Telescope Science Institute. D. W. acknowledges support from the Natural Sciences and Engineering Research Council of Canada (NSERC) in the form of a Discovery Grant. This publication makes use of data products from the Two Micron All Sky Survey, which is a joint project of the University of Massachusetts and the Infrared Processing and Analysis Center/California Institute of Technology, funded by the National Aeronautics and Space Administration and the National Science Foundation. This research has made use of the International Variable Star Index (VSX) database, operated at AAVSO, Cambridge, Massachusetts, USA.</t>
  </si>
  <si>
    <t>10.1088/0004-6256/149/2/50</t>
  </si>
  <si>
    <t>CB1BA</t>
  </si>
  <si>
    <t>WOS:000349360200015</t>
  </si>
  <si>
    <t>Zong, WK; Fu, JN; Niu, JS; Charpinet, S; Vauclair, G; Ashley, MCB; Cui, XQ; Feng, LL; Gong, XF; Lawrence, JS; Luong-Van, D; Liu, Q; Pennypacker, CR; Wang, LZ; Wang, LF; Yuan, XY; York, DG; Zhou, X; Zhu, ZX; Zhu, ZH</t>
  </si>
  <si>
    <t>Zong, Weikai; Fu, Jian-Ning; Niu, Jia-Shu; Charpinet, S.; Vauclair, G.; Ashley, Michael C. B.; Cui, Xiangqun; Feng, Longlong; Gong, Xuefei; Lawrence, Jon S.; Luong-Van, Daniel; Liu, Qiang; Pennypacker, Carl R.; Wang, Lingzhi; Wang, Lifan; Yuan, Xiangyan; York, Donald G.; Zhou, Xu; Zhu, Zhenxi; Zhu, Zonghong</t>
  </si>
  <si>
    <t>DISCOVERY OF MULTIPLE PULSATIONS IN THE NEW δ SCUTI STAR HD 92277: ASTEROSEISMOLOGY FROM DOME A, ANTARCTICA</t>
  </si>
  <si>
    <t>stars: individual (HD 92277); stars: variables: delta Scuti; techniques: photometric</t>
  </si>
  <si>
    <t>VARIABLE-STARS; SKY SURVEY; PHOTOMETRY; TELESCOPE; CATALOG; CSTAR; KEPLER; SITE</t>
  </si>
  <si>
    <t>We report the discovery of low-amplitude oscillations in the star HD 92277 from long, continuous observations in the r and g bands using the CSTAR telescopes in Antarctica. A total of more than 1950 hours of high-quality light curves were used to categorize HD 92277 as a new member of the delta Scuti class. We have detected 21 (20 frequencies are independent and one is the linear combination) and 14 (13 frequencies are independent and one is the linear combination) pulsation frequencies in the r and g bands, respectively, indicating a multi-periodic pulsation behavior. The primary frequency f(1) = 10.810 days(-1) corresponds to a period of 0.0925 days and is an l = 1 mode. We estimate a B - V index of 0.39 and derive an effective temperature of 6800 K for HD 92277. We conclude that long, continuous and uninterrupted time-series photometry can be performed from Dome A, Antarctica, and that this is especially valuable for asteroseismology where multi-color observations (often not available from space-based telescopes) assist with mode identification.</t>
  </si>
  <si>
    <t>[Zong, Weikai; Fu, Jian-Ning; Niu, Jia-Shu; Zhu, Zonghong] Beijing Normal Univ, Dept Astron, Beijing 100875, Peoples R China; [Zong, Weikai; Charpinet, S.; Vauclair, G.] Univ Toulouse, UPS OMP, IRAP, F-31400 Toulouse, France; [Zong, Weikai; Charpinet, S.; Vauclair, G.] CNRS, IRAP, F-31400 Toulouse, France; [Fu, Jian-Ning] Chinese Acad Sci, Visiting Astronomer Xinjiang Astron Observ, Urumqi 830011, Peoples R China; [Ashley, Michael C. B.; Lawrence, Jon S.; Luong-Van, Daniel] Univ New S Wales, Sch Phys, Sydney, NSW 2052, Australia; [Cui, Xiangqun; Gong, Xuefei] Nanjing Inst Astron Opt &amp; Technol, Nanjing 210042, Jiangsu, Peoples R China; [Feng, Longlong; Wang, Lifan; Yuan, Xiangyan; Zhu, Zhenxi] Chinese Acad Sci, Purple Mt Observ, Nanjing 210008, Jiangsu, Peoples R China; [Lawrence, Jon S.] Australian Astron Observ, Epping, NSW 1710, Australia; [Liu, Qiang; Wang, Lingzhi; Zhou, Xu] Chinese Acad Sci, Natl Astron Observ, Beijing 100012, Peoples R China; [Pennypacker, Carl R.] Univ Calif Berkeley, Lawrence Berkeley Natl Lab, Ctr Astrophys, Berkeley, CA 94720 USA; [Wang, Lifan] Texas A&amp;M Univ, Dept Phys &amp; Astron, College Stn, TX 77843 USA; [Yuan, Xiangyan] Chinese Ctr Antarct Astron, Nanjing 210008, Jiangsu, Peoples R China; [York, Donald G.] Univ Chicago, Dept Astron &amp; Astrophys, Chicago, IL 60637 USA; [York, Donald G.] Univ Chicago, Enrico Fermi Inst, Chicago, IL 60637 USA</t>
  </si>
  <si>
    <t>Beijing Normal University; Universite de Toulouse; Universite Toulouse III - Paul Sabatier; Centre National de la Recherche Scientifique (CNRS); Universite de Toulouse; Universite Toulouse III - Paul Sabatier; Centre National de la Recherche Scientifique (CNRS); Chinese Academy of Sciences; University of New South Wales Sydney; Chinese Academy of Sciences; Nanjing Institute of Astronomical Optics &amp; Technology, NAOC, CAS; Purple Mountain Observatory, CAS; Chinese Academy of Sciences; Nanjing Institute of Astronomical Optics &amp; Technology, NAOC, CAS; Chinese Academy of Sciences; National Astronomical Observatory, CAS; United States Department of Energy (DOE); Lawrence Berkeley National Laboratory; University of California System; University of California Berkeley; Texas A&amp;M University System; Texas A&amp;M University College Station; University of Chicago; University of Chicago</t>
  </si>
  <si>
    <t>Zong, WK (corresponding author), Beijing Normal Univ, Dept Astron, Beijing 100875, Peoples R China.</t>
  </si>
  <si>
    <t>jnfu@bnu.edu.cn</t>
  </si>
  <si>
    <t>Niu, Jia-Shu/HDM-0444-2022</t>
  </si>
  <si>
    <t>Ashley, Michael/0000-0003-1412-2028; Zong, Weikai/0000-0002-7660-9803; Lawrence, Jon/0000-0002-6998-6993; Niu, Jia-Shu/0000-0001-5232-9500</t>
  </si>
  <si>
    <t>China Scholarship Council; Astronomy of National Natural Science Foundation of China (NSFC) [U1231202]; Chinese Academy of Sciences [U1231202]; National Basic Research Program of China (973 Program) [2014CB845700, 2013CB834900]; NSFC [11303041]; Commonwealth of Australia under the Australia-China Science and Research Fund; Australian Research Council; Australian Antarctic Division</t>
  </si>
  <si>
    <t>China Scholarship Council(China Scholarship Council); Astronomy of National Natural Science Foundation of China (NSFC); Chinese Academy of Sciences(Chinese Academy of Sciences); National Basic Research Program of China (973 Program)(National Basic Research Program of China); NSFC(National Natural Science Foundation of China (NSFC)); Commonwealth of Australia under the Australia-China Science and Research Fund; Australian Research Council(Australian Research Council); Australian Antarctic Division</t>
  </si>
  <si>
    <t>W.K.Z. acknowledges the financial support from the China Scholarship Council. W.K.Z., J.N.F., and J.S.N. acknowledge support from the Joint Fund of Astronomy of National Natural Science Foundation of China (NSFC) and Chinese Academy of Sciences through grant U1231202 and support from the National Basic Research Program of China (973 Program 2014CB845700 and 2013CB834900). L.Z.W. acknowledges support from NSFC 11303041. This project is supported by the Commonwealth of Australia under the Australia-China Science and Research Fund and by the Australian Research Council and the Australian Antarctic Division. This research has made use of the Simbad database, operated at CDS, Strasbourg, France. The authors thank the referee for valuable comments that were helpful in improving the manuscript. The authors appreciate the great efforts made by the 24-29th Dome A expedition teams for assistance to the astronomers that set up and provide annual maintenance for the CSTAR telescopes and other facilities.</t>
  </si>
  <si>
    <t>10.1088/0004-6256/149/2/84</t>
  </si>
  <si>
    <t>WOS:000349360200049</t>
  </si>
  <si>
    <t>Crittenden, PD; Scrimgeour, CM; Minnullina, G; Sutton, MA; Tang, YS; Theobald, MR</t>
  </si>
  <si>
    <t>Crittenden, P. D.; Scrimgeour, C. M.; Minnullina, G.; Sutton, M. A.; Tang, Y. S.; Theobald, M. R.</t>
  </si>
  <si>
    <t>Lichen response to ammonia deposition defines the footprint of a penguin rookery</t>
  </si>
  <si>
    <t>BIOGEOCHEMISTRY</t>
  </si>
  <si>
    <t>Adelie penguins; N-15 natural abundance; Phosphatase activity; Umbilicaria decussata; Usnea sphacelata; Xanthomendoza borealis</t>
  </si>
  <si>
    <t>STABLE-ISOTOPE RATIOS; KING-GEORGE-ISLAND; SEAL COLONY SOILS; NATURAL-ABUNDANCE; ATMOSPHERIC NITROGEN; CHEMICAL-COMPOSITION; ORNITHOGENIC SOILS; GAS CONCENTRATIONS; NUTRIENT INPUTS; N-15 ABUNDANCE</t>
  </si>
  <si>
    <t>Ammonia volatilized from penguin rookeries is a major nitrogen source in Antarctic coastal terrestrial ecosystems. However, the spatial extent of ammonia dispersion from rookeries and its impacts have not been quantified previously. We measured ammonia concentration in air and lichen ecophysiological response variables proximate to an AdSlie penguin rookery at Cape Hallett, northern Victoria Land. Ammonia emitted from the rookery was N-15-enriched (delta N-15 value +6.9) and concentrations in air ranged from 36-75 A mu g m(-3) at the rookery centre to 0.05 A mu g m(-3) at a distance of 15.3 km. delta N-15 values and rates of phosphomonoesterase (PME) activity in the lichens Usnea sphacelata and Umbilicaria decussata were strongly negatively related to distance from the rookery and PME activity was positively related to thallus N:P mass ratio. In contrast, the lichen Xanthomendoza borealis, which is largely restricted to within an area 0.5 km from the rookery perimeter, had high N, P and N-15 concentrations but low PME activity suggesting that nutrient scavenging capacity is suppressed in highly eutrophicated sites. An ammonia dispersion model indicates that ammonia concentrations sufficient to significantly elevate PME activity and delta N-15 values (a parts per thousand yen0.1 A mu g NH3 m(-3)) occurred over c. 40-300 km(2) surrounding the rookery suggesting that penguin rookeries potentially can generate large spatial impact zones. In a general linear model NH3 concentration and lichen species identity were found to account for 72 % of variation in the putative proportion of lichen thallus N originating from penguin derived NH3. The results provide evidence of large scale impact of N transfer from a marine to an N-limited terrestrial ecosystem.</t>
  </si>
  <si>
    <t>[Crittenden, P. D.; Minnullina, G.] Univ Nottingham, Sch Life Sci, Nottingham NG7 2RD, England; [Scrimgeour, C. M.] Invergowrie, James Hutton Inst, Dundee DD2 5DA, Scotland; [Sutton, M. A.; Tang, Y. S.] Ctr Ecol &amp; Hydrol, Penicuik EH26 0QB, Midlothian, Scotland; [Theobald, M. R.] Tech Univ Madrid, ETSI Agronomos, Madrid 28040, Spain</t>
  </si>
  <si>
    <t>University of Nottingham; James Hutton Institute; UK Centre for Ecology &amp; Hydrology (UKCEH); Universidad Politecnica de Madrid</t>
  </si>
  <si>
    <t>Crittenden, PD (corresponding author), Univ Nottingham, Sch Life Sci, Nottingham NG7 2RD, England.</t>
  </si>
  <si>
    <t>pdc@nottingham.ac.uk</t>
  </si>
  <si>
    <t>Theobald, M. R./AAB-9854-2022; Sutton, Mark/K-2700-2012; Theobald, Mark R/F-6971-2016</t>
  </si>
  <si>
    <t>Theobald, M. R./0000-0002-8133-0532; Sutton, Mark/0000-0002-1342-2072; Theobald, Mark R/0000-0002-8133-0532; Tang, Sim/0000-0002-7814-3998</t>
  </si>
  <si>
    <t>Royal Society; Natural Environment Research Council; Russian Government; NERC [NE/L013371/1] Funding Source: UKRI; Natural Environment Research Council [NE/C514874/1, NE/L013371/1] Funding Source: researchfish</t>
  </si>
  <si>
    <t>Royal Society(Royal Society); Natural Environment Research Council(UK Research &amp; Innovation (UKRI)Natural Environment Research Council (NERC)); Russian Government; NERC(UK Research &amp; Innovation (UKRI)Natural Environment Research Council (NERC)); Natural Environment Research Council(UK Research &amp; Innovation (UKRI)Natural Environment Research Council (NERC))</t>
  </si>
  <si>
    <t>Grants were gratefully received from The Royal Society (to PDC), The Natural Environment Research Council (to PDC and MAS) and the Russian Government (to GM). PDC thanks Allan Green (School of Biology, University of Waikato) for the invitation to participate in ANZ's (Antarctica New Zealand's) Latitudinal Gradient Project, ANZ for provision of travel, accommodation and research facilities at Scott Base and Cape Hallett, Rachel Brown and Gus McAllister for facilitating research activities at Cape Hallett, Catherine Beard and Joanna Bishop (University of Waikato) for help in the field and for preparing the loan of equipment from Waikato University, and Rod Seppelt (Australian Antarctic Division) and Catherine Beard for collecting lichen samples from Football Saddle and Redcastle Ridge. PDC thanks Laurence Greenfield (School of Biological Sciences, University of Canterbury) for his hospitality and use of facilities at the University of Canterbury, Louise Lindblom (Department of Biology, University of Bergen) for confirming the identity of Xanthomendoza borealis, Francis Gilbert and James Stratford for help with the GLM analysis, and Allan Green and Ron Lewis Smith (British Antarctic Survey) for useful discussion. Finally, we thank three anonymous referees whose insightful comments led to substantial improvements in this paper.</t>
  </si>
  <si>
    <t>0168-2563</t>
  </si>
  <si>
    <t>1573-515X</t>
  </si>
  <si>
    <t>Biogeochemistry</t>
  </si>
  <si>
    <t>2-3</t>
  </si>
  <si>
    <t>10.1007/s10533-014-0042-7</t>
  </si>
  <si>
    <t>Environmental Sciences; Geosciences, Multidisciplinary</t>
  </si>
  <si>
    <t>AZ6PA</t>
  </si>
  <si>
    <t>Green Accepted, Green Submitted, hybrid</t>
  </si>
  <si>
    <t>WOS:000348340100010</t>
  </si>
  <si>
    <t>Gremillet, D; Peron, C; Provost, P; Lescroel, A</t>
  </si>
  <si>
    <t>Gremillet, David; Peron, Clara; Provost, Pascal; Lescroel, Amelie</t>
  </si>
  <si>
    <t>Adult and juvenile European seabirds at risk from marine plundering off West Africa</t>
  </si>
  <si>
    <t>BIOLOGICAL CONSERVATION</t>
  </si>
  <si>
    <t>Biotelemetry; Connectivity; Developing countries; Incidental mortality; IUU fisheries; Migration corridor</t>
  </si>
  <si>
    <t>HABITAT USE; BYCATCH; CONSERVATION; FISHERIES; BIODIVERSITY; ALBATROSSES; MORTALITY; INSIGHTS; GANNETS; SPACE</t>
  </si>
  <si>
    <t>Foreign fisheries massively harvest waters off West Africa, plundering local marine economies and threatening African food security. Here we warn that these fisheries might affect both juvenile and adult European seabirds during their autumn migration and at their wintering grounds. Using miniaturised GPS, satellite transmitters and geolocators, we tracked the migratory movements of 64 adult and juvenile Northern gannets (Morus bassanus) and Scopoli's shearwaters (Calonectris diomedea) after their breeding season in the eastern Atlantic and the Mediterranean Sea, respectively. It was the first time ever that the movements of gannet fledglings were tracked with GPS accuracy. During winter (October to March) birds made extensive use of marine areas within the exclusive economic zones of Morocco, Western Sahara, Mauritania and Senegal. These juvenile and adult European seabirds are therefore dependent upon African marine resources and at risk from competition with fisheries, as well as intentional and incidental mortality by fishing gear. Those threats occur additionally to detrimental seabird fishery interactions in Europe. There is an urgent need for improved marine conservation off West Africa, and our data demonstrating connectivity between specific European breeding colonies and African wintering areas are a major step towards stakeholder involvement. (C) 2014 Elsevier Ltd. All rights reserved.</t>
  </si>
  <si>
    <t>[Gremillet, David; Peron, Clara; Lescroel, Amelie] CEFE CNRS, UMR5175, F-34293 Montpellier, France; [Gremillet, David] UCT, Percy FitzPatrick Inst, ZA-7701 Rondebosch, South Africa; [Gremillet, David] UCT, DST NRF Ctr Excellence, ZA-7701 Rondebosch, South Africa; [Peron, Clara] Univ Tasmania, Inst Marine &amp; Antarctic Studies, Kingston, Tas 7050, Australia; [Peron, Clara] Australian Antarctic Div, Kingston, Tas 7050, Australia; [Provost, Pascal] Stn LPO Ile Grande, Reserve Nat Natl Sept Iles, F-22560 Pleumeur Bodou, France</t>
  </si>
  <si>
    <t>Centre National de la Recherche Scientifique (CNRS); CNRS - Institute of Ecology &amp; Environment (INEE); Universite de Montpellier; University of Cape Town; University of Cape Town; National Research Foundation - South Africa; University of Tasmania; Australian Antarctic Division</t>
  </si>
  <si>
    <t>Gremillet, D (corresponding author), CEFE CNRS, UMR5175, 1919 Route Mende, F-34293 Montpellier, France.</t>
  </si>
  <si>
    <t>david.gremillet@cefe.cnrs.fr</t>
  </si>
  <si>
    <t>PERON, Clara/E-9840-2015; Gremillet, David/W-1946-2018</t>
  </si>
  <si>
    <t>Gremillet, David/0000-0002-7711-9398</t>
  </si>
  <si>
    <t>French Agency for Marine Protected Areas (AAMP) within the Programme PACOMM; European Union within the INTERREG program FAME (Future of the Atlantic Marine Environment)</t>
  </si>
  <si>
    <t>This study was funded by the French Agency for Marine Protected Areas (AAMP) within the Programme PACOMM, Natura2000 en mer, and by the European Union within the INTERREG program FAME (Future of the Atlantic Marine Environment). We are grateful to all fieldworkers and personnel of the Conservatoire d'Espaces Naturels de Provence-Alpes-Cote-D'Azur, the Reserve Naturelle Nationale de l'archipel de Riou, the Parc Maritime des Iles du Frioul; the Reserve Naturelle des Bouches de Bonifacio and the Reserve Naturelle Nationale des Sept-Iles for their dedicated help, and to Mike P. Harris for checking our English. We thank Ursula Ellenberg and two anonymous referees for their very useful suggestions.</t>
  </si>
  <si>
    <t>0006-3207</t>
  </si>
  <si>
    <t>1873-2917</t>
  </si>
  <si>
    <t>BIOL CONSERV</t>
  </si>
  <si>
    <t>Biol. Conserv.</t>
  </si>
  <si>
    <t>10.1016/j.biocon.2014.12.001</t>
  </si>
  <si>
    <t>CB3AY</t>
  </si>
  <si>
    <t>WOS:000349501400018</t>
  </si>
  <si>
    <t>Trathan, PN; García-Borboroglu, P; Boersma, D; Bost, CA; Crawford, RJM; Crossin, GT; Cuthbert, RJ; Dann, P; Davis, LS; De La Puente, S; Ellenberg, U; Lynch, HJ; Mattern, T; Pütz, K; Seddon, PJ; Trivelpiece, W; Wienecke, B</t>
  </si>
  <si>
    <t>Trathan, Phil N.; Garcia-Borboroglu, Pablo; Boersma, Dee; Bost, Charles-Andre; Crawford, Robert J. M.; Crossin, Glenn T.; Cuthbert, Richard J.; Dann, Peter; Davis, Lloyd Spencer; De La Puente, Santiago; Ellenberg, Ursula; Lynch, Heather J.; Mattern, Thomas; Puetz, Klemens; Seddon, Philip J.; Trivelpiece, Wayne; Wienecke, Barbara</t>
  </si>
  <si>
    <t>Pollution, habitat loss, fishing, and climate change as critical threats to penguins</t>
  </si>
  <si>
    <t>CONSERVATION BIOLOGY</t>
  </si>
  <si>
    <t>bycatch; habitat degradation; marine pollution; overfishing; resource competition; switch; captura accesoria; competencia por recursos; contaminacion marina; degradacion de habitat; sobrepesca</t>
  </si>
  <si>
    <t>GOLFO SAN JORGE; AFRICAN PENGUINS; SPHENISCUS-DEMERSUS; ROCKHOPPER PENGUINS; MARINE; ISLAND; ECOSYSTEM; SEABIRDS; FISHERY; POPULATIONS</t>
  </si>
  <si>
    <t>Cumulative human impacts across the world's oceans are considerable. We therefore examined a single model taxonomic group, the penguins (Spheniscidae), to explore how marine species and communities might be at risk of decline or extinction in the southern hemisphere. We sought to determine the most important threats to penguins and to suggest means to mitigate these threats. Our review has relevance to other taxonomic groups in the southern hemisphere and in northern latitudes, where human impacts are greater. Our review was based on an expert assessment and literature review of all 18 penguin species; 49 scientists contributed to the process. For each penguin species, we considered their range and distribution, population trends, and main anthropogenic threats over the past approximately 250 years. These threats were harvesting adults for oil, skin, and feathers and as bait for crab and rock lobster fisheries; harvesting of eggs; terrestrial habitat degradation; marine pollution; fisheries bycatch and resource competition; environmental variability and climate change; and toxic algal poisoning and disease. Habitat loss, pollution, and fishing, all factors humans can readily mitigate, remain the primary threats for penguin species. Their future resilience to further climate change impacts will almost certainly depend on addressing current threats to existing habitat degradation on land and at sea. We suggest protection of breeding habitat, linked to the designation of appropriately scaled marine reserves, including in the High Seas, will be critical for the future conservation of penguins. However, large-scale conservation zones are not always practical or politically feasible and other ecosystem-based management methods that include spatial zoning, bycatch mitigation, and robust harvest control must be developed to maintain marine biodiversity and ensure that ecosystem functioning is maintained across a variety of scales. Contaminacion, Perdida de Habitat, Pesca y Cambio Climatico como Amenazas Criticas para los Pinguinos Resumen Los impactos humanos acumulativos a lo largo de los oceanos del planeta son considerables. Por eso examinamos un solo modelo de grupo taxonomico, los pinguinos (Sphenischidae), para explorar como las especies y las comunidades marinas pueden estar en riesgo de disminuir o de extinguirse en el hemisferio sur. Buscamos determinar la amenaza mas importante para los pinguinos y sugerir metodos para mitigar estas amenazas. Nuestra revision tiene relevancia para otros grupos taxonomicos en el hemisferio sur y en las latitudes nortenas, donde los impactos humanos son mayores. Nuestra revision se baso en una evaluacion experta y una revision de literaratura de las 18 especies de pinguinos; 49 cientificos contribuyeron al proceso. Para cada especie de pinguino, consideramos su rango y distribucion, tendencias poblacionales y las principales amenazas antropogenicas en aproximadamente los ultimos 250 anos. Estas amenazas fueron la captura de adultos para obtener aceite, piel y plumas y el uso como carnada para la pesca de cangrejos y langostas: la recoleccion de huevos; la degradacion del habitat terrestre; la contaminacion marina; la pesca accesoria y la competencia por recursos; la variabilidad ambiental y el cambio climatico; y el envenenamiento por algas toxicas y enfermedades. La perdida de habitat, la contaminacion y la pesca, todos factores que los humanos pueden mitigar, siguen siendo las amenazas principales para las especies de pinguinos. Su resiliencia futura a mas impactos por cambio climatico dependera certeramente de que nos enfoquemos en las amenazas actuales a la degradacion de habitats existentes en tierra y en el mar. Sugerimos que la proteccion de habitats de reproduccion, en conjunto con la designacion de reservas marinas de escala apropiada, incluyendo alta mar, sera critica para la conservacion futura de los pinguinos. Sin embargo, las zonas de conservacion a gran escala no son siempre practicas o politicamente viables, y otros metodos de manejo basados en ecosistemas que incluyen la zonificacion espacial, la mitigacion de captura accesoria, y el control fuerte de captura deben desarrollarse para mantener la biodiversidad marina y asegurar que el funcionamiento de los ecosistemas se mantenga a lo largo de una variedad de escalas.</t>
  </si>
  <si>
    <t>[Trathan, Phil N.] British Antarctic Survey, Cambridge CB3 0ET, England; [Garcia-Borboroglu, Pablo] Ctr Nacl Patagon CONICET, Puerto Madryn, Chubut, Argentina; [Boersma, Dee] Univ Washington, Dept Biol, Seattle, WA 98195 USA; [Bost, Charles-Andre] CNRS, UPR 1934, Ctr Etud Biol Chize, F-79360 Villiers En Bois, France; [Crawford, Robert J. M.] Branch Oceans &amp; Coasts, Dept Environm Affairs, ZA-8000 Cape Town, South Africa; [Crossin, Glenn T.] Dalhousie Univ, Dept Biol, Halifax, NS B3H 4R2, Canada; [Cuthbert, Richard J.] Royal Soc Protect Birds, Sandy SG19 2DL, Beds, England; [Dann, Peter] Phillip Isl Nat Parks, Res Dept, Phillip Isl, Vic 3922, Australia; [Davis, Lloyd Spencer] Univ Otago, Ctr Sci Commun, Dunedin, New Zealand; [De La Puente, Santiago] Univ Cayetano Heredia, Ctr Sostenibilidad Ambiental, Lima 18, Peru; [Ellenberg, Ursula; Mattern, Thomas; Seddon, Philip J.] Univ Otago, Dept Zool, Dunedin, New Zealand; [Lynch, Heather J.] SUNY Stony Brook, Stony Brook, NY 11794 USA; [Puetz, Klemens] Antarctic Res Trust, D-27432 Bremervoerde, Germany; [Trivelpiece, Wayne] SW Fisheries Sci Ctr, Antarctic Ecosyst Res Div, La Jolla, CA 92065 USA; [Wienecke, Barbara] Australian Antarctic Div, Kingston, Tas 7050, Australia</t>
  </si>
  <si>
    <t>UK Research &amp; Innovation (UKRI); Natural Environment Research Council (NERC); NERC British Antarctic Survey; Centro Nacional Patagonico (CENPAT); Consejo Nacional de Investigaciones Cientificas y Tecnicas (CONICET); University of Washington; University of Washington Seattle; Centre National de la Recherche Scientifique (CNRS); Department of Environment, Forestry &amp; Fisheries; Dalhousie University; Royal Society for Protection of Birds; University of Otago; Universidad Peruana Cayetano Heredia; University of Otago; State University of New York (SUNY) System; State University of New York (SUNY) Stony Brook; National Oceanic Atmospheric Admin (NOAA) - USA; Australian Antarctic Division</t>
  </si>
  <si>
    <t>Trathan, PN (corresponding author), British Antarctic Survey, Madingley Rd, Cambridge CB3 0ET, England.</t>
  </si>
  <si>
    <t>pnt@bas.ac.uk</t>
  </si>
  <si>
    <t>Ellenberg, Ursula/AAF-7317-2020; Seddon, Philip/G-8659-2011; De la Puente, Santiago/JSL-2087-2023; Davis, Lloyd/HJI-3533-2023; Mattern, Thomas/AAJ-6325-2020</t>
  </si>
  <si>
    <t>Ellenberg, Ursula/0000-0002-3100-6742; Seddon, Philip/0000-0001-9076-9566; De la Puente, Santiago/0000-0002-6189-9596; Mattern, Thomas/0000-0003-0745-8180; Crossin, Glenn/0000-0003-1080-1189; Puetz, Klemens/0000-0003-1375-2669</t>
  </si>
  <si>
    <t>NERC [bas0100025] Funding Source: UKRI; Natural Environment Research Council [bas0100025] Funding Source: researchfish; Office of Polar Programs (OPP); Directorate For Geosciences [1255058] Funding Source: National Science Foundation</t>
  </si>
  <si>
    <t>NERC(UK Research &amp; Innovation (UKRI)Natural Environment Research Council (NERC)); Natural Environment Research Council(UK Research &amp; Innovation (UKRI)Natural Environment Research Council (NERC)); Office of Polar Programs (OPP); Directorate For Geosciences(National Science Foundation (NSF)NSF - Directorate for Geosciences (GEO))</t>
  </si>
  <si>
    <t>0888-8892</t>
  </si>
  <si>
    <t>1523-1739</t>
  </si>
  <si>
    <t>CONSERV BIOL</t>
  </si>
  <si>
    <t>Conserv. Biol.</t>
  </si>
  <si>
    <t>10.1111/cobi.12349</t>
  </si>
  <si>
    <t>CA2AX</t>
  </si>
  <si>
    <t>WOS:000348712400006</t>
  </si>
  <si>
    <t>Dawson, J; Oppel, S; Cuthbert, RJ; Holmes, N; Bird, JP; Butchart, SHM; Spatz, DR; Tershy, B</t>
  </si>
  <si>
    <t>Dawson, Jeffrey; Oppel, Steffen; Cuthbert, Richard J.; Holmes, Nick; Bird, Jeremy P.; Butchart, Stuart H. M.; Spatz, Dena R.; Tershy, Bernie</t>
  </si>
  <si>
    <t>Prioritizing islands for the eradication of invasive vertebrates in the United Kingdom overseas territories</t>
  </si>
  <si>
    <t>alien invasive vertebrates; biodiversity conservation; eradication; invasive species; island restoration; non-native species; reptiles; rodents; conservacion de la biodiversidad; erradicacion; especies invasoras; especies no-nativas; reptiles; restauracion de islas; roedores; vertebrados invasores</t>
  </si>
  <si>
    <t>COSTING ERADICATIONS; RAT ERADICATION; GOUGH ISLAND; CONSERVATION; IMPACTS; MAMMALS; INVERTEBRATE; PREDATION; PETRELS; BIOLOGY</t>
  </si>
  <si>
    <t>Invasive alien species are one of the primary threats to native biodiversity on islands worldwide. Consequently, eradicating invasive species from islands has become a mainstream conservation practice. Deciding which islands have the highest priority for eradication is of strategic importance to allocate limited resources to achieve maximum conservation benefit. Previous island prioritizations focused either on a narrow set of native species or on a small geographic area. We devised a prioritization approach that incorporates all threatened native terrestrial vertebrates and all invasive terrestrial vertebrates occurring on 11 U.K. overseas territories, which comprise over 2000 islands ranging from the sub-Antarctic to the tropics. Our approach includes eradication feasibility and distinguishes between the potential and realistic conservation value of an eradication, which reflects the benefit that would accrue following eradication of either all invasive species or only those species for which eradication techniques currently exist. We identified the top 25 priority islands for invasive species eradication that together would benefit extant populations of 155 native species including 45 globally threatened species. The 5 most valuable islands included the 2 World Heritage islands Gough (South Atlantic) and Henderson (South Pacific) that feature unique seabird colonies, and Anegada, Little Cayman, and Guana Island in the Caribbean that feature a unique reptile fauna. This prioritization can be rapidly repeated if new information or techniques become available, and the approach could be replicated elsewhere in the world. Priorizacion de Islas para la Erradicacion de Vertebrados Invasores en los Territorios Exteriores del Reino Unido Resumen Las especies invasoras son una de las principales amenazas para la biodiversidad nativa de las islas en todo el mundo. En consecuencia, erradicar a las especies invasoras de las islas se ha vuelto una practica de conservacion convencional. Decidir si las islas tienen la prioridad mas alta para la erradicacion es de importancia estrategica para asignar recursos limitados a obtener un beneficio maximo de conservacion. La priorizacion previa de islas se ha enfocado en un conjunto limitado de especies nativas o en un area geografica pequena. Concebimos una estrategia de priorizacion que incorpora a todos los vertebrados terrestres nativos amenazados y a todos los vertebrados terrestres invasores que existen en once territorios externos del Reino Unido, que comprende mas de 2000 islas que van desde la region sub-antartica hasta los tropicos. Nuestra estrategia incluye la viabilidad de la erradicacion y distingue entre el valor de conservacion potencial y el valor realista de de una erradicacion, lo que refleja el beneficio que se acumularia despues de la erradicacion de todas las especies invasoras o solo de aquellas especies para las cuales existen actualmente tecnicas de erradicacion. Identificamos a las 25 islas mas importantes para la priorizacion de erradicacion de especies invasoras, que en conjunto beneficiarian a las poblaciones existentes de 155 especies nativas, incluidas 45 especies amenazadas a nivel global. Las cinco islas mas valiosas incluyen dos islas de patrimonio mundial: Gough (Atlantico sur) y Henderson (Pacifico sur), que poseen colonias unicas de aves marinas; ademas de las islas Anegada, Little Cayman y Guana en el Caribe, que presentan una fauna unica de reptiles. Esta priorizacion puede repetirse rapidamente si nueva informacion o nuevas tecnicas se vuelven disponibles, y la estrategia podria replicarse en otros lugares del mundo.</t>
  </si>
  <si>
    <t>[Dawson, Jeffrey; Oppel, Steffen; Cuthbert, Richard J.] Royal Soc Protect Birds, RSPB Ctr Conservat Sci, Sandy SG19 2DL, Beds, England; [Holmes, Nick] Isl Conservat, Santa Cruz, CA 95060 USA; [Bird, Jeremy P.; Butchart, Stuart H. M.] BirdLife Int, Cambridge CB3 0NA, England; [Spatz, Dena R.; Tershy, Bernie] Univ Calif Santa Cruz, Santa Cruz, CA 95064 USA</t>
  </si>
  <si>
    <t>Royal Society for Protection of Birds; BirdLife International; University of California System; University of California Santa Cruz</t>
  </si>
  <si>
    <t>Oppel, S (corresponding author), Royal Soc Protect Birds, RSPB Ctr Conservat Sci, Sandy SG19 2DL, Beds, England.</t>
  </si>
  <si>
    <t>steffen.oppel@rspb.org.uk</t>
  </si>
  <si>
    <t>Butchart, Stuart/AAJ-1852-2021; Butchart, Stuart HM/Y-2711-2018; Oppel, Steffen/H-2771-2019; Bird, Jeremy/JFV-9213-2023</t>
  </si>
  <si>
    <t>Butchart, Stuart/0000-0002-1140-4049; Oppel, Steffen/0000-0002-8220-3789; Bird, Jeremy/0000-0002-7466-1755</t>
  </si>
  <si>
    <t>U.K. Department for Environment, Food and Rural Affairs (Defra)</t>
  </si>
  <si>
    <t>U.K. Department for Environment, Food and Rural Affairs (Defra)(Department for Environment, Food &amp; Rural Affairs (DEFRA))</t>
  </si>
  <si>
    <t>This study was funded by the U.K. Department for Environment, Food and Rural Affairs (Defra). We greatly appreciate the support of all the U.K. overseas territory governments and BirdLife International partner organizations for providing data on the distribution of native and invasive species. We are grateful to Falklands Conservation, St Helena National Trust, Montserrat National Trust, Anguilla National Trust, National Parks Trust of the British Virgin Islands, Turks and Caicos National Trust, Bermuda Audubon Society, Kew Gardens, Defra, JNCC, Foreign and Commonwealth Office, UKOTA members, C. Stringer, J. Hall, J. Millett, A. Budden, R. Lewis, R. Upson, P. Carr, G. Gerber, and K. Newton for providing valuable assistance. We appreciate the comments by M. Burgman, D. Armstrong, and 2 anonymous reviewers who helped improve the manuscript.</t>
  </si>
  <si>
    <t>10.1111/cobi.12347</t>
  </si>
  <si>
    <t>WOS:000348712400017</t>
  </si>
  <si>
    <t>Cornwall, CE; Eddy, TD</t>
  </si>
  <si>
    <t>Cornwall, Christopher E.; Eddy, Tyler D.</t>
  </si>
  <si>
    <t>Effects of near-future ocean acidification, fishing, and marine protection on a temperate coastal ecosystem</t>
  </si>
  <si>
    <t>Ecopath with Ecosim; ecosystem modeling; EwE; fisheries exploitation; indirect effects; Jasus edwardsii; lobster; Ecopath con Ecosim; efectos indirectos; EwE; explotacion pesquera; Jasus edwardsii; langosta; modelado de ecosistemas</t>
  </si>
  <si>
    <t>CLIMATE-CHANGE; STRESSORS; RESERVES; IMPACTS; CORAL</t>
  </si>
  <si>
    <t>Understanding ecosystem responses to global and local anthropogenic impacts is paramount to predicting future ecosystem states. We used an ecosystem modeling approach to investigate the independent and cumulative effects of fishing, marine protection, and ocean acidification on a coastal ecosystem. To quantify the effects of ocean acidification at the ecosystem level, we used information from the peer-reviewed literature on the effects of ocean acidification. Using an Ecopath with Ecosim ecosystem model for the Wellington south coast, including the Taputeranga Marine Reserve (MR), New Zealand, we predicted ecosystem responses under 4 scenarios: ocean acidification + fishing; ocean acidification + MR (no fishing); no ocean acidification + fishing; no ocean acidification + MR for the year 2050. Fishing had a larger effect on trophic group biomasses and trophic structure than ocean acidification, whereas the effects of ocean acidification were only large in the absence of fishing. Mortality by fishing had large, negative effects on trophic group biomasses. These effects were similar regardless of the presence of ocean acidification. Ocean acidification was predicted to indirectly benefit certain species in the MR scenario. This was because lobster (Jasus edwardsii) only recovered to 58% of the MR biomass in the ocean acidification + MR scenario, a situation that benefited the trophic groups lobsters prey on. Most trophic groups responded antagonistically to the interactive effects of ocean acidification and marine protection (46%; reduced response); however, many groups responded synergistically (33%; amplified response). Conservation and fisheries management strategies need to account for the reduced recovery potential of some exploited species under ocean acidification, nonadditive interactions of multiple factors, and indirect responses of species to ocean acidification caused by declines in calcareous predators. Efectos Futuros de la Acidificacion Oceanica, la Pesca y la Proteccion Marina sobre un Ecosistema Costero Templado Entender las respuestas ambientales a los impactos antropogenicos globales y locales es primordial para predecir los estados futuros de los ecosistemas. Usamos una estrategia de modelado de ecosistemas para investigar los efectos independientes y acumulativos de la pesca, la proteccion marina y la acidificacion oceanica sobre un ecosistema costero. Para cuantificar los efectos de la acidificacion oceanica en el nivel de ecosistema, usamos informacion de la literatura revisada por colegas sobre los efectos de la acidificacion oceanica. Al usar un modelo de ecosistema Ecopath con Ecosim para la costa sur de Wellington, incluyendo la Reserva Marina Taputeranga (RM), Nueva Zelanda, pronosticamos las respuestas ambientales bajo cuatro escenarios: acidificacion oceanica + pesca; acidificacion oceanica + reservas marinas (RM) (sin pesca); ninguna acidificacion oceanica + pesca; ninguna acidificacion oceanica + RM para el ano 2050. La pesca tuvo un mayor efecto sobre la biomasa de los grupos troficos y sobre la estructura trofica que la acidificacion oceanica, mientras que los efectos de la acidificacion oceanica solo fueron mayores en la ausencia de la pesca. La mortandad por pesca tuvo efectos negativos mayores sobre la biomasa de los grupos troficos. Estos efectos fueron similares sin importar la presencia de la acidificacion oceanica. Se pronostico que la acidificacion oceanica beneficiaria indirectamente a ciertas especies en el escenario RM. Esto se debio a que la langosta (Jasus edwardsii) solo recuperaba hasta el 58% de la biomasa de la RM en el escenario de acidificacion oceanica + RM, una situacion que beneficio a los grupos troficos de los cuales se alimenta la langosta. La mayoria de los grupos troficos respondieron de manera antagonica a los efectos interactivos de la acidificacion oceanica y las reservas marinas (46% redujo su respuesta); sin embargo, muchos grupos respondieron de manera sinergica (33% amplio su respuesta). Las estrategias de conservacion y manejo de pesquerias necesitan responder por el potencial de recuperacion reducido de algunas especies explotadas bajo la acidificacion oceanica, las interacciones no aditivas de multiples factores y las respuestas indirectas de las especies a la acidificacion oceanica causada por la declinacion de depredadores calcareos. Resumen</t>
  </si>
  <si>
    <t>[Cornwall, Christopher E.] Univ Tasmania, Inst Marine &amp; Antarctic Studies, Hobart, Tas 7001, Australia; [Eddy, Tyler D.] Dalhousie Univ, Dept Biol, Halifax, NS B3H 4R2, Canada</t>
  </si>
  <si>
    <t>University of Tasmania; Dalhousie University</t>
  </si>
  <si>
    <t>Cornwall, CE (corresponding author), Univ Tasmania, Inst Marine &amp; Antarctic Studies, Private Bag 129, Hobart, Tas 7001, Australia.</t>
  </si>
  <si>
    <t>chris.cornwall@utas.edu.au</t>
  </si>
  <si>
    <t>Eddy, Tyler/ABE-7092-2021; Cornwall, Christopher Edward/J-3982-2012; /AAL-3738-2021</t>
  </si>
  <si>
    <t>Eddy, Tyler/0000-0002-2833-9407; Cornwall, Christopher Edward/0000-0002-6154-4082;</t>
  </si>
  <si>
    <t>Ocean Acidification in the South Pacific Workshop</t>
  </si>
  <si>
    <t>We thank E.A. Fulton, C.L. Hurd, S.D. Ling, and 2 anonymous reviewers for comments on this manuscript. Funding from the Ocean Acidification in the South Pacific Workshop, hosted by the University of Otago and NIWA in Dunedin, New Zealand, provided travel support to T.D.E. that led to this project. Both authors declare there are no conflicts of interest.</t>
  </si>
  <si>
    <t>10.1111/cobi.12394</t>
  </si>
  <si>
    <t>WOS:000348712400023</t>
  </si>
  <si>
    <t>Tabak, MA; Poncet, S; Passfield, K; Carling, MD; del Rio, CM</t>
  </si>
  <si>
    <t>Tabak, Michael A.; Poncet, Sally; Passfield, Ken; Carling, Matthew D.; del Rio, Carlos Martinez</t>
  </si>
  <si>
    <t>The relationship between distance and genetic similarity among invasive rat populations in the Falkland Islands</t>
  </si>
  <si>
    <t>CONSERVATION GENETICS</t>
  </si>
  <si>
    <t>Invasive species; Islands; Eradication; Rattus norvegicus; Microsatellites</t>
  </si>
  <si>
    <t>ERADICATION; INFERENCE; RESTORATION; RECRUITMENT; MIGRATION; ATLANTIC; ECOLOGY; IMPACT; LOCI; FLOW</t>
  </si>
  <si>
    <t>Norway rats (Rattus norvegicus) have been either introduced to or have invaded a large number of the world's islands. Rats have caused population declines and the extinction of island endemics. Their eradication is often a major conservation success as it leads to recovery of affected species and even ecosystem processes. However, eradication efforts can be hampered by the ability of rats to re-colonize eradicated islands. Here we present the results of genetic analyses that inform migration rates and population structure of Norway rats from 14 sampling locations in the Falkland Islands, where rat eradication efforts are taking place. We used 12 microsatellite markers and population genetic tools to estimate rat migration patterns between 12 islands that were separated by distances ranging from 230 m to 112 km. We found evidence of significant migration rates, and hence presumably of rat movements between islands up to 830 m away from each other. Norway rats seem capable of swimming this distance even in the cold waters of the Falkland Islands. Our results can inform managers about strategies of rat eradication in the Falklands including minimal distances that reduce recolonization and the choice of island clusters for eradication.</t>
  </si>
  <si>
    <t>[Tabak, Michael A.; Carling, Matthew D.; del Rio, Carlos Martinez] Univ Wyoming, Dept Zool &amp; Physiol, 1000 E Univ Ave, Laramie, WY 82071 USA; [Tabak, Michael A.; Carling, Matthew D.; del Rio, Carlos Martinez] Univ Wyoming, Program Ecol, Laramie, WY 82071 USA; [Poncet, Sally; Passfield, Ken] Stanley FIQQ IZZ, Beaver Isl LandCare, Stanley, Falkland Island; [del Rio, Carlos Martinez] Univ Wyoming, Wyoming Biodivers Inst, Laramie, WY 82071 USA</t>
  </si>
  <si>
    <t>mtabak@uwyo.edu</t>
  </si>
  <si>
    <t>Shackleton Scholarship Fund; Antarctic Research Trust; Wyoming Biodiversity Institute; NSF [0841298]; Division Of Graduate Education; Direct For Education and Human Resources [0841298] Funding Source: National Science Foundation</t>
  </si>
  <si>
    <t>Shackleton Scholarship Fund; Antarctic Research Trust; Wyoming Biodiversity Institute; NSF(National Science Foundation (NSF)); Division Of Graduate Education; Direct For Education and Human Resources(National Science Foundation (NSF)NSF - Directorate for STEM Education (EDU))</t>
  </si>
  <si>
    <t>This project was partially funded by the Shackleton Scholarship Fund, Antarctic Research Trust, Wyoming Biodiversity Institute, and NSF Grant #0841298. We wish to thank Nick Rendell, Environmental Planning Officer for the Falkland Islands Government, for his assistance with permits for this research. We also thank Tony and Susan Hirtle, Mike and Phyll Rendell, and Steven Dickson for permission to access sampling locations, and to Derek Brown for his advice and insights. The comments of Liz Mandeville and two anonymous reviewers benefitted previous versions of this manuscript.</t>
  </si>
  <si>
    <t>1566-0621</t>
  </si>
  <si>
    <t>1572-9737</t>
  </si>
  <si>
    <t>CONSERV GENET</t>
  </si>
  <si>
    <t>Conserv. Genet.</t>
  </si>
  <si>
    <t>10.1007/s10592-014-0646-4</t>
  </si>
  <si>
    <t>Biodiversity Conservation; Genetics &amp; Heredity</t>
  </si>
  <si>
    <t>Biodiversity &amp; Conservation; Genetics &amp; Heredity</t>
  </si>
  <si>
    <t>AZ6XF</t>
  </si>
  <si>
    <t>WOS:000348360700010</t>
  </si>
  <si>
    <t>Gottschalk, J; Skinner, LC; Waelbroeck, C</t>
  </si>
  <si>
    <t>Gottschalk, Julia; Skinner, Luke C.; Waelbroeck, Claire</t>
  </si>
  <si>
    <t>Contribution of seasonal sub-Antarctic surface water variability to millennial-scale changes in atmospheric CO2 over the last deglaciation and Marine Isotope Stage 3</t>
  </si>
  <si>
    <t>South Atlantic; planktonic foraminifera; stable oxygen and carbon isotopes; atmospheric CO2; last glacial period</t>
  </si>
  <si>
    <t>SOUTHERN-OCEAN; PLANKTONIC-FORAMINIFERA; ICE CORE; GLOBIGERINA-BULLOIDES; SEDIMENT TRAPS; DEEP-WATER; NEOGLOBOQUADRINA-PACHYDERMA; CLIMATE-CHANGE; SIPLE DOME; CARBON</t>
  </si>
  <si>
    <t>The Southern Ocean is thought to have played a key role in past atmospheric carbon dioxide (CO2,(atm)) changes. Three main factors are understood to control the Southern Ocean's influence on CO2,(atm), via their impact on surface ocean pCO(2) and therefore regional ocean-atmosphere CO2 fluxes: 1) the efficiency of air-sea gas exchange, which may be attenuated by seasonal- or annual sea-ice coverage or the development of a shallow pycnocline; 2) the supply of CO2-rich water masses from the subsurface and the deep ocean, which is associated with turbulent mixing and surface buoyancy- and/or wind forcing; and 3) biological carbon fixation, which depends on nutrient availability and is therefore influenced by dust deposition and/or upwelling. In order to investigate the possible contributions of these processes to millennial-scale CO2,(atm) variations during the last glacial and deglacial periods, we make use of planktonic foraminifer census counts and stable oxygen- and carbon isotope measurements in the planktonic foraminifera Globigerina bulloides and Neogloboquadrina pachyderma (sinistral) from marine sediment core MD07-3076Q in the sub-Antarctic Atlantic. These data are interpreted on the basis of a comparison of core-top and modern seawater isotope data, which permits an assessment of the seasonal biases and geochemical controls on the stable isotopic compositions of G. bulloides and N. pachyderma (s.). Based on a comparison of our down-core results with similar data from the Southeast Atlantic (Cape Basin) we infer past basin-wide changes in the surface hydrography of the sub-Antarctic Atlantic. We find that millennial-scale rises in CO2,(atm) over the last 70 ka are consistently linked with evidence for increased spring upwelling, and enhanced summer air-sea exchange in the sub-Antarctic Atlantic. Parallel evidence for increased summer export production would suggest that seasonal changes in upwelling and air-sea exchange exerted a dominant influence on surface pCO(2) in the sub-Antarctic Atlantic. These results underline the role of Southern Ocean dynamics, in particular their seasonal variations, in driving millennial-scale variations in CO2,(atm). (C) 2014 The Authors. Published by Elsevier B.V.</t>
  </si>
  <si>
    <t>[Gottschalk, Julia; Skinner, Luke C.] Univ Cambridge, Dept Earth Sci, Godwin Lab Palaeoclimate Res, Cambridge CB2 3EQ, England; [Waelbroeck, Claire] CNRS CEA UVSQ, LSCE IPSL Lab, F-91198 Gif Sur Yvette, France</t>
  </si>
  <si>
    <t>University of Cambridge; Universite Paris Saclay; CEA; Centre National de la Recherche Scientifique (CNRS)</t>
  </si>
  <si>
    <t>Gottschalk, J (corresponding author), Univ Cambridge, Dept Earth Sci, Godwin Lab Palaeoclimate Res, Cambridge CB2 3EQ, England.</t>
  </si>
  <si>
    <t>jg619@cam.ac.uk</t>
  </si>
  <si>
    <t>Gottschalk, Julia/0000-0002-0403-3059; waelbroeck, claire/0000-0002-7256-5727</t>
  </si>
  <si>
    <t>Gates Cambridge Trust; Royal Society; NERC grant [NE/J010545/1]; Natural Environment Research Council [NE/J010545/1] Funding Source: researchfish; NERC [NE/J010545/1] Funding Source: UKRI</t>
  </si>
  <si>
    <t>Gates Cambridge Trust; Royal Society(Royal Society); NERC grant(UK Research &amp; Innovation (UKRI)Natural Environment Research Council (NERC)); Natural Environment Research Council(UK Research &amp; Innovation (UKRI)Natural Environment Research Council (NERC)); NERC(UK Research &amp; Innovation (UKRI)Natural Environment Research Council (NERC))</t>
  </si>
  <si>
    <t>We are indebted to Fabien Dewilde, Gulay Isguder, James Rolfe and Ian Mather for preparing and performing isotopic analyses as well as Andreas Mackensen and Rainer Gersonde for sharing expertise. in coring locations in the South Atlantic. We would like to thank Hans Hubberten, Hans-Stefan Niebler and Andreas Mackensen for sharing unpublished carbon isotope data from the South Atlantic. We thank two anonymous reviewers and the editor for their insightful comments and suggestions, which significantly helped to improve the manuscript. This work was supported by the Gates Cambridge Trust, the Royal Society and NERC grant NE/J010545/1. This is LSCE contribution 5366.</t>
  </si>
  <si>
    <t>10.1016/j.epsl.2014.11.051</t>
  </si>
  <si>
    <t>WOS:000349197500010</t>
  </si>
  <si>
    <t>Mawdsley, RJ; Haigh, ID; Wells, NC</t>
  </si>
  <si>
    <t>Mawdsley, Robert J.; Haigh, Ivan D.; Wells, Neil C.</t>
  </si>
  <si>
    <t>Global secular changes in different tidal high water, low water and range levels</t>
  </si>
  <si>
    <t>tides; sea level; tidal range; high water; low water; global</t>
  </si>
  <si>
    <t>EXTREME HIGH TIDES; MEAN SEA-LEVEL; PART I; TRENDS; OCEAN; REGIME; COAST; GULF</t>
  </si>
  <si>
    <t>Tides exert a major control on the coastal zone by influencing high sea levels and coastal flooding, navigation, sediment dynamics, and ecology. Therefore, any changes to tides have wide ranging and important implications. In this paper, we uniquely assess secular changes in 15 regularly used tidal levels (five high water, five low water and five tidal ranges), which have direct practical applications. Using sea level data from 220 tide gauge sites, we found changes have occured in all analyzed tidal levels in many parts of the world. For the tidal levels assessed, between 36% and 63% of sites had trends significantly different (at 95% confidence level) from zero. At certain locations, the magnitude of the trends in tidal levels were similar to trends in mean sea level over the last century, with observed changes in tidal range and high water levels of over 5 mm yr(-1) and 2 mm yr(-1), respectively. More positive than negative trends were observed in tidal ranges and high water levels, and vice versa for low water levels. However we found no significant correlation between trends in mean sea level (MSL) and any tidal levels. Spatially coherent trends were observed in some regions, including the north-east Pacific, German Bight and Australasia, and we also found that differences in trends occur between different tidal levels. This implies that analyzing different tidal levels is important. Because changes in the tide are widespread and of similar magnitude to MSL rise at a number sites, changes in tides should be considered in coastal risk assessments.</t>
  </si>
  <si>
    <t>[Mawdsley, Robert J.; Haigh, Ivan D.; Wells, Neil C.] Univ Southampton, Natl Oceanog Ctr, Ocean &amp; Earth Sci, Southampton, Hants, England</t>
  </si>
  <si>
    <t>Mawdsley, RJ (corresponding author), Univ Southampton, Natl Oceanog Ctr, Ocean &amp; Earth Sci, Southampton, Hants, England.</t>
  </si>
  <si>
    <t>Robert.mawdsley@noc.soton.ac.uk</t>
  </si>
  <si>
    <t>Haigh, Ivan D/A-6575-2010</t>
  </si>
  <si>
    <t>Mawdsley, Robert/0000-0003-4713-2935</t>
  </si>
  <si>
    <t>Natural Environmental Research Council via a PhD studentship; Engineering and Physical Science Research Council Flood Memory Project [EP/K013513/1]; Engineering and Physical Sciences Research Council [EP/K013513/1] Funding Source: researchfish; EPSRC [EP/K013513/1] Funding Source: UKRI</t>
  </si>
  <si>
    <t>Natural Environmental Research Council via a PhD studentship; Engineering and Physical Science Research Council Flood Memory Project(UK Research &amp; Innovation (UKRI)Engineering &amp; Physical Sciences Research Council (EPSRC)); Engineering and Physical Sciences Research Council(UK Research &amp; Innovation (UKRI)Engineering &amp; Physical Sciences Research Council (EPSRC)); EPSRC(UK Research &amp; Innovation (UKRI)Engineering &amp; Physical Sciences Research Council (EPSRC))</t>
  </si>
  <si>
    <t>This study was funded by Natural Environmental Research Council via a PhD studentship. Conversations and feedback from Mark Pickering at the National Oceanography Centre, Southampton, and Philip Woodworth at the National Oceanography Centre, Liverpool have been invaluable. The paper also greatly benefited from the comments and suggestions from the two reviewers. We are thankful to Philip Woodworth (again) and John Hunter (Antarctic Climate &amp; Ecosystems Cooperative Research Centre Australia) for initiating and letting us use the GESLA data set. Extensions to the dataset were provided by: University of Hawaii Sea Level Center, National Oceanographic and Atmospheric Authority, British Oceanographic Data Centre, Marine Environmental Data Service, Canada; Bureau of Meteorology, Australia; and Norwegian Mapping Authority. All data, prior to the further quality control conducted as part of this study, are freely available from the aforementioned institutes. This paper contributes to the Engineering and Physical Science Research Council Flood Memory Project (grant number EP/K013513/1).</t>
  </si>
  <si>
    <t>10.1002/2014EF000282</t>
  </si>
  <si>
    <t>CN0XT</t>
  </si>
  <si>
    <t>Green Accepted, gold</t>
  </si>
  <si>
    <t>WOS:000358139000003</t>
  </si>
  <si>
    <t>Ropert-Coudert, Y; Kato, A; Meyer, X; Pellé, M; MacIntosh, AJJ; Angelier, F; Chastel, O; Widmann, M; Arthur, B; Raymond, B; Raclot, T</t>
  </si>
  <si>
    <t>Ropert-Coudert, Yan; Kato, Akiko; Meyer, Xavier; Pelle, Marie; MacIntosh, Andrew J. J.; Angelier, Frederic; Chastel, Olivier; Widmann, Michel; Arthur, Ben; Raymond, Ben; Raclot, Thierry</t>
  </si>
  <si>
    <t>A complete breeding failure in an Adelie penguin colony correlates with unusual and extreme environmental events</t>
  </si>
  <si>
    <t>ECOGRAPHY</t>
  </si>
  <si>
    <t>ANTARCTICA; POLYNYAS</t>
  </si>
  <si>
    <t>Among the outcomes of the drastic changes affecting the Earth's ecosystems, nothing is more telling than a complete failure in the reproductive success of a sentinel species: a 'zero' year. Here, we found that unusual environmental conditions in the Terre Adelie sector of Antarctica disrupted the breeding activity of Adelie penguins Pygoscelis adeliae on land - but also their foraging activity at sea - to such a degree that no chicks survived in the 2013/2014 breeding season. Uncommonly heavy precipitation for this normally dry desert killed chicks en masse, while weak katabatic winds maintained a persistent sea ice around the colony, thereby impacting chick provisioning by adults. Extreme events such as this have direct repercussions for the species in question, and may also affect the wider sea-ice dependent food web. Understanding the nature, frequency, and consequences of such events are central to the management and conservation of this remote yet crucial ecosystem.</t>
  </si>
  <si>
    <t>[Ropert-Coudert, Yan; Kato, Akiko; Meyer, Xavier; Pelle, Marie; Widmann, Michel; Raclot, Thierry] CNRS, FR-67087 Strasbourg, France; [Ropert-Coudert, Yan; Kato, Akiko; Meyer, Xavier; Pelle, Marie; Widmann, Michel; Raclot, Thierry] Univ Strasbourg, UMR7178, IPHC, FR-67087 Strasbourg, France; [MacIntosh, Andrew J. J.] Kyoto Univ, Primate Res Inst, Ctr Int Collaborat &amp; Adv Studies Primatol, Inuyama, Aichi 4848506, Japan; [Angelier, Frederic; Chastel, Olivier] Ctr Etud Biol Chize, FR-79360 Villiers En Bois, France; [Arthur, Ben; Raymond, Ben] Univ Tasmania, Inst Marine &amp; Antarctic Studies, Hobart, Tas 7001, Australia; [Raymond, Ben] Australian Govt, Dept Environm, Australian Antarctic Div, Kingston, Tas 7050, Australia</t>
  </si>
  <si>
    <t>Universites de Strasbourg Etablissements Associes; Universite de Strasbourg; Centre National de la Recherche Scientifique (CNRS); Centre National de la Recherche Scientifique (CNRS); CNRS - National Institute of Nuclear and Particle Physics (IN2P3); Universites de Strasbourg Etablissements Associes; Universite de Strasbourg; Kyoto University; University of Tasmania; Australian Antarctic Division</t>
  </si>
  <si>
    <t>Ropert-Coudert, Y (corresponding author), CNRS, FR-67087 Strasbourg, France.</t>
  </si>
  <si>
    <t>docyaounde@gmail.com</t>
  </si>
  <si>
    <t>MacIntosh, Andrew/B-2242-2013; Kato, Akiko/W-2447-2019</t>
  </si>
  <si>
    <t>MacIntosh, Andrew/0000-0002-9136-7099;</t>
  </si>
  <si>
    <t>French Polar Inst. (IPEV) [1091, 109]; WWF; zone atelier Antarctique at CNRS; Grants-in-Aid for Scientific Research [24770232] Funding Source: KAKEN</t>
  </si>
  <si>
    <t>French Polar Inst. (IPEV); WWF; zone atelier Antarctique at CNRS; Grants-in-Aid for Scientific Research(Ministry of Education, Culture, Sports, Science and Technology, Japan (MEXT)Japan Society for the Promotion of ScienceGrants-in-Aid for Scientific Research (KAKENHI))</t>
  </si>
  <si>
    <t>This project was supported by the French Polar Inst. (IPEV, prog. 1091, YR-C, and partly prog. 109, H. Weimerskirch), the WWF and the zone atelier Antarctique at CNRS. The meteorological team of TA64 at Dumont d'Urville, especially D. Lacoste, gave us access to a wealth of data. M. Bruecker, N. Chatelain and F. Crenner at the IPHC customized the GPS devices used in this study. The study was authorized by IPEV and the Terres Australes et Antarctiques Francaises through the Arrete no. 2013-79 from the 29 October 2013.</t>
  </si>
  <si>
    <t>0906-7590</t>
  </si>
  <si>
    <t>1600-0587</t>
  </si>
  <si>
    <t>Ecography</t>
  </si>
  <si>
    <t>10.1111/ecog.01182</t>
  </si>
  <si>
    <t>CB2NC</t>
  </si>
  <si>
    <t>WOS:000349463400001</t>
  </si>
  <si>
    <t>Larue, MA; Kooyman, G; Lynch, HJ; Fretwell, P</t>
  </si>
  <si>
    <t>LaRue, Michelle A.; Kooyman, Gerald; Lynch, Heather J.; Fretwell, Peter</t>
  </si>
  <si>
    <t>Emigration in emperor penguins: implications for interpretation of long-term studies</t>
  </si>
  <si>
    <t>POPULATION-DYNAMICS; ICE DISTRIBUTION; EUDYPTULA-MINOR; POINTE GEOLOGIE; CLIMATE-CHANGE; GENE FLOW; ROSS SEA; ADELIE; METAPOPULATION; DISPERSAL</t>
  </si>
  <si>
    <t>Site fidelity is an important evolutionary trait to understand, as misinterpretation of philopatric behavior could lead to confusion over the key drivers of population dynamics and the environmental or anthropogenic factors influencing populations. Our objective was to explore the hypothesis that emperor penguins are strictly philopatric using satellite imagery, counts from aerial photography, and literature reports on emperor penguin distributions. We found six instances over three years in which emperor penguins did not return to the same location to breed. We also report on one newly-discovered colony on the Antarctic Peninsula that may represent the relocation of penguins from the Dion Islands, recently confirmed as having been abandoned. Using evidence from aerial surveys and the historical literature, we suggest that emigration may have been partly responsible for the population decline at Pointe Geologie during the 1970s. Our study is the first to use remote sensing imagery to suggest that emperor penguins can and do move between, and establish new, colonies. Metapopulation dynamics of emperor penguins have not been previously considered and represent an exciting, and important, avenue for future research. Life history plasticity is increasingly being recognized as an important aspect of climate change adaptation, and in this regard our study offers new insight for the long-term future of emperor penguins.</t>
  </si>
  <si>
    <t>[LaRue, Michelle A.] Univ Minnesota, Conservat Biol Grad Program, St Paul, MN 55108 USA; [Kooyman, Gerald] Univ Calif San Diego, Scripps Inst Oceanog, San Diego, CA 92103 USA; [Lynch, Heather J.] SUNY Stony Brook, Dept Ecol &amp; Evolut, Stony Brook, NY 11794 USA; [Fretwell, Peter] British Antarctic Survey, Cambridge CB3 0ET, England</t>
  </si>
  <si>
    <t>University of Minnesota System; University of Minnesota Twin Cities; University of California System; University of California San Diego; Scripps Institution of Oceanography; State University of New York (SUNY) System; State University of New York (SUNY) Stony Brook; UK Research &amp; Innovation (UKRI); Natural Environment Research Council (NERC); NERC British Antarctic Survey</t>
  </si>
  <si>
    <t>Larue, MA (corresponding author), Univ Minnesota, Conservat Biol Grad Program, 150 Skok Hall, St Paul, MN 55108 USA.</t>
  </si>
  <si>
    <t>larue010@umn.edu</t>
  </si>
  <si>
    <t>NSF [0739515, 1255058, 1043454]; BAS Polar Science for Planet Earth Programme from the Natural Environment Research Council; Directorate For Geosciences; Office of Polar Programs (OPP) [0944220] Funding Source: National Science Foundation; Office of Polar Programs (OPP); Directorate For Geosciences [1043454, 1255058] Funding Source: National Science Foundation; NERC [bas010011] Funding Source: UKRI; Natural Environment Research Council [bas010011] Funding Source: researchfish</t>
  </si>
  <si>
    <t>NSF(National Science Foundation (NSF)); BAS Polar Science for Planet Earth Programme from the Natural Environment Research Council; Directorate For Geosciences; Office of Polar Programs (OPP)(National Science Foundation (NSF)NSF - Directorate for Geosciences (GEO)); Office of Polar Programs (OPP); Directorate For Geosciences(National Science Foundation (NSF)NSF - Directorate for Geosciences (GEO)); NERC(UK Research &amp; Innovation (UKRI)Natural Environment Research Council (NERC)); Natural Environment Research Council(UK Research &amp; Innovation (UKRI)Natural Environment Research Council (NERC))</t>
  </si>
  <si>
    <t>Funding was provided by NSF awards #0739515, #1255058, #1043454, and BAS Polar Science for Planet Earth Programme from the Natural Environment Research Council. We thank D. B. Siniff for insight to previous versions of this manuscript.</t>
  </si>
  <si>
    <t>10.1111/ecog.00990</t>
  </si>
  <si>
    <t>WOS:000349463400002</t>
  </si>
  <si>
    <t>Raymond, B; Lea, MA; Patterson, T; Andrews-Goff, V; Sharples, R; Charrassin, JB; Cottin, M; Emmerson, L; Gales, N; Gales, R; Goldsworthy, SD; Harcourt, R; Kato, A; Kirkwood, R; Lawton, K; Ropert-Coudert, Y; Southwell, C; van den Hoff, J; Wienecke, B; Woehler, EJ; Wotherspoon, S; Hindell, MA</t>
  </si>
  <si>
    <t>Raymond, Ben; Lea, Mary-Anne; Patterson, Toby; Andrews-Goff, Virginia; Sharples, Ruth; Charrassin, Jean-Benoit; Cottin, Manuelle; Emmerson, Louise; Gales, Nick; Gales, Rosemary; Goldsworthy, Simon D.; Harcourt, Rob; Kato, Akiko; Kirkwood, Roger; Lawton, Kieran; Ropert-Coudert, Yan; Southwell, Colin; van den Hoff, John; Wienecke, Barbara; Woehler, Eric J.; Wotherspoon, Simon; Hindell, Mark A.</t>
  </si>
  <si>
    <t>Important marine habitat off east Antarctica revealed by two decades of multi-species predator tracking</t>
  </si>
  <si>
    <t>SEA-ICE; FORAGING RANGE; WEDDELL SEALS; ABUNDANCE; CONSERVATION; SELECTION; PENGUINS; BEHAVIOR; VARIABILITY; MOVEMENTS</t>
  </si>
  <si>
    <t>Satellite telemetry data are a key source of animal distribution information for marine ecosystem management and conservation activities. We used two decades of telemetry data from the East Antarctic sector of the Southern Ocean. Habitat utilization models for the spring/summer period were developed for six highly abundant, wide-ranging meso- and top-predator species: Adelie Pygoscelis adeliae and emperor Aptenodytes forsteri penguins, light-mantled albatross Phoebetria palpebrata, Antarctic fur seals Arctocephalus gazella, southern elephant seals Mirounga leonina, and Weddell seals Leptonychotes weddellii. The regional predictions from these models were combined to identify areas utilized by multiple species, and therefore likely to be of particular ecological significance. These areas were distributed across the longitudinal breadth of the East Antarctic sector, and were characterized by proximity to breeding colonies, both on the Antarctic continent and on subantarctic islands to the north, and by sea-ice dynamics, particularly locations of winter polynyas. These areas of important habitat were also congruent with many of the areas reported to be showing the strongest regional trends in sea ice seasonality. The results emphasize the importance of on-shore and sea-ice processes to Antarctic marine ecosystems. Our study provides ocean-basin-scale predictions of predator habitat utilization, an assessment of contemporary habitat use against which future changes can be assessed, and is of direct relevance to current conservation planning and spatial management efforts.</t>
  </si>
  <si>
    <t>[Raymond, Ben; Andrews-Goff, Virginia; Emmerson, Louise; Gales, Nick; Kirkwood, Roger; Lawton, Kieran; Southwell, Colin; van den Hoff, John; Wienecke, Barbara; Woehler, Eric J.; Wotherspoon, Simon] Australian Govt, Dept Environm, Australian Antarctic Div, Kingston, Tas 7050, Australia; [Raymond, Ben] Univ Tasmania, Antarctic Climate &amp; Ecosyst Cooperat Res Ctr, Hobart, Tas 7001, Australia; [Raymond, Ben; Lea, Mary-Anne; Andrews-Goff, Virginia; Sharples, Ruth; Woehler, Eric J.; Wotherspoon, Simon; Hindell, Mark A.] Univ Tasmania, Inst Marine &amp; Antarctic Studies, Battery Point 7004, Australia; [Patterson, Toby] Commonwealth Sci &amp; Ind Res Org CSIRO Wealth Ocean, Hobart, Tas 7001, Australia; [Charrassin, Jean-Benoit] Univ Paris 06, LOCEAN, Museum Natl Hist Nat, CNRS,IRD, FR-75252 Paris, France; [Cottin, Manuelle; Kato, Akiko; Ropert-Coudert, Yan] CNRS, UMR7178, FR-67037 Strasbourg, France; [Cottin, Manuelle; Kato, Akiko; Ropert-Coudert, Yan] Univ Strasbourg, IPHC, FR-67087 Strasbourg, France; [Gales, Rosemary] Dept Primary Ind Pk Water &amp; Environm, Hobart, Tas 7001, Australia; [Goldsworthy, Simon D.] SARDI Aquat Sci, Henley Beach 5022, Australia; [Harcourt, Rob] Macquarie Univ, Dept Biol Sci, Sydney, NSW 2109, Australia</t>
  </si>
  <si>
    <t>Australian Antarctic Division; University of Tasmania; Antarctic Climate &amp; Ecosystems Cooperative Research Centre (ACE CRC); University of Tasmania; Commonwealth Scientific &amp; Industrial Research Organisation (CSIRO); Institut de Recherche pour le Developpement (IRD); Sorbonne Universite; Museum National d'Histoire Naturelle (MNHN); Centre National de la Recherche Scientifique (CNRS); Centre National de la Recherche Scientifique (CNRS); CNRS - National Institute of Nuclear and Particle Physics (IN2P3); Universites de Strasbourg Etablissements Associes; Universite de Strasbourg; Universites de Strasbourg Etablissements Associes; Universite de Strasbourg; Macquarie University</t>
  </si>
  <si>
    <t>Raymond, B (corresponding author), Australian Govt, Dept Environm, Australian Antarctic Div, Kingston, Tas 7050, Australia.</t>
  </si>
  <si>
    <t>ben.raymond@aad.gov.au</t>
  </si>
  <si>
    <t>Wotherspoon, Simon J/B-2390-2013; Patterson, Toby A/B-3836-2011; Kato, Akiko/W-2447-2019; Hindell, Mark A/K-1131-2013; Lea, Mary-Anne/E-9054-2013</t>
  </si>
  <si>
    <t>Wotherspoon, Simon J/0000-0002-6947-4445; Andrews-Goff, Virginia/0000-0002-4609-7317; Harcourt, Robert/0000-0003-4666-2934; Kirkwood, Roger/0000-0003-4221-4050; Kato, Akiko/0000-0002-8947-3634; Woehler, Eric/0000-0002-1125-0748; Goldsworthy, Simon/0000-0003-4988-9085; Lea, Mary-Anne/0000-0001-8318-9299; Hindell, Mark/0000-0002-7823-7185</t>
  </si>
  <si>
    <t>10.1111/ecog.01021</t>
  </si>
  <si>
    <t>WOS:000349463400003</t>
  </si>
  <si>
    <t>Chambert, T; Rotella, JJ; Garrott, RA</t>
  </si>
  <si>
    <t>Chambert, Thierry; Rotella, Jay J.; Garrott, Robert A.</t>
  </si>
  <si>
    <t>Female Weddell seals show flexible strategies of colony attendance related to varying environmental conditions</t>
  </si>
  <si>
    <t>animal movement; colony attendance; Leptonychotes weddellii; life history; mark-recapture; Ross Sea; Antarctica; sea-ice extent; seasonal migration; temporary emigration; unobservable state; Weddell seal</t>
  </si>
  <si>
    <t>LEPTONYCHOTES-WEDDELLII; INDIVIDUAL BEHAVIOR; PARTIAL MIGRATION; BREEDING SUCCESS; DIVING BEHAVIOR; MCMURDO-SOUND; EREBUS BAY; ROSS SEA; AGE; RATES</t>
  </si>
  <si>
    <t>Many animal life cycles involve movements among different habitats to fulfill varying resource demands. There are inherent costs associated with such movements, and the decision to leave or stay at a given location ought to be motivated by the benefits associated with potential target habitats. Because movement patterns, especially those associated with reproduction, can have important implications for the success (survival, reproduction) of individual animals, and therefore a population's dynamics, it is important to identify and understand their sources of variation (environmental and individual). Here, using a mark-recapture, multistate modeling approach, we investigated a set of a priori hypotheses regarding sources and patterns of variation in breeding-colony attendance for Weddell seal (Leptonychotes weddellii) females on sabbatical from pup production. For such females, colony attendance might be motivated by predation avoidance and positive social interactions related to reproduction, but some costs, such as reduced foraging opportunities or aggressive interactions with conspecifics, might also exist. We expected these benefits and costs to vary with a female's condition and the environment. Results revealed that the probability of being absent from colonies was higher (1) in years when the extent of local sea ice was larger, (2) for the youngest and oldest individuals, and (3) for females with less reproductive experience. We also found substantial levels of residual individual heterogeneity in these rates. Based on our a priori predictions, we postulate that the decision to attend breeding colonies or not is directly influenced by an individual's physiological condition, as well as by the ice-covered distance to good foraging areas, availability of predator-free haul-out sites, and the level of negative interactions with conspecifics inside colonies. Our results support the idea that in iteroparous species, and colonial animals in particular, seasonal and temporary movements from/to reproductive sites represent flexible behavioral strategies that can play an important role in coping with environmental variability.</t>
  </si>
  <si>
    <t>[Chambert, Thierry; Rotella, Jay J.; Garrott, Robert A.] Montana State Univ, Dept Ecol, Bozeman, MT 59717 USA; [Chambert, Thierry] USGS Patuxent Wildlife Res Ctr, Laurel, MD 20708 USA; [Chambert, Thierry] Penn State Univ, Dept Ecosyst Sci &amp; Management, University Pk, PA 16802 USA</t>
  </si>
  <si>
    <t>Montana State University System; Montana State University Bozeman; United States Department of the Interior; United States Geological Survey; Pennsylvania Commonwealth System of Higher Education (PCSHE); Pennsylvania State University; Pennsylvania State University - University Park</t>
  </si>
  <si>
    <t>Chambert, T (corresponding author), Montana State Univ, Dept Ecol, Bozeman, MT 59717 USA.</t>
  </si>
  <si>
    <t>Thierry.chambert@gmail.com</t>
  </si>
  <si>
    <t>Chambert, Thierry/0000-0002-9450-9080; Rotella, Jay/0000-0001-7014-7524</t>
  </si>
  <si>
    <t>National Science Foundation, Division of Polar Programs [ANT-1141326]; NSF; Office of Polar Programs (OPP); Directorate For Geosciences [1141326] Funding Source: National Science Foundation</t>
  </si>
  <si>
    <t>National Science Foundation, Division of Polar Programs(National Science Foundation (NSF)); NSF(National Science Foundation (NSF)); Office of Polar Programs (OPP); Directorate For Geosciences(National Science Foundation (NSF)NSF - Directorate for Geosciences (GEO))</t>
  </si>
  <si>
    <t>We thank the many individuals who have supervised and worked on the Erebus Bay Weddell seal population project since the 1960s, and particularly Donald B. Siniff, who started the long-term mark-recapture program on this population. The project was supported by the National Science Foundation, Division of Polar Programs (grant no ANT-1141326 to J. J. Rotella, R. A. Garrott, and D. B. Siniff) and prior NSF grants to R. A. Garrott, J. J. Rotella, D. B. Siniff, and J. W. Testa. Logistical support for fieldwork in Antarctica was provided by Lockheed Martin, Raytheon Polar Services Company, Antarctic Support Associates, the U.S. Navy and Air Force, and Petroleum Helicopters Incorporated. Animal captures and handling protocols were approved by Montana State University's Animal Care and Use Committee (Protocol #2011-38) and conducted under permits from the Marine Mammal Protection Act (permit No. 17236) and Antarctic Conservation Act (permit ACA 2013-007).</t>
  </si>
  <si>
    <t>10.1890/14-0911.1</t>
  </si>
  <si>
    <t>WOS:000350484600019</t>
  </si>
  <si>
    <t>Rautenberger, R; Fernández, PA; Strittmatter, M; Heesch, S; Cornwall, CE; Hurd, CL; Roleda, MY</t>
  </si>
  <si>
    <t>Rautenberger, Ralf; Fernandez, Pamela A.; Strittmatter, Martina; Heesch, Svenja; Cornwall, Christopher E.; Hurd, Catriona L.; Roleda, Michael Y.</t>
  </si>
  <si>
    <t>Saturating light and not increased carbon dioxide under ocean acidification drives photosynthesis and growth in Ulva rigida (Chlorophyta)</t>
  </si>
  <si>
    <t>Bicarbonate; C:N ratio; carbon physiology; carbon-concentrating mechanism; carbonic anhydrase; chlorophyll fluorescence; F-v/F-m; pigments; seaweed; stable carbon isotope</t>
  </si>
  <si>
    <t>MACROCYSTIS-PYRIFERA LAMINARIALES; ARTIFICIAL SEAWATER MEDIUM; INORGANIC-CARBON; ANION-EXCHANGE; BICARBONATE UPTAKE; MARINE MACROALGAE; HCO3-UTILIZATION; GREEN SEAWEED; INCREASED CO2; LOWERED PH</t>
  </si>
  <si>
    <t>Carbon physiology of a genetically identified Ulva rigida was investigated under different CO2(aq) and light levels. The study was designed to answer whether (1) light or exogenous inorganic carbon (Ci) pool is driving growth; and (2) elevated CO2(aq) concentration under ocean acidification (OA) will downregulate CA(ext)-mediated HCO3- dehydration and alter the stable carbon isotope (C-13) signatures toward more CO2 use to support higher growth rate. At pH(T) 9.0 where CO2(aq) is &lt;1mol L-1, inhibition of the known HCO3- use mechanisms, that is, direct HCO3- uptake through the AE port and CA(ext)-mediated HCO3- dehydration decreased net photosynthesis (NPS) by only 56-83%, leaving the carbon uptake mechanism for the remaining 17-44% of the NPS unaccounted. An in silico search for carbon-concentrating mechanism elements in expressed sequence tag libraries of Ulva found putative light-dependent HCO3- transporters to which the remaining NPS can be attributed. The shift in C-13 signatures from -22 parts per thousand toward -10 parts per thousand under saturating light but not under elevated CO2(aq) suggest preference and substantial HCO3- use to support photosynthesis and growth. U.rigida is Ci saturated, and growth was primarily controlled by light. Therefore, increased levels of CO2(aq) predicted for the future will not, in isolation, stimulate Ulva blooms.</t>
  </si>
  <si>
    <t>[Rautenberger, Ralf; Fernandez, Pamela A.; Cornwall, Christopher E.; Hurd, Catriona L.; Roleda, Michael Y.] Univ Otago, Dept Bot, Dunedin 9054, New Zealand; [Strittmatter, Martina] Scottish Marine Inst, Scottish Assoc Marine Sci, Oban PA37 1QA, Argyll, Scotland; [Heesch, Svenja] Natl Univ Ireland, Ryan Inst Environm Marine &amp; Energy Res, Irish Seaweed Res Grp, Galway NUIG, Galway, Ireland; [Cornwall, Christopher E.; Hurd, Catriona L.] Univ Tasmania, Inst Marine &amp; Antarctic Studies, Hobart, Tas 7001, Australia; [Roleda, Michael Y.] Bioforsk Norwegian Inst Agr &amp; Environm Res, N-8049 Bodo, Norway</t>
  </si>
  <si>
    <t>University of Otago; UHI Millennium Institute; Ollscoil na Gaillimhe-University of Galway; University of Tasmania; Bioforsk</t>
  </si>
  <si>
    <t>Roleda, MY (corresponding author), Bioforsk Norwegian Inst Agr &amp; Environm Res, Kudalsveien 6, N-8049 Bodo, Norway.</t>
  </si>
  <si>
    <t>Michael.Roleda@bioforsk.no</t>
  </si>
  <si>
    <t>Fernandez, Pamela Andrea/K-2021-2014; Rautenberger, Ralf/AAD-2659-2020; Fernandez, Pamela/AAX-1676-2021; Roleda, Michael Y./H-9645-2019; Cornwall, Christopher Edward/J-3982-2012; /AAL-3738-2021; Hurd, Catriona/J-2411-2013</t>
  </si>
  <si>
    <t>Fernandez, Pamela Andrea/0000-0003-3122-0084; Fernandez, Pamela/0000-0003-3122-0084; Roleda, Michael Y./0000-0003-0568-9081; Cornwall, Christopher Edward/0000-0002-6154-4082; Heesch, Svenja/0000-0002-4531-0921; Strittmatter, Martina/0000-0002-1258-9751; Rautenberger, Ralf/0000-0002-1339-2838; Hurd, Catriona/0000-0001-9965-4917</t>
  </si>
  <si>
    <t>Royal Society of New Zealand Marsden Fund [UOO0914]; German Research Foundation (DFG) [RA 2030/1-1]</t>
  </si>
  <si>
    <t>Royal Society of New Zealand Marsden Fund(Royal Society of New ZealandMarsden Fund (NZ)); German Research Foundation (DFG)(German Research Foundation (DFG))</t>
  </si>
  <si>
    <t>This work was funded by the Royal Society of New Zealand Marsden Fund (Grant UOO0914) and the German Research Foundation (DFG: RA 2030/1-1).</t>
  </si>
  <si>
    <t>10.1002/ece3.1382</t>
  </si>
  <si>
    <t>CB8RJ</t>
  </si>
  <si>
    <t>WOS:000349898100005</t>
  </si>
  <si>
    <t>Dabert, M; Coulson, SJ; Gwiazdowicz, DJ; Moe, B; Hanssen, SA; Biersma, EM; Pilskog, HE; Dabert, J</t>
  </si>
  <si>
    <t>Dabert, Miroslawa; Coulson, Stephen J.; Gwiazdowicz, Dariusz J.; Moe, Borge; Hanssen, Sveinn Are; Biersma, Elisabeth M.; Pilskog, Hanne E.; Dabert, Jacek</t>
  </si>
  <si>
    <t>Differences in speciation progress in feather mites (Analgoidea) inhabiting the same host: the case of Zachvatkinia and Alloptes living on arctic and long-tailed skuas</t>
  </si>
  <si>
    <t>EXPERIMENTAL AND APPLIED ACAROLOGY</t>
  </si>
  <si>
    <t>DNA barcoding; Haplotype network; Coalescence; Species delimitation; Spitsbergen; Ectocommensal dispersion; Stercorarius</t>
  </si>
  <si>
    <t>POPULATION; DIVERSITY; SEQUENCES; NETWORKS; ACARI</t>
  </si>
  <si>
    <t>Recent molecular phylogenetic analyses have revealed that some apparently oligoxenous feather mite species are in fact monoxenous cryptic species with little morphological differentiation. In this study we analyzed two species, Zachvatkinia isolata (Avenzoariidae) and Alloptes (Sternalloptes) stercorarii (Alloptidae) which prefer different parts of the plumage of two sister species of birds: arctic skua (Stercorarius parasiticus) and long-tailed skua (S. longicaudus) breeding on tundra in the High Arctic archipelago of Svalbard. Given that there are no reports about hybridization events between the host species, we expected that both skuas would have a species-specific acarofauna. The genetic distances among DNA-barcode sequences (COI and 28S rDNA), phylogenetic tree topologies, and haplotype networks of the COI sequences of mites suggested extensive gene flow in Z. isolata between and within populations inhabiting both skua species, whereas the Alloptes populations were host specific and sufficiently genetically separated as to warrant species-level status. The discrepancy in the genetic structure of Alloptes and Zachvatkinia populations suggests frequent but transient contacts between the two skua species in which the probability of mite exchange is much higher for Zachvatkinia, which is present in high numbers and inhabits exposed parts of primary flight feathers, than for the less abundant Alloptes that lives primarily in more protected and inaccessible parts of the plumage. We discuss the possible nature of these contacts between host species and the area(s) where they might take place. The star-like structures in the haplotype network as well as high haplotype diversity and low nucleotide diversity observed in Z. isolata are concordant with the known dispersal strategy of feather mites: vertical colonization of new host individuals followed by rapid growth of founder populations.</t>
  </si>
  <si>
    <t>[Dabert, Miroslawa] Adam Mickiewicz Univ, Mol Biol Tech Lab, Fac Biol, PL-61614 Poznan, Poland; [Coulson, Stephen J.; Pilskog, Hanne E.] Univ Ctr Svalbard, Dept Arctic Biol, N-9171 Longyearbyen, Norway; [Gwiazdowicz, Dariusz J.] Poznan Univ Life Sci, Dept Forest Protect, PL-60625 Poznan, Poland; [Moe, Borge] Norwegian Inst Nat Res, N-7485 Trondheim, Norway</t>
  </si>
  <si>
    <t>Adam Mickiewicz University; University Centre Svalbard (UNIS); Poznan University of Life Sciences; Norwegian Institute Nature Research</t>
  </si>
  <si>
    <t>Dabert, M (corresponding author), Adam Mickiewicz Univ, Mol Biol Tech Lab, Fac Biol, Umultowska 89, PL-61614 Poznan, Poland.</t>
  </si>
  <si>
    <t>mirkad@amu.edu.pl; dabert@amu.edu.pl</t>
  </si>
  <si>
    <t>Biersma, Elisabeth Machteld/AAL-9818-2020; Dabert, Jacek/AAA-3275-2022; Biersma, Elisabeth Machteld/JKI-1084-2023; Hanssen, Sveinn Are/C-9989-2009; Moe, Borge/P-2946-2015</t>
  </si>
  <si>
    <t>Biersma, Elisabeth Machteld/0000-0002-9877-2177; Dabert, Jacek/0000-0003-3449-5366; Hanssen, Sveinn Are/0000-0003-1792-435X; Coulson, Stephen James/0000-0003-0935-959X; Dabert, Miroslawa/0000-0001-5930-3346; Moe, Borge/0000-0002-2306-1899; Gwiazdowicz, Dariusz/0000-0002-0064-2316</t>
  </si>
  <si>
    <t>Polish MSHE [N N303 017937]; NERC [bas0100026] Funding Source: UKRI; Natural Environment Research Council [bas0100026] Funding Source: researchfish</t>
  </si>
  <si>
    <t>Polish MSHE; NERC(UK Research &amp; Innovation (UKRI)Natural Environment Research Council (NERC)); Natural Environment Research Council(UK Research &amp; Innovation (UKRI)Natural Environment Research Council (NERC))</t>
  </si>
  <si>
    <t>This study was permitted by the Governor of Svalbard the Norwegian Animal Research Authority. We thank Jennifer Jackson, British Antarctic Survey, for useful comments and suggestions on an earlier draft of the manuscript, Thomas Oudman and Anette A. Fenstad for excellent help during the field work, and Bartosz Hornik for laboratory assistance with DNA extraction from feather mites. We thank Paul W. Schaefer, Elkton, Maryland, USA, for making available his results on prevalence and intra-wing niche preference of Zachvatkinia and Alloptes on long-tailed skua in Arctic Alaska and three anonymous referees for their comments on the manuscript. Financial support for the field work was provided by Arctic Field Grant and the Fram Centre. The molecular study was supported by the Polish MSHE Grant No N N303 017937 (M.D., J.D.).</t>
  </si>
  <si>
    <t>0168-8162</t>
  </si>
  <si>
    <t>1572-9702</t>
  </si>
  <si>
    <t>EXP APPL ACAROL</t>
  </si>
  <si>
    <t>Exp. Appl. Acarol.</t>
  </si>
  <si>
    <t>10.1007/s10493-014-9856-1</t>
  </si>
  <si>
    <t>AX2LP</t>
  </si>
  <si>
    <t>hybrid, Green Accepted, Green Published</t>
  </si>
  <si>
    <t>WOS:000346775700002</t>
  </si>
  <si>
    <t>Lemmens, M</t>
  </si>
  <si>
    <t>Lemmens, Mathias</t>
  </si>
  <si>
    <t>Operation IceBridge</t>
  </si>
  <si>
    <t>GIM INTERNATIONAL-THE WORLDWIDE MAGAZINE FOR GEOMATICS</t>
  </si>
  <si>
    <t>Operation IceBridge completed its 2014 Antarctic field campaign, the sixth in a row, at the end of November. The campaign was aimed at recapturing a part of the Antarctic ice sheet which appears to be in irreversible decline. For six weeks from 16 October 2014, NASA's DC-8 airborne laboratory collected a wealth of data for the benefit of gaining insight into climate change. The first IceBridge flights were conducted in spring 2009 over Greenland and in autumn 2009 over Antarctica. What is Operation IceBridge, which sensors are used, what can the data be used for and who may use the data? The author provides an overview.</t>
  </si>
  <si>
    <t>[Lemmens, Mathias] Delft Univ Technol, Delft, Netherlands</t>
  </si>
  <si>
    <t>Delft University of Technology</t>
  </si>
  <si>
    <t>Lemmens, M (corresponding author), Delft Univ Technol, Delft, Netherlands.</t>
  </si>
  <si>
    <t>m.j.p.m.lemmens@tudelft.nl</t>
  </si>
  <si>
    <t>REED BUSINESS-GEO</t>
  </si>
  <si>
    <t>LEMMER</t>
  </si>
  <si>
    <t>PO BOX 112, LEMMER, 8530 AC, NETHERLANDS</t>
  </si>
  <si>
    <t>1566-9076</t>
  </si>
  <si>
    <t>GIM INT</t>
  </si>
  <si>
    <t>GIM Int.</t>
  </si>
  <si>
    <t>Remote Sensing</t>
  </si>
  <si>
    <t>VB6GB</t>
  </si>
  <si>
    <t>WOS:000416473100008</t>
  </si>
  <si>
    <t>Maldonado, A; Dalziel, IWD; Leat, PT</t>
  </si>
  <si>
    <t>Maldonado, Andres; Dalziel, Ian W. D.; Leat, Philip T.</t>
  </si>
  <si>
    <t>The global relevance of the Scotia Arc: An introduction</t>
  </si>
  <si>
    <t>Scotia Arc; Scotia Sea; Drake Passage; Continental break-up; Back-arc basins; Ocean spreading; Land-bridge; Depositional processes; Geological hazards; Southern Ocean paleoceanography; Paleobiology; Global changes</t>
  </si>
  <si>
    <t>SOUTH SANDWICH ARC; RELATIVE PLATE MOTIONS; DRAKE PASSAGE; ANTARCTIC PENINSULA; TECTONIC EVOLUTION; MANTLE FLOW; SHETLAND ISLANDS; SEA; ATLANTIC; BASIN</t>
  </si>
  <si>
    <t>The Scotia Arc, situated between South America and Antarctica, is one of the Earth's most important ocean gateways and former land bridges. Understanding its structure and development is critical for the knowledge of tectonic, paleoenvironmental and biological processes in the southern oceans and Antarctica. It extends from the Drake Passage in the west, where the Shackleton Fracture Zone forms a prominent, but discontinuous, bathymetric ridge between the southern South American continent and the northern tip of the Antarctic Peninsula to the active intra-oceanic volcanic arc forming the South Sandwich Island in the east. The tectonic arc comprises the NSR to the north and to the south the South Scotia Ridge, both transcurrent plate margins that respectively include the South Georgia and South Orkney microcontinents. The Scotia and Sandwich tectonic plates form the major basin within these margins. As the basins opened, formation of first shallow sea ways and then deep ocean connections controlled the initiation and development of the Antarctic Circumpolar Current, which is widely thought to have been important in providing the climatic conditions for formation of the polar ice-sheets. The evolution of the Scotia Arc is therefore of global palaeoclimatic significance. The Scotia Arc has been the focus of increasing international research interest. Many recent studies have stressed the links and interactions between the solid Earth, oceanographic, paleoenvironmental and biological processes in the area. This special issue presents new works that summarize significant recent research results and synthesize the current state of knowledge for the Scotia Arc. (C) 2014 Elsevier B.V. All rights reserved.</t>
  </si>
  <si>
    <t>[Maldonado, Andres] UGR, CSIC, Fac Ciencias, Inst Andaluz Ciencias Tierra, Granada 18002, Spain; [Dalziel, Ian W. D.] Univ Texas Austin, Jackson Sch Geosci, Inst Geophys, Austin, TX 78758 USA; [Leat, Philip T.] British Antarctic Survey, Cambridge CB3 0ET, England; [Leat, Philip T.] Univ Leicester, Dept Geol, Leicester LE1 7RH, Leics, England</t>
  </si>
  <si>
    <t>Consejo Superior de Investigaciones Cientificas (CSIC); CSIC - Instituto Andaluz de Ciencias de la Tierra (IACT); University of Granada; University of Texas System; University of Texas Austin; UK Research &amp; Innovation (UKRI); Natural Environment Research Council (NERC); NERC British Antarctic Survey; University of Leicester</t>
  </si>
  <si>
    <t>Maldonado, A (corresponding author), UGR, CSIC, Fac Ciencias, Inst Andaluz Ciencias Tierra, Campus Fuentenueva S-N, Granada 18002, Spain.</t>
  </si>
  <si>
    <t>amaldona@ugr.es; ian@utig.ig.utexas.edu; ptle@bas.ac.uk</t>
  </si>
  <si>
    <t>Dalziel, Ian W. D./G-5926-2010</t>
  </si>
  <si>
    <t>Natural Environment Research Council [bas0100026] Funding Source: researchfish; NERC [bas0100026] Funding Source: UKRI</t>
  </si>
  <si>
    <t>A1</t>
  </si>
  <si>
    <t>A8</t>
  </si>
  <si>
    <t>10.1016/j.gloplacha.2014.06.011</t>
  </si>
  <si>
    <t>WOS:000349580900001</t>
  </si>
  <si>
    <t>Shadwick, EH; Trull, TW; Tilbrook, B; Sutton, AJ; Schulz, E; Sabine, CL</t>
  </si>
  <si>
    <t>Shadwick, E. H.; Trull, T. W.; Tilbrook, B.; Sutton, A. J.; Schulz, E.; Sabine, C. L.</t>
  </si>
  <si>
    <t>Seasonality of biological and physical controls on surface ocean CO2 from hourly observations at the Southern Ocean Time Series site south of Australia</t>
  </si>
  <si>
    <t>POLAR FRONTAL ZONES; MIXED-LAYER; ANTHROPOGENIC CO2; INORGANIC CARBON; GAS-EXCHANGE; IRON; FLUXES; SEAWATER; WATERS; DISSOCIATION</t>
  </si>
  <si>
    <t>The Subantarctic Zone (SAZ), which covers the northern half of the Southern Ocean between the Subtropical and Subantarctic Fronts, is important for air-sea CO2 exchange, ventilation of the lower thermocline, and nutrient supply for global ocean productivity. Here we present the first high-resolution autonomous observations of mixed layer CO2 partial pressure (pCO(2)) and hydrographic properties covering a full annual cycle in the SAZ. The amplitude of the seasonal cycle in pCO(2) (similar to 60 mu atm), from near-atmospheric equilibrium in late winter to similar to 330 mu atm in midsummer, results from opposing physical and biological drivers. Decomposing these contributions demonstrates that the biological control on pCO(2) (up to 100 mu atm), is 4 times larger than the thermal component and driven by annual net community production of 2.45 +/- 1.47 mol C m(-2) yr(-1). After the summer biological pCO(2) depletion, the return to near-atmospheric equilibrium proceeds slowly, driven in part by autumn entrainment into a deepening mixed layer and achieving full equilibration in late winter and early spring as respiration and advection complete the annual cycle. The shutdown of winter convection and associated mixed layer shoaling proceeds intermittently, appearing to frustrate the initiation of production. Horizontal processes, identified from salinity anomalies, are associated with biological pCO(2) signatures but with differing impacts in winter (when they reflect far-field variations in dissolved inorganic carbon and/or biomass) and summer (when they suggest promotion of local production by the relief of silicic acid or iron limitation). These results provide clarity on SAZ seasonal carbon cycling and demonstrate that the magnitude of the seasonal pCO(2) cycle is twice as large as that in the subarctic high-nutrient, low-chlorophyll waters, which can inform the selection of optimal global models in this region.</t>
  </si>
  <si>
    <t>[Shadwick, E. H.; Trull, T. W.; Tilbrook, B.] Univ Tasmania, Antarctic Climate &amp; Ecosyst Cooperat Res Ctr, Hobart, Tas, Australia; [Trull, T. W.; Tilbrook, B.] CSIRO Oceans &amp; Atmosphere, Hobart, Tas, Australia; [Sutton, A. J.] Univ Washington, Joint Inst Study Atmosphere &amp; Ocean, Seattle, WA 98195 USA; [Sutton, A. J.; Sabine, C. L.] NOAA, Pacific Marine Environm Lab, Seattle, WA 98115 USA; [Schulz, E.] Bur Meteorol, Ctr Australian Weather &amp; Climate Res, Melbourne, Australia</t>
  </si>
  <si>
    <t>Antarctic Climate &amp; Ecosystems Cooperative Research Centre (ACE CRC); University of Tasmania; Commonwealth Scientific &amp; Industrial Research Organisation (CSIRO); University of Washington; University of Washington Seattle; National Oceanic Atmospheric Admin (NOAA) - USA; Bureau of Meteorology - Australia; Commonwealth Scientific &amp; Industrial Research Organisation (CSIRO)</t>
  </si>
  <si>
    <t>Shadwick, EH (corresponding author), Virginia Inst Marine Sci, Coll William &amp; Mary, Gloucester Point, VA 23062 USA.</t>
  </si>
  <si>
    <t>shadwick@vims.edu</t>
  </si>
  <si>
    <t>Trull, Tom W/B-7028-2014; Tilbrook, Bronte/W-4007-2019; Sutton, Adrienne/C-7725-2015</t>
  </si>
  <si>
    <t>Tilbrook, Bronte/0000-0001-9385-3827; Sutton, Adrienne/0000-0002-7414-7035; Shadwick, Elizabeth/0000-0003-4008-3333</t>
  </si>
  <si>
    <t>Australian Government's Cooperative Research Centres Program, through the Antarctic Climate and Ecosystems Cooperative Research Centre (ACE CRC); IMOS; ACE CRC; Australian Marine National Facility</t>
  </si>
  <si>
    <t>Australian Government's Cooperative Research Centres Program, through the Antarctic Climate and Ecosystems Cooperative Research Centre (ACE CRC)(Australian GovernmentDepartment of Industry, Innovation and ScienceCooperative Research Centres (CRC) Programme); IMOS; ACE CRC(Australian GovernmentDepartment of Industry, Innovation and ScienceCooperative Research Centres (CRC) Programme); Australian Marine National Facility</t>
  </si>
  <si>
    <t>This work was supported by the Australian Government's Cooperative Research Centres Program, through the Antarctic Climate and Ecosystems Cooperative Research Centre (ACE CRC). The SOTS moorings are supported by IMOS, the ACE CRC, and the Australian Marine National Facility. Mooring construction was carried out by Danny Mclaughlan, Jim La Duke, and David Cherry (all CSIRO). Mark Rosenberg (ACE CRC) led the mooring deployments and recoveries, with additional assistance by Stephen Bray (ACE CRC). Peter Jansen (IMOS) carried out preparation, installation, and data recovery from the CTD and temperature instruments. Predeployment and postdeployment instrument calibrations were carried out by Rob Key (CSIRO) for temperature and salinity. We thank Kate Berry for TCO2 and TA analyses, Ben Weeding for mixed layer depth computations, and Andrew Lenton for providing the CARS data. We are grateful to Philip Boyd and Richard Matear for helpful discussions, and to two anonymous reviewers for thoughtful suggestions. Ocean color and sea surface temperature visualizations used in this study were produced with the Giovanni online data system, developed and maintained by the NASA GES DISC. The SOFS pCO2 data are archived at the Carbon Dioxide Information Analysis Center (http://cdiac.ornl.gov/oceans/ime_series_moorings.html), hydrographic and meteorological data are archived at the Australian Integrated Marine Observing Network portal (http://www.imos.org.au/sots.html). This paper is contribution 3415 of the Virginia Institute of Marine Science, College of William and Mary.</t>
  </si>
  <si>
    <t>10.1002/2014GB004906</t>
  </si>
  <si>
    <t>WOS:000354381200008</t>
  </si>
  <si>
    <t>Strother, SL; Salzmann, U; Roberts, SJ; Hodgson, DA; Woodward, J; Van Nieuwenhuyze, W; Verleyen, E; Vyverman, W; Moreton, SG</t>
  </si>
  <si>
    <t>Strother, Stephanie L.; Salzmann, Ulrich; Roberts, Stephen J.; Hodgson, Dominic A.; Woodward, John; Van Nieuwenhuyze, Wim; Verleyen, Elie; Vyverman, Wim; Moreton, Steven G.</t>
  </si>
  <si>
    <t>Changes in Holocene climate and the intensity of Southern Hemisphere Westerly Winds based on a high-resolution palynological record from sub-Antarctic South Georgia</t>
  </si>
  <si>
    <t>HOLOCENE</t>
  </si>
  <si>
    <t>Holocene; palynology; South Georgia; Southern Hemisphere Westerly Winds; sub-Antarctica; vegetation</t>
  </si>
  <si>
    <t>TIERRA-DEL-FUEGO; ENVIRONMENTAL-CHANGES; ATMOSPHERIC CO2; ORGANIC-MATTER; LOS ESTADOS; ISLAND; VARIABILITY; VEGETATION; SEDIMENTS; HISTORY</t>
  </si>
  <si>
    <t>Sub-Antarctic South Georgia is a key region for studying climate variability in the Southern Hemisphere, because of its position at the core of the Southern Hemisphere Westerly Wind belt and between the Antarctic Circumpolar Current and the Polar Frontal Zone. Here, we present a 5.8-m long high-resolution pollen record from Fan Lake on Annenkov Island dominated by local sub-polar vegetation, with Acaena and Poaceae being present throughout the last 7000years. Palynological and sedimentological analyses revealed a warm late Holocene climate optimum' between 3790 and 2750 cal. yr BP, which was followed by a gradual transition to cool and wet conditions. This cooling was interrupted by slightly warmer environmental conditions between 1670 and 710 cal. yr BP that partly overlap with the Northern Hemisphere Medieval Climate Anomaly'. Increases in non-native and long-distance pollen grains transported from South America (e.g. Nothofagus, Podocarpus) indicate that stronger Southern Hemisphere Westerly Winds over South Georgia possibly occurred during some colder' phases of the late Holocene, most notably between c. 2210 and 1670 cal. yr BP and after 710 cal. yr BP.</t>
  </si>
  <si>
    <t>[Strother, Stephanie L.; Salzmann, Ulrich; Woodward, John] Northumbria Univ, Fac Engn &amp; Environm, Dept Geog, Newcastle Upon Tyne NE1 8ST, Tyne &amp; Wear, England; [Roberts, Stephen J.; Hodgson, Dominic A.] British Antarctic Survey, Cambridge, England; [Van Nieuwenhuyze, Wim; Verleyen, Elie; Vyverman, Wim] Univ Ghent, Lab Protistol &amp; Aquat Ecol, B-9000 Ghent, Belgium; [Moreton, Steven G.] Natl Environm Res Council Radiocarbon Facil, Seoul, South Korea</t>
  </si>
  <si>
    <t>Northumbria University; UK Research &amp; Innovation (UKRI); Natural Environment Research Council (NERC); NERC British Antarctic Survey; Ghent University</t>
  </si>
  <si>
    <t>Strother, SL (corresponding author), Northumbria Univ, Fac Engn &amp; Environm, Dept Geog, Newcastle Upon Tyne NE1 8ST, Tyne &amp; Wear, England.</t>
  </si>
  <si>
    <t>stephanie.strother@northumbria.ac.uk</t>
  </si>
  <si>
    <t>Moreton, Steven G/C-2373-2009; Salzmann, Ulrich/H-9929-2017; Woodward, John/I-1046-2013</t>
  </si>
  <si>
    <t>Moreton, Steven G/0000-0002-8030-2433; Salzmann, Ulrich/0000-0001-5598-5327; Woodward, John/0000-0002-4980-4080; Roberts, Stephen/0000-0003-3407-9127</t>
  </si>
  <si>
    <t>UK Natural Environment Research Council through the British Antarctic Survey Quaternary Sediments Work Package; NERC grant [NEB K00414 1]; Belgian Science Policy Office project HOLANT; Natural Environment Research Council [NRCF010001, NE/K004514/1, bas0100024, NE/K003933/1] Funding Source: researchfish; NERC [NE/K004514/1, NE/K003933/1, bas0100024, NRCF010001] Funding Source: UKRI</t>
  </si>
  <si>
    <t>UK Natural Environment Research Council through the British Antarctic Survey Quaternary Sediments Work Package; NERC grant(UK Research &amp; Innovation (UKRI)Natural Environment Research Council (NERC)); Belgian Science Policy Office project HOLANT; Natural Environment Research Council(UK Research &amp; Innovation (UKRI)Natural Environment Research Council (NERC)); NERC(UK Research &amp; Innovation (UKRI)Natural Environment Research Council (NERC))</t>
  </si>
  <si>
    <t>This study was funded by the UK Natural Environment Research Council through the British Antarctic Survey Quaternary Sediments Work Package and NERC grant NEB K00414 1 (led by D. A. Hodgson) and the Belgian Science Policy Office project HOLANT (led by W. Vyverman).</t>
  </si>
  <si>
    <t>SAGE PUBLICATIONS LTD</t>
  </si>
  <si>
    <t>1 OLIVERS YARD, 55 CITY ROAD, LONDON EC1Y 1SP, ENGLAND</t>
  </si>
  <si>
    <t>0959-6836</t>
  </si>
  <si>
    <t>1477-0911</t>
  </si>
  <si>
    <t>Holocene</t>
  </si>
  <si>
    <t>10.1177/0959683614557576</t>
  </si>
  <si>
    <t>AX2NI</t>
  </si>
  <si>
    <t>WOS:000346780500003</t>
  </si>
  <si>
    <t>Li, F; Yan, JG; Xu, LY; Jin, SG; Rodriguez, JAP; Dohm, JH</t>
  </si>
  <si>
    <t>Li, Fei; Yan, Jianguo; Xu, Luyuan; Jin, Shuanggen; Rodriguez, J. Alexis P.; Dohm, James H.</t>
  </si>
  <si>
    <t>A 10 km-resolution synthetic Venus gravity field model based on topography</t>
  </si>
  <si>
    <t>Venus; Interior; Geophysics</t>
  </si>
  <si>
    <t>ISOSTATIC COMPENSATION; ORDER MODEL; SUPPORT</t>
  </si>
  <si>
    <t>A high resolution gravity field model is extremely important in the exploration of Venus. In this paper, we present a 3-dimensional Venus gravity field VGM2014 constructed by using the latest gravity and topography models, residual terrain model (RTM) and the Airy-Heiskanen isostatic compensation model. The VGM2014 is the first 10 km scale Venus gravity field model; the final results are representations of the 3-dimensional surface gravity accelerations and gravity disturbances for Venus. We found that the optimal global compensation depth of Venus is about 60 km, and the crustal density is potentially less than the commonly accepted value of 2700-2900 kg m(-3). This model will be potentially beneficial for the precise orbit determination and landing navigation of spacecraft around Venus, and may be utilized as a priori model for Venus gravity field simulation and inversion studies. The VGM2014 does not incorporate direct gravity information beyond degree 70 and it is not recommended for small-scale geophysical interpretation. (C) 2014 Elsevier Inc. All rights reserved.</t>
  </si>
  <si>
    <t>[Li, Fei; Yan, Jianguo] Wuhan Univ, State Key Lab Informat Engn Surveying Mapping &amp; R, Wuhan 430070, Peoples R China; [Yan, Jianguo] Natl Astron Observ Japan, RISE Project, Oshu 0230861, Japan; [Xu, Luyuan] Wuhan Univ, Chinese Antarctic Ctr Surveying &amp; Mapping, Wuhan 430070, Peoples R China; [Jin, Shuanggen] Chinese Acad Sci, Shanghai Astron Observ, Shanghai 20030, Peoples R China; [Rodriguez, J. Alexis P.] NASA, Ames Res Ctr, Moffett Field, CA 94035 USA; [Dohm, James H.] Univ Tokyo, Univ Museum, Tokyo 1130033, Japan</t>
  </si>
  <si>
    <t>Wuhan University; National Institutes of Natural Sciences (NINS) - Japan; National Astronomical Observatory of Japan (NAOJ); Wuhan University; Chinese Academy of Sciences; Shanghai Astronomical Observatory, CAS; National Aeronautics &amp; Space Administration (NASA); NASA Ames Research Center; University of Tokyo</t>
  </si>
  <si>
    <t>Yan, JG (corresponding author), Wuhan Univ, State Key Lab Informat Engn Surveying Mapping &amp; R, Wuhan 430070, Peoples R China.</t>
  </si>
  <si>
    <t>Jin, Shuanggen/B-8094-2008</t>
  </si>
  <si>
    <t>Jin, Shuanggen/0000-0002-5108-4828; Yan, Jianguo/0000-0003-2612-4776; Xu, Luyuan/0000-0003-4708-7441</t>
  </si>
  <si>
    <t>National Natural Science Foundation of China [41174019, 41374024]; National Keystone Basic Research Program [2012CB72000]</t>
  </si>
  <si>
    <t>National Natural Science Foundation of China(National Natural Science Foundation of China (NSFC)); National Keystone Basic Research Program(National Basic Research Program of China)</t>
  </si>
  <si>
    <t>We used the Generic Mapping Tools (GMT) software for drawing the figures. Our spherical harmonic analyses were performed using the freely available software archive SHTOOLS (http://www.ipgp.fr/similar to wieczor/SH/SH.html). Dr. Stephen McClure is appreciated for his discussion on the manuscript. This research is supported by Grant of the National Natural Science Foundation of China (41174019, 41374024) and the National Keystone Basic Research Program (2012CB72000).</t>
  </si>
  <si>
    <t>10.1016/j.icarus.2014.09.052</t>
  </si>
  <si>
    <t>AX1ER</t>
  </si>
  <si>
    <t>WOS:000346691400009</t>
  </si>
  <si>
    <t>Genuário, DB; Vaz, MGMV; Hentschke, GS; Sant'Anna, CL; Fiore, MF</t>
  </si>
  <si>
    <t>Genuario, Diego Bonaldo; Marcal Vieira Vaz, Marcelo Gomes; Hentschke, Guilherme Scotta; Sant'Anna, Celia Leite; Fiore, Marli Fatima</t>
  </si>
  <si>
    <t>Halotia gen. nov., a phylogenetically and physiologically coherent cyanobacterial genus isolated from marine coastal environments</t>
  </si>
  <si>
    <t>SYMBIOTIC CYANOBACTERIA; MICROBIAL MATS; VICTORIA LAND; ALGAL MATS; PHYLOGENY; NOSTOC; ANTARCTICA; DIVERSITY; BASE; GROWTH</t>
  </si>
  <si>
    <t>Nostoc is a common and well-studied genus of cyanobacteria and, according to molecular phylogeny, is a polyphyletic group. Therefore, revisions of this genus are urged in an attempt to clarify its taxonomy. Novel strains isolated from underexplored environments and assigned morphologically to the genus Nostoc are not genetically related to the 'true Nostoc' group. In this study, four strains isolated from biofilms collected in Antarctica and five strains originated from Brazilian mangroves were evaluated. Despite their morphological similarities to other morphotypes of Nostoc, these nine strains differed from other morphotypes in ecological, physiological and genetic aspects. Based on the phylogeny of the 16S rRNA gene, the Antarctic sequences were grouped together with the sequences of the Brazilian mangrove isolates and Nostoc sp. Mollenhauer 1:1-067 in a well-supported cluster (74% bootstrap value, maximum-likelihood). This novel cluster was separated phylogenetically from the 'true Nostoc' clade and from the clades of the morphologically similar genera Mojavia and Desmonostoc. The 16S rRNA gene sequences generated in this study exhibited 96% similarity to sequences from the nostocacean genera mentioned above. Physiologically, these nine strains showed the capacity to grow in a salinity range of 1-10% NaCl, indicating their tolerance of saline conditions. These results provide support for the description of a new genus, named Halotia gen. nov., which is related morphologically to the genera Nostoc, Mojavia and Desmonostoc. Within this new genus, three novel species were recognized and described based on morphology and internal transcribed spacer secondary structures: Halotia branconii sp. nov., Halotia longispora sp. nov. and Halotia wernerae sp. nov., under the provisions of the International Code of Nomenclature for Algae, Fungi and Plants.</t>
  </si>
  <si>
    <t>[Genuario, Diego Bonaldo; Marcal Vieira Vaz, Marcelo Gomes; Fiore, Marli Fatima] Univ Sao Paulo, Ctr Nucl Energy Agr, BR-13400970 Piracicaba, SP, Brazil; [Hentschke, Guilherme Scotta; Sant'Anna, Celia Leite] Inst Bot, Nucleus Phycol, BR-04301012 Sao Paulo, SP, Brazil; [Hentschke, Guilherme Scotta] Univ Luterana Brasil, BR-96501595 Cachoeira Do Sul, RS, Brazil</t>
  </si>
  <si>
    <t>Universidade de Sao Paulo; Instituto de Botanica - Sao Paulo; Universidade Luterana do Brasil</t>
  </si>
  <si>
    <t>Fiore, MF (corresponding author), Univ Sao Paulo, Ctr Nucl Energy Agr, Ave Centenario 303, BR-13400970 Piracicaba, SP, Brazil.</t>
  </si>
  <si>
    <t>fiore@cena.usp.br</t>
  </si>
  <si>
    <t>Fapesp, Biota/F-8655-2017; Anna, Célia L. Sant'/D-3735-2015; Fiore, Marli F/C-1436-2012; Vaz, Marcelo G. M. V./D-1730-2015; Genuario, Diego/C-5891-2015</t>
  </si>
  <si>
    <t>Fapesp, Biota/0000-0002-9887-8449; Fiore, Marli F/0000-0003-2555-7967; Gomes Marcal Vieira Vaz, Marcelo/0000-0003-1624-8281; Genuario, Diego/0000-0001-6884-331X; Scotta Hentschke, Guilherme/0000-0003-4396-024X; , Celia Leite/0000-0001-7706-756X</t>
  </si>
  <si>
    <t>State of Sao Paulo Research Foundation (FAPESP) [2004/13910-6]; Brazilian National Research Council (CNPq) [520194/2006-3, 490570/2010-0]; FAPESP [2010/00321-3, 2010/18732-0]; CNPq [306607/2012-3, 158353-2010/2]; Fundacao de Amparo a Pesquisa do Estado de Sao Paulo (FAPESP) [04/13910-6, 10/18732-0] Funding Source: FAPESP</t>
  </si>
  <si>
    <t>State of Sao Paulo Research Foundation (FAPESP)(Fundacao de Amparo a Pesquisa do Estado de Sao Paulo (FAPESP)); Brazilian National Research Council (CNPq)(Conselho Nacional de Desenvolvimento Cientifico e Tecnologico (CNPQ)); FAPESP(Fundacao de Amparo a Pesquisa do Estado de Sao Paulo (FAPESP)); CNPq(Conselho Nacional de Desenvolvimento Cientifico e Tecnologico (CNPQ)); Fundacao de Amparo a Pesquisa do Estado de Sao Paulo (FAPESP)(Fundacao de Amparo a Pesquisa do Estado de Sao Paulo (FAPESP))</t>
  </si>
  <si>
    <t>This study was supported by grants from the State of Sao Paulo Research Foundation (FAPESP) (2004/13910-6) and the Brazilian National Research Council (CNPq) (520194/2006-3, 490570/2010-0). D. B. G. and M. G. M. V. V. were supported by FAPESP graduate scholarships 2010/00321-3 and 2010/18732-0, respectively. M. F. F. would like to thank CNPq for a research fellowship (306607/2012-3). G. S. H. would also like to thank CNPq for a graduate scholarship (158353-2010/2). We are grateful to Dr Aharon Oren for help with the scientific names and etymology and MSc Danillo O. Alvarenga for conducting Bayesian analysis.</t>
  </si>
  <si>
    <t>10.1099/ijs.0.070078-0</t>
  </si>
  <si>
    <t>CJ3CE</t>
  </si>
  <si>
    <t>WOS:000355360200054</t>
  </si>
  <si>
    <t>Segovia, RA; Armesto, JJ</t>
  </si>
  <si>
    <t>Segovia, Ricardo A.; Armesto, Juan J.</t>
  </si>
  <si>
    <t>The Gondwanan legacy in South American biogeography</t>
  </si>
  <si>
    <t>Austral niche conservatism; Andean flora; biodiversity; biogeographical patterns; extratropical evolution; latitudinal diversity gradients; palaeoflora; phylogenetic niche conservatism; Southern Hemisphere; tropical conservatism hypothesis</t>
  </si>
  <si>
    <t>SPECIES RICHNESS; NICHE CONSERVATISM; WOODY ANGIOSPERMS; FORESTS; ECOLOGY; HISTORY; DIVERSITY; DIVERSIFICATION; EVOLUTION; ANTARCTICA</t>
  </si>
  <si>
    <t>The tropical conservatism hypothesis (TCH) suggests that phylogenetic niche conservatism (the tendency for traits to be maintained during diversification) should be the main driver of latitudinal diversity gradients. For example, the tropical-temperate diversity gradient for woody angiosperms should reflect the tropical, older origin of most clades, the constrained evolution of cold tolerance, and the fact that few clades were able to persist in temperate zones after the beginning of the global cooling in the Eocene. Evidence for this explanation has been discussed primarily from a Northern Hemisphere perspective. Recently, two studies have presented diversity and clade-age relationships in South American forests that are inconsistent with the TCH, with older woody families being more frequent at higher latitudes and higher elevations in the Andes. We argue that a broader framework considering the ancient history of the Southern Hemisphere flora and the recent history of the Andean flora can help explain these discordant patterns. Here, we provide an initial discussion of this new perspective, emphasizing the historical development of a unique and rich palaeoflora of Gondwanan ancestry at mid-to high latitudes of South America and Antarctica. We suggest that the idea of Austral niche conservatism (ANC) of a warm-temperate Antarctic-South American biota should be explored further to improve our understanding of biogeographical patterns in the Southern Hemisphere.</t>
  </si>
  <si>
    <t>[Segovia, Ricardo A.; Armesto, Juan J.] IEB, Santiago, Chile; [Segovia, Ricardo A.; Armesto, Juan J.] Pontificia Univ Catolica Chile, Dept Ecol, Santiago, Chile</t>
  </si>
  <si>
    <t>Pontificia Universidad Catolica de Chile</t>
  </si>
  <si>
    <t>Segovia, RA (corresponding author), Pontificia Univ Catolica Chile, Dept Ecol, Alameda 340, Santiago, Chile.</t>
  </si>
  <si>
    <t>segovia@ug.uchile.cl</t>
  </si>
  <si>
    <t>Armesto, Juan J/G-6467-2016; Segovia, Ricardo/GSN-8023-2022</t>
  </si>
  <si>
    <t>Segovia, Ricardo/0000-0002-8787-619X</t>
  </si>
  <si>
    <t>FONDECYT [3140189]; CONICYT-PFB [23]; ICM [P05-002]</t>
  </si>
  <si>
    <t>FONDECYT(Comision Nacional de Investigacion Cientifica y Tecnologica (CONICYT)CONICYT FONDECYT); CONICYT-PFB; ICM</t>
  </si>
  <si>
    <t>We thank Martin Gardner and the Royal Botanic Garden Edinburgh (RGBE) for their hospitality while drafting this paper. We are grateful to Bradford Hawkins, Carlos Jaramillo and an anonymous referee for their constructive critiques of the manuscript. This research was supported by grants from FONDECYT 3140189, CONICYT-PFB 23 and ICM P05-002.</t>
  </si>
  <si>
    <t>10.1111/jbi.12459</t>
  </si>
  <si>
    <t>CC7OX</t>
  </si>
  <si>
    <t>WOS:000350558900002</t>
  </si>
  <si>
    <t>Orben, RA; Irons, DB; Paredes, R; Roby, DD; Phillips, RA; Shaffer, SA</t>
  </si>
  <si>
    <t>Orben, Rachael A.; Irons, David B.; Paredes, Rosana; Roby, Daniel D.; Phillips, Richard A.; Shaffer, Scott A.</t>
  </si>
  <si>
    <t>North or south? Niche separation of endemic red-legged kittiwakes and sympatric black-legged kittiwakes during their non-breeding migrations</t>
  </si>
  <si>
    <t>Bering Sea; ecological segregation; geolocation; non-breeding habitat; North Pacific; resource partitioning; Rissa brevirostris; Rissa tridactyla; seabird; sibling species</t>
  </si>
  <si>
    <t>EASTERN BERING-SEA; PISCIVOROUS SEABIRDS; FORAGING HABITATS; PRIBILOF ISLANDS; FUTURE CLIMATE; PATTERNS; SEGREGATION; GEOLOCATION; OCEAN; DISPERSAL</t>
  </si>
  <si>
    <t>Aim Species that breed sympatrically often occupy different foraging niches to mitigate competition for prey. When resource availability declines at the end of the breeding season, some animals migrate to regions with more favourable environmental conditions. When these life-history traits combine, foraging habitat preferences may continue to influence migration patterns and habitat utilization. The Bering Sea is home to the red-legged kittiwake (RLKI), Rissa brevirostris, which is endemic, and the black-legged kittiwake (BLKI), Rissa tridactyla, which has a circumpolar breeding distribution. Since the 1970s, numbers of RLKIs at the largest colony have declined and then recovered, whilst the BLKI population has remained stable. Knowledge of the migration ecology of kittiwakes is key to understanding differences in population trajectories, and predicting possible future responses of these species to climate change. Location Pribilof Islands, Bering Sea, subarctic North Pacific. Methods Using geolocation loggers, we tracked adult RLKIs and BLKIs during their non-breeding migrations. We used iterative methods to assess suitable sample sizes for determining space use. Kittiwakes are surface foragers; therefore we used wet-dry data to distinguish active foraging behaviour and to test the species' responses to environmental conditions. Stable isotope ratios of feathers grown during the non-breeding period were used to assess dietary niche. Results RLKIs remained largely in the Bering Sea, where they experienced colder conditions and shorter days; individual birds used multiple habitats, including the continental shelves, the sea-ice edge and pelagic waters. In contrast, BLKIs migrated to the subarctic North Pacific, where they dispersed laterally across the basin; the majority of birds travelled to the western subarctic. RLKIs spent less time actively foraging than BLKIs, and consumed higher trophic-level prey. Main conclusions The disparate wintering ranges and foraging behaviour of BLKIs and RLKIs suggest distinct environmental factors drive variation in over-winter survival. A strong association with sea ice, and specialization both in diet and foraging behaviour, may make RLKIs particularly vulnerable to climatic change.</t>
  </si>
  <si>
    <t>[Orben, Rachael A.] Univ Calif Santa Cruz, Dept Ocean Sci, Long Marine Lab, Santa Cruz, CA 95060 USA; [Irons, David B.] US Fish &amp; Wildlife Serv, Anchorage, AK 99503 USA; [Paredes, Rosana; Roby, Daniel D.] Oregon State Univ, Dept Fisheries &amp; Wildlife, Corvallis, OR 97331 USA; [Phillips, Richard A.] British Antarctic Survey, Nat Environm Res Council, Cambridge CB3 0ET, England; [Shaffer, Scott A.] San Jose State Univ, Dept Biol Sci, San Jose, CA 95192 USA; [Shaffer, Scott A.] Univ Calif Santa Cruz, Inst Marine Sci, Long Marine Lab, Santa Cruz, CA 95060 USA</t>
  </si>
  <si>
    <t>University of California System; University of California Santa Cruz; United States Department of the Interior; US Fish &amp; Wildlife Service; Oregon State University; UK Research &amp; Innovation (UKRI); Natural Environment Research Council (NERC); NERC British Antarctic Survey; California State University System; San Jose State University; University of California System; University of California Santa Cruz</t>
  </si>
  <si>
    <t>Orben, RA (corresponding author), Univ Calif Santa Cruz, Dept Ocean Sci, Long Marine Lab, Santa Cruz, CA 95060 USA.</t>
  </si>
  <si>
    <t>raorben@gmail.com</t>
  </si>
  <si>
    <t>Orben, Rachael A./H-9460-2019; Shaffer, Scott/D-5015-2009</t>
  </si>
  <si>
    <t>Orben, Rachael A./0000-0002-0802-407X; Shaffer, Scott/0000-0002-7751-5059</t>
  </si>
  <si>
    <t>North Pacific Research Board (NPRB) [911, B63]; UCSC; NPRB; Friends of Long Marine Lab and Earl; Ethyl Meyers Oceanographic Trust; RLKI work; NERC [bas0100025] Funding Source: UKRI; Natural Environment Research Council [bas0100025] Funding Source: researchfish</t>
  </si>
  <si>
    <t>North Pacific Research Board (NPRB); UCSC; NPRB; Friends of Long Marine Lab and Earl; Ethyl Meyers Oceanographic Trust; RLKI work; NERC(UK Research &amp; Innovation (UKRI)Natural Environment Research Council (NERC)); Natural Environment Research Council(UK Research &amp; Innovation (UKRI)Natural Environment Research Council (NERC))</t>
  </si>
  <si>
    <t>This research was approved by the animal care and use committee of the University of California Santa Cruz (UCSC) and by permit from the US Fish and Wildlife Service (US-FWS). We are highly indebted to a team of field biologists including S.D. Kildaw, B. Drummond, J. Harley, C. Kroeger, D. Lyons, K. McKay, V. Patel, R. Steenweg and J. Warzybok. We also thank the Alaska Marine National Wildlife for their continued and long-term efforts to monitor seabird populations in Alaska. R. Young and A. Kitaysky provided laboratory assistance in sexing study birds. We are grateful to two anonymous referees for their valuable comments. This research was predominantly funded by the North Pacific Research Board (NPRB) project 911 to D.B.I., D. A. R. and S.A.S., and project B63 to D.B.I. and D. D. R. R.A.O. was supported by a UCSC Regents fellowship, a NPRB graduate fellowship and a UCSC Chancellor's dissertation year fellowship. Grants from Friends of Long Marine Lab and Earl and Ethyl Meyers Oceanographic Trust to R.A.O. supported the RLKI work. This is NPRB contribution number 507.</t>
  </si>
  <si>
    <t>10.1111/jbi.12425</t>
  </si>
  <si>
    <t>WOS:000350558900018</t>
  </si>
  <si>
    <t>Ferreira, D; Marshall, J; Bitz, CM; Solomon, S; Plumb, A</t>
  </si>
  <si>
    <t>Ferreira, David; Marshall, John; Bitz, Cecilia M.; Solomon, Susan; Plumb, Alan</t>
  </si>
  <si>
    <t>Antarctic Ocean and Sea Ice Response to Ozone Depletion: A Two-Time-Scale Problem</t>
  </si>
  <si>
    <t>SOUTHERN ANNULAR MODE; GENERAL-CIRCULATION MODEL; HEMISPHERE CLIMATE-CHANGE; VARIABILITY; ATMOSPHERE; HOLE; REPRESENTATION; SIMULATIONS; REANALYSIS; AQUAPLANET</t>
  </si>
  <si>
    <t>The response of the Southern Ocean to a repeating seasonal cycle of ozone loss is studied in two coupled climate models and is found to comprise both fast and slow processes. The fast response is similar to the interannual signature of the southern annular mode (SAM) on sea surface temperature (SST), onto which the ozone hole forcing projects in the summer. It comprises enhanced northward Ekman drift, inducing negative summertime SST anomalies around Antarctica, earlier sea ice freeze-up the following winter, and northward expansion of the sea ice edge year-round. The enhanced northward Ekman drift, however, results in upwelling of warm waters from below the mixed layer in the region of seasonal sea ice. With sustained bursts of westerly winds induced by ozone hole depletion, this warming from below eventually dominates over the cooling from anomalous Ekman drift. The resulting slow time-scale response (years to decades) leads to warming of SSTs around Antarctica and ultimately a reduction in sea ice cover year-round. This two-time-scale behavior-rapid cooling followed by slow but persistent warming-is found in the two coupled models analyzed: one with an idealized geometry and the other with a complex global climate model with realistic geometry. Processes that control the time scale of the transition from cooling to warming and their uncertainties are described. Finally the implications of these results are discussed for rationalizing previous studies of the effect of the ozone hole on SST and sea ice extent.</t>
  </si>
  <si>
    <t>[Ferreira, David; Marshall, John; Solomon, Susan; Plumb, Alan] MIT, Dept Earth Atmospher &amp; Planetary Sci, Cambridge, MA USA; [Bitz, Cecilia M.] Univ Washington, Dept Atmospher Sci, Seattle, WA 98195 USA</t>
  </si>
  <si>
    <t>Massachusetts Institute of Technology (MIT); University of Washington; University of Washington Seattle</t>
  </si>
  <si>
    <t>Ferreira, D (corresponding author), Univ Reading, Dept Meteorol, POB 243, Reading RG6 6BB, Berks, England.</t>
  </si>
  <si>
    <t>d.g.ferreira@reading.ac.uk</t>
  </si>
  <si>
    <t>Bitz, Cecilia M/S-8423-2016; Ferreira, David/JJD-6133-2023; Ferreira, David/JNR-2354-2023</t>
  </si>
  <si>
    <t>Ferreira, David/0000-0003-3243-9774; Bitz, Cecilia/0000-0002-9477-7499</t>
  </si>
  <si>
    <t>NASA MAP Grant; NSF FESD; National Science Foundation [NSF PLR-1341497]; Directorate For Geosciences; Division Of Ocean Sciences [1338814] Funding Source: National Science Foundation; Directorate For Geosciences; Office of Polar Programs (OPP) [1341497] Funding Source: National Science Foundation</t>
  </si>
  <si>
    <t>NASA MAP Grant; NSF FESD; National Science Foundation(National Science Foundation (NSF)); Directorate For Geosciences; Division Of Ocean Sciences(National Science Foundation (NSF)NSF - Directorate for Geosciences (GEO)); Directorate For Geosciences; Office of Polar Programs (OPP)(National Science Foundation (NSF)NSF - Directorate for Geosciences (GEO))</t>
  </si>
  <si>
    <t>DF was supported in part by a NASA MAP Grant. JM, SS, and AP obtained partial support from a NSF FESD project on the impact of the ozone hole on the Southern Hemisphere climate. Funding for CB was provided by the National Science Foundation (NSF PLR-1341497).</t>
  </si>
  <si>
    <t>10.1175/JCLI-D-14-00313.1</t>
  </si>
  <si>
    <t>CA9WJ</t>
  </si>
  <si>
    <t>Green Published, Bronze, Green Submitted, Green Accepted</t>
  </si>
  <si>
    <t>WOS:000349275200017</t>
  </si>
  <si>
    <t>Ball, BA; Levy, J</t>
  </si>
  <si>
    <t>Ball, Becky A.; Levy, Joseph</t>
  </si>
  <si>
    <t>The role of water tracks in altering biotic and abiotic soil properties and processes in a polar desert in Antarctica</t>
  </si>
  <si>
    <t>JOURNAL OF GEOPHYSICAL RESEARCH-BIOGEOSCIENCES</t>
  </si>
  <si>
    <t>polar soils; soil respiration; McMurdo Dry Valleys; water tracks; C cycle; groundwater seeps</t>
  </si>
  <si>
    <t>MCMURDO DRY VALLEYS; TAYLOR VALLEY; GEOCHEMISTRY; LAKES; RESPIRATION; ECOSYSTEMS; NITROGEN; BIOMASS; STREAMS; EVENTS</t>
  </si>
  <si>
    <t>Groundwater discharge via water tracks is a largely unexplored passageway routing salts and moisture from high elevations to valley floors in the McMurdo Dry Valleys (MDV) of Antarctica. Given the influence that water tracks have on the distribution of liquid water in seasonally thawed Antarctic soils, it is surprising how little is known about their role in structuring biotic and abiotic processes this cold desert ecosystem. Particularly, it is unclear how soil biota will respond to the activation of new water tracks resulting from enhanced active layer thickening or enhanced regional snowmelt. In the MDV, water tracks are both wetter and more saline than the surrounding soils, constituting a change in soil habitat suitability for soil biology and therefore the ecological processes they carry out. To investigate the net impact that water tracks have on Dry Valley soil biology, and therefore the ecosystem processes for which they are responsible, we analyzed microbial biomass and activity in soils inside and outside of three water tracks and relate this to the physical soil characteristics. Overall, our results suggest that water tracks can significantly influence soil properties, which can further impact biological biovolume and both biotic and abiotic fluxes of CO2. However, the nature of its impact differs with water track, further suggesting that not all water tracks can be regarded the same.</t>
  </si>
  <si>
    <t>[Ball, Becky A.] Arizona State Univ, Sch Math &amp; Nat Sci, West Campus, Glendale, AZ 85306 USA; [Levy, Joseph] Univ Texas Austin, Inst Geophys, Austin, TX USA</t>
  </si>
  <si>
    <t>Arizona State University; University of Texas System; University of Texas Austin</t>
  </si>
  <si>
    <t>Ball, BA (corresponding author), Arizona State Univ, Sch Math &amp; Nat Sci, West Campus, Glendale, AZ 85306 USA.</t>
  </si>
  <si>
    <t>becky.ball@asu.edu</t>
  </si>
  <si>
    <t>Ball, Becky A/E-6573-2011</t>
  </si>
  <si>
    <t>Ball, Becky A/0000-0001-8592-1316; Levy, Joseph/0000-0002-6222-139X</t>
  </si>
  <si>
    <t>National Science Foundation Office of Polar Program [PLR-1343649]; New College of Interdisciplinary Arts and Sciences at Arizona State University</t>
  </si>
  <si>
    <t>National Science Foundation Office of Polar Program(National Science Foundation (NSF)); New College of Interdisciplinary Arts and Sciences at Arizona State University</t>
  </si>
  <si>
    <t>Data used to generate the tables and graphs can be found in the supporting information. This work was supported by the National Science Foundation Office of Polar Program grant PLR-1343649 and funds from the New College of Interdisciplinary Arts and Sciences at Arizona State University. We thank Lily Simonson and Alex Rytel for their assistance with sample collection and students Jessica Alvarez Guevara, Kelly Bergin, Sean Hosier, Miriam LeBron, Jacob Ramsey, Logan Schmidt, Nile Smalley, and Connor Wetzel-Brown for their assistance with laboratory analyses. Natasha Zolotova at the Keck Laboratory at ASU provided analytical services. This research benefitted from the discussions with McMurdo Dry Valleys Long Term Ecological Research Program colleagues and the helpful comments from two anonymous reviewers.</t>
  </si>
  <si>
    <t>2169-8953</t>
  </si>
  <si>
    <t>2169-8961</t>
  </si>
  <si>
    <t>J GEOPHYS RES-BIOGEO</t>
  </si>
  <si>
    <t>J. Geophys. Res.-Biogeosci.</t>
  </si>
  <si>
    <t>10.1002/2014JG002856</t>
  </si>
  <si>
    <t>CD9FI</t>
  </si>
  <si>
    <t>WOS:000351402800006</t>
  </si>
  <si>
    <t>MacGregor, JA; Fahnestock, MA; Catania, GA; Paden, JD; Gogineni, SP; Young, SK; Rybarski, SC; Mabrey, AN; Wagman, BM; Morlighem, M</t>
  </si>
  <si>
    <t>MacGregor, Joseph A.; Fahnestock, Mark A.; Catania, Ginny A.; Paden, John D.; Gogineni, S. Prasad; Young, S. Keith; Rybarski, Susan C.; Mabrey, Alexandria N.; Wagman, Benjamin M.; Morlighem, Mathieu</t>
  </si>
  <si>
    <t>Radiostratigraphy and age structure of the Greenland Ice Sheet</t>
  </si>
  <si>
    <t>Greenland Ice Sheet; ice-penetrating dynamics; ice core; ice-sheet dynamics</t>
  </si>
  <si>
    <t>ECHO SOUNDING DATA; SEA-LEVEL RISE; INTERNAL LAYERS; WEST ANTARCTICA; NORTH GREENLAND; ACCUMULATION-RATE; TRACER TRANSPORT; AIRBORNE-RADAR; LAKE VOSTOK; BASAL MELT</t>
  </si>
  <si>
    <t>Several decades of ice-penetrating radar surveys of the Greenland and Antarctic ice sheets have observed numerous widespread internal reflections. Analysis of this radiostratigraphy has produced valuable insights into ice sheet dynamics and motivates additional mapping of these reflections. Here we present a comprehensive deep radiostratigraphy of the Greenland Ice Sheet from airborne deep ice-penetrating radar data collected over Greenland by The University of Kansas between 1993 and 2013. To map this radiostratigraphy efficiently, we developed new techniques for predicting reflection slope from the phase recorded by coherent radars. When integrated along track, these slope fields predict the radiostratigraphy and simplify semiautomatic reflection tracing. Core-intersecting reflections were dated using synchronized depth-age relationships for six deep ice cores. Additional reflections were dated by matching reflections between transects and by extending reflection-inferred depth-age relationships using the local effective vertical strain rate. The oldest reflections, dating to the Eemian period, are found mostly in the northern part of the ice sheet. Within the onset regions of several fast-flowing outlet glaciers and ice streams, reflections typically do not conform to the bed topography. Disrupted radiostratigraphy is also observed in a region north of the Northeast Greenland Ice Stream that is not presently flowing rapidly. Dated reflections are used to generate a gridded age volume for most of the ice sheet and also to determine the depths of key climate transitions that were not observed directly. This radiostratigraphy provides a new constraint on the dynamics and history of the Greenland Ice Sheet.</t>
  </si>
  <si>
    <t>[MacGregor, Joseph A.; Catania, Ginny A.; Young, S. Keith; Rybarski, Susan C.; Mabrey, Alexandria N.; Wagman, Benjamin M.] Univ Texas Austin, Inst Geophys, Austin, TX 78712 USA; [Fahnestock, Mark A.] Univ Alaska Fairbanks, Inst Geophys, Fairbanks, AK 99775 USA; [Catania, Ginny A.; Young, S. Keith; Rybarski, Susan C.; Mabrey, Alexandria N.; Wagman, Benjamin M.] Univ Texas Austin, Dept Geol Sci, Austin, TX USA; [Paden, John D.; Gogineni, S. Prasad] Univ Kansas, Ctr Remote Sensing Ice Sheets, Lawrence, KS 66045 USA; [Morlighem, Mathieu] Univ Calif Irvine, Dept Earth Syst Sci, Irvine, CA USA</t>
  </si>
  <si>
    <t>University of Texas System; University of Texas Austin; University of Alaska System; University of Alaska Fairbanks; University of Texas System; University of Texas Austin; University of Kansas; University of California System; University of California Irvine</t>
  </si>
  <si>
    <t>MacGregor, JA (corresponding author), Univ Texas Austin, Inst Geophys, Austin, TX 78712 USA.</t>
  </si>
  <si>
    <t>joemac@ig.utexas.edu</t>
  </si>
  <si>
    <t>Morlighem, Mathieu/O-9942-2014; Catania, Ginny/B-9787-2008</t>
  </si>
  <si>
    <t>Morlighem, Mathieu/0000-0001-5219-1310; Wagman, Benjamin/0000-0001-7179-9831; Catania, Ginny/0000-0002-7561-5902</t>
  </si>
  <si>
    <t>NSF [ARC 1107753, 1108058, ANT 0424589]; NASA [NNX12AB71G]; NASA [30946, NNX12AB71G] Funding Source: Federal RePORTER; Directorate For Geosciences; Office of Polar Programs (OPP) [1108058] Funding Source: National Science Foundation</t>
  </si>
  <si>
    <t>NSF(National Science Foundation (NSF)); NASA(National Aeronautics &amp; Space Administration (NASA)); NASA(National Aeronautics &amp; Space Administration (NASA)); Directorate For Geosciences; Office of Polar Programs (OPP)(National Science Foundation (NSF)NSF - Directorate for Geosciences (GEO))</t>
  </si>
  <si>
    <t>NSF (ARC 1107753 and 1108058; ANT 0424589) and NASA (NNX12AB71G) supported this work. We thank the organizations (Program for Arctic Regional Climate Assessment, Center for Remote Sensing of Ice Sheets and Operation IceBridge) and innumerable individuals that both supported and performed the collection and processing of the radar data used in this study. We thank the NASA Advanced Supercomputing Division for the use of the Pleiades Supercomputer for kriging the radiostratigraphy. We also thank S. O. Rasmussen, I. Seierstad, and B. M. Vinther for providing the synchronized ice core depth-age relationships; L. C. Sime for sharing the ARESP algorithm; T. A. Neumann for encouraging this work; Z. Zhang for preparing the radar data; and L. C. Andrews, T. C. Brothers, M. G. P. Cavitte, W. T. Colgan, D. Dahl-Jensen, J. C. Hiester, C. S. Jackson, N. B. Karlsson, M. R. Koutnik, C. Miege, C. Panton, J. E. Reber, D. M. Schroeder, and B. M. Vinther for valuable discussions. Finally, we thank the Scientific Editor E. C. Pettit, K. A. Christianson, R. C. A. Hindmarsh, and an anonymous referee for constructive reviews that improved this manuscript substantially.</t>
  </si>
  <si>
    <t>10.1002/2014JF003215</t>
  </si>
  <si>
    <t>WOS:000351386900004</t>
  </si>
  <si>
    <t>Gonçalves-Araujo, R; de Souza, MS; Tavano, VM; Garcia, CA</t>
  </si>
  <si>
    <t>Goncalves-Araujo, Rafael; de Souza, Marcio Silva; Tavano, Virginia Maria; Eiras Garcia, Carlos Alberto</t>
  </si>
  <si>
    <t>Influence of oceanographic features on spatial and interannual variability of phytoplankton in the Bransfield Strait, Antarctica</t>
  </si>
  <si>
    <t>Phytoplankton; Chlorophyll-a; Water column structure; Satellite remote sensing; Dissolved macronutrients; Antarctic Peninsula</t>
  </si>
  <si>
    <t>SIZE-FRACTIONATED PHYTOPLANKTON; FRAGILARIOPSIS-CYLINDRUS BACILLARIOPHYCEAE; WEDDELL-SCOTIA CONFLUENCE; SOUTHERN-OCEAN; CHLOROPHYLL-A; PHAEOCYSTIS-ANTARCTICA; COMMUNITY STRUCTURE; WATER MASSES; SEA-ICE; TAXA PHOTOSYNTHESIS</t>
  </si>
  <si>
    <t>Spatial variability and interannual variability of phytoplankton biomass, estimated as chlorophyll-a (Chl-a) concentration and taxonomic groups, were analyzed in relation to environmental conditions in the Bransfield Strait (BS). This study is based upon both in situ (2003, 2004, 2005, 2008, 2009 and 2010) and satellite (2002-2010) data, during the austral summer. A thermohaline front was predominately observed between the colder and saltier waters under the influence of transitional water with Weddell Sea influence (TWW) in the southeastern BS, and the fresher and warmer waters associated with the presence of transitional water with Bellingshausen Sea influence (TBW) in the northwestern BS. Canonical correspondence analysis showed that the dominance of microplanktonic diatoms was associated with higher Chl-a within shallow upper mixed layers, with relatively strong pycnocline in the TBW, particularly close to the South Shetland Islands (SSI). Conversely, the TWW was primarily characterized by lower Chl-a within deeper mixed layers or a well-mixed water column and dominated by nanoplanktonic flagellates (including haptophytes and cryptophytes). Spatial variability based on both in situ and satellite data suggests that the Bransfield Strait acts as a typical Seasonal Ice Zone (SIZ) and the phytoplankton community there is governed by a combination of processes acting synergistically: the sea ice retreat, allowing for a penetration of light into the water column, and a relatively shallow upper mixed layer with strong pycnocline, primarily in the TBW, retaining organisms near the surface when light conditions are adequate. Interannual variability in Chl-a and species composition indicate an alternation between diatom-dominated and flagellate-dominated assemblages. These shifts are potentially related to the different stages of phytoplankton succession, as a result of varying water column physical features, principally influenced by the dynamic occupation of the TBW and TWW, that appear to modulate phytoplankton dynamics within the BS. (C) 2014 Elsevier B.V. All rights reserved.</t>
  </si>
  <si>
    <t>[Goncalves-Araujo, Rafael; de Souza, Marcio Silva; Tavano, Virginia Maria; Eiras Garcia, Carlos Alberto] Univ Fed Rio Grande, Inst Oceanog, BR-96203900 Rio Grande, RS, Brazil</t>
  </si>
  <si>
    <t>Universidade Federal do Rio Grande</t>
  </si>
  <si>
    <t>Gonçalves-Araujo, R (corresponding author), Alfred Wegener Inst Polar &amp; Marine Res, Bussestr 24,F-402, D-27570 Bremerhaven, Germany.</t>
  </si>
  <si>
    <t>rafael.goncalves.araujo@awi.de; souzamsd@gmail.com; docvmtg@furg.br; dfsgar@furg.br</t>
  </si>
  <si>
    <t>Garcia, Carlos A. E./K-7382-2012; Gonçalves-Araujo, Rafael/F-8285-2014; de Souza, Márcio Silva/AAR-5757-2021; Tavano, Virginia/C-5241-2013</t>
  </si>
  <si>
    <t>Gonçalves-Araujo, Rafael/0000-0001-8344-8326; de Souza, Márcio Silva/0000-0003-1572-9307; Tavano, Virginia/0000-0003-0039-8111</t>
  </si>
  <si>
    <t>CNPq (National Council for Research and Development); MMA (Ministry of the Environment); CNPq; CAPES (Brazil)</t>
  </si>
  <si>
    <t>CNPq (National Council for Research and Development)(Conselho Nacional de Desenvolvimento Cientifico e Tecnologico (CNPQ)); MMA (Ministry of the Environment); CNPq(Conselho Nacional de Desenvolvimento Cientifico e Tecnologico (CNPQ)); CAPES (Brazil)(Coordenacao de Aperfeicoamento de Pessoal de Nivel Superior (CAPES))</t>
  </si>
  <si>
    <t>This study was conducted within the activities of the GOAL (Grupo de Oceanografia de Altas Latitudes) and SOS-CLIMATE (Southern Ocean Studies for Understanding Climate Changes Issues) projects. These are multidisciplinary programs carried out by the GOAL group activities in the scope of the Brazilian Antarctic Program. The program is coordinated by SECIRM. Financial support was provided by CNPq (National Council for Research and Development) and MMA (Ministry of the Environment). The authors thank the crew of the Brazilian Navy RV Ary Rongel and several investigators participating in the cruises for their valuable help during the collection of samples. We are grateful to Ricardo C. Pollery for performing the nutrient analysis, Fernanda R.W. de Oliveira for phytoplankton counting and identification of GOAL samples, and Eduardo M. de Souza for running Chl-a analysis for the grant from CNPq. A PhD fellowship from CAPES (Brazil) was granted to M.S. de Souza. V.M. Tavano and C.A. Garcia are granted with science fellowships from CNPq.</t>
  </si>
  <si>
    <t>10.1016/j.jmarsys.2014.09.007</t>
  </si>
  <si>
    <t>WOS:000347740300001</t>
  </si>
  <si>
    <t>Humphries, MA; Bruno, R; Karpievitch, Y; Wotherspoon, S</t>
  </si>
  <si>
    <t>Humphries, M. A.; Bruno, R.; Karpievitch, Y.; Wotherspoon, S.</t>
  </si>
  <si>
    <t>The expectancy valence model of the Iowa Gambling Task: Can it produce reliable estimates for individuals?</t>
  </si>
  <si>
    <t>JOURNAL OF MATHEMATICAL PSYCHOLOGY</t>
  </si>
  <si>
    <t>Expectancy Valence model (EVM); Iowa Gambling Task (IGT); Individual performance; Decision making; Bayesian estimation; MCMC; 2-parameter EVM</t>
  </si>
  <si>
    <t>DECISION-MAKING; BEHAVIOR; PERFORMANCE; PREDICTORS; VALIDITY; EMOTION; PEOPLE</t>
  </si>
  <si>
    <t>The Expectancy Valence Model (EVM) of the Iowa Gambling Task (IGT) is commonly used in studies to identify the underlying psychological processes responsible for decision making deficits. We show the EVM does not provide clear information about decision making processes at the individual level by fitting the EVM, with individual random effects, to a sample of participants from various drug using populations using Bayesian techniques and to a sample of participants who complete the IGT multiple times. In particular, we show that the individual-level parameter estimates from the model may be bi-modally distributed and hence are inherently ambiguous and have little psychological significance. In an attempt to increase the validity of individual-level parameter estimates, we also considered a 2-parameter version of the EVM in which the consistency parameter was held constant. In the 2-parameter implementation of the EVM, results were clearer and more easily interpretable than when using the traditional EVM. (C) 2014 Elsevier Inc. All rights reserved.</t>
  </si>
  <si>
    <t>[Humphries, M. A.; Karpievitch, Y.] Univ Tasmania, Sch Math &amp; Phys, Sandy Bay, Tas, Australia; [Wotherspoon, S.] Univ Tasmania, Inst Marine &amp; Antarctic Studies, Sandy Bay, Tas, Australia; [Wotherspoon, S.] Australian Antarctic Div, Kingston, Tas, Australia; [Bruno, R.] Univ Tasmania, Sch Psychol, Sandy Bay, Tas, Australia</t>
  </si>
  <si>
    <t>University of Tasmania; University of Tasmania; Australian Antarctic Division; University of Tasmania</t>
  </si>
  <si>
    <t>Humphries, MA (corresponding author), Univ Tasmania, Sch Math &amp; Phys, Sandy Bay, Tas, Australia.</t>
  </si>
  <si>
    <t>mcharity@utas.edu.au</t>
  </si>
  <si>
    <t>Wotherspoon, Simon J/B-2390-2013; Humphries, Melissa/O-5540-2017; Humphries, Melissa Ann/AAV-1898-2021; Bruno, Raimondo/A-2381-2009</t>
  </si>
  <si>
    <t>Wotherspoon, Simon J/0000-0002-6947-4445; Humphries, Melissa/0000-0002-0473-7611; Humphries, Melissa Ann/0000-0002-0473-7611; Bruno, Raimondo/0000-0001-6673-833X</t>
  </si>
  <si>
    <t>0022-2496</t>
  </si>
  <si>
    <t>1096-0880</t>
  </si>
  <si>
    <t>J MATH PSYCHOL</t>
  </si>
  <si>
    <t>J. Math. Psychol.</t>
  </si>
  <si>
    <t>FEB-APR</t>
  </si>
  <si>
    <t>64-65</t>
  </si>
  <si>
    <t>10.1016/j.jmp.2014.10.002</t>
  </si>
  <si>
    <t>Mathematics, Interdisciplinary Applications; Social Sciences, Mathematical Methods; Psychology, Mathematical</t>
  </si>
  <si>
    <t>Mathematics; Mathematical Methods In Social Sciences; Psychology</t>
  </si>
  <si>
    <t>CE9PM</t>
  </si>
  <si>
    <t>WOS:000352175900003</t>
  </si>
  <si>
    <t>Ki-Seon, C; Park, KJ; Lee, K; Kim, JY; Kim, BJ</t>
  </si>
  <si>
    <t>Ki-Seon, Choi; Park, Ki-Jun; Lee, Kyungmi; Kim, Jeoung-Yun; Kim, Baek-Jo</t>
  </si>
  <si>
    <t>Possible Influence of Western North Pacific Monsoon on Tropical Cyclone Activity Around Korea</t>
  </si>
  <si>
    <t>JOURNAL OF THE KOREAN EARTH SCIENCE SOCIETY</t>
  </si>
  <si>
    <t>Korean</t>
  </si>
  <si>
    <t>tropical cyclones; western North Pacific monsoon; El Nino-Southern Oscillation</t>
  </si>
  <si>
    <t>ANTARCTIC OSCILLATION; CLIMATOLOGY; REANALYSIS; FEATURES; JAPAN</t>
  </si>
  <si>
    <t>In this study, the correlation between the frequency of summer tropical cyclones (TC) affecting areas around Korea over the last 37 years and the western North Pacific monsoon index (WNPMI) was analyzed. A clear positive correlation existed between the two variables, and this high positive correlation remained unchanged even when excluding El Nino-Southern Oscillation (ENSO) years. To investigate the causes of the positive correlation between these two variables, ENSO years were excluded, after which the 8 years with the highest WNPMI (positive WNPMI phase) and the 8 years with the lowest WNPMI (negative WNPMI phase) were selected, and the average difference between the two phases was analyzed. In the positive WNPMI phase, TCs usually occurred in the eastern waters of the tropical and subtropical western North Pacific, and tended to pass the East China Sea on their way north toward Korea and Japan. In the negative WNPMI phase, TCs usually occurred in the western waters of the tropical and subtropical western North Pacific, and tended to pass the South China Sea on their way west toward the southeastern Chinese coast and the Indochina peninsula. Therefore, TC intensity was higher in the positive WNPMI phase, during which TCs are able to gain sufficient energy from the sea while moving a long distance to areas nearby Korea. TCs also tended to occur more often in the positive WNPMI phase. In the difference between the two phases regarding 850 and 500 hPa streamline, anomalous cyclones were reinforced in the tropical and subtropical western North Pacific, while anomalous anticyclones were reinforced in mid-latitude East Asian areas. Due to these two anomalous pressure systems, anomalous southeasterlies developed in areas near Korea, with these anomalous southeasterlies playing the role of anomalous steering flows making the TCs head toward areas near Korea. Also, due to the anomalous cyclones developed in the tropical and subtropical western North Pacific, more TCs could occur in the positive WNPMI phase.</t>
  </si>
  <si>
    <t>[Ki-Seon, Choi; Park, Ki-Jun; Lee, Kyungmi; Kim, Jeoung-Yun; Kim, Baek-Jo] Natl Inst Meteorol Res, Policy Res Dept, 33 Seohobuk Ro, Seogwipo Si, Jeju, South Korea</t>
  </si>
  <si>
    <t>Ki-Seon, C (corresponding author), Natl Inst Meteorol Res, Policy Res Dept, 33 Seohobuk Ro, Seogwipo Si, Jeju, South Korea.</t>
  </si>
  <si>
    <t>KOREAN EARTH SCIENCE SOC</t>
  </si>
  <si>
    <t>CHEONG-WON-GUN</t>
  </si>
  <si>
    <t>KOREAN EARTH SCIENCE SOC, CHEONG-WON-GUN, 00000, SOUTH KOREA</t>
  </si>
  <si>
    <t>1225-6692</t>
  </si>
  <si>
    <t>2287-4518</t>
  </si>
  <si>
    <t>J KOR EARTH SCI SOC</t>
  </si>
  <si>
    <t>J. Kor. Earth Sci. Soc.</t>
  </si>
  <si>
    <t>10.5467/JKESS.2015.36.1.68</t>
  </si>
  <si>
    <t>VE5JW</t>
  </si>
  <si>
    <t>WOS:000439559800007</t>
  </si>
  <si>
    <t>Yamamoto, T; Hoshina, K; Nishizawa, B; Meathrel, CE; Phillips, RA; Watanuki, Y</t>
  </si>
  <si>
    <t>Yamamoto, Takashi; Hoshina, Kenji; Nishizawa, Bungo; Meathrel, Catherine E.; Phillips, Richard A.; Watanuki, Yutaka</t>
  </si>
  <si>
    <t>Annual and seasonal movements of migrating short-tailed shearwaters reflect environmental variation in sub-Arctic and Arctic waters</t>
  </si>
  <si>
    <t>SOUTHEASTERN BERING-SEA; DAYTIME SURFACE SWARMS; THYSANOESSA-INERMIS; PRIBILOF ISLANDS; FORAGING ECOLOGY; BODY CONDITION; CLIMATE-CHANGE; CHUKCHI SEAS; LIFE-HISTORY; MARINE BIRDS</t>
  </si>
  <si>
    <t>The marine ecosystems of the Bering Sea and adjacent southern Chukchi Sea are experiencing rapid changes due to recent reductions in sea ice. Short-tailed shearwaters Puffinus tenuirostris visit this region in huge numbers between the boreal summer and autumn during non-breeding season, and represent one of the dominant top predators. To understand the implications for this species of ongoing environmental change in the Pacific sub-Arctic and Arctic seas, we tracked the migratory movements of 19 and 24 birds in 2010 and 2011, respectively, using light-level geolocators. In both years, tracked birds occupied the western (Okhotsk Sea and Kuril Islands) and eastern (southeast Bering Sea) North Pacific from May to July. In August-September of 2010, but not 2011, a substantial proportion (68 % of the tracked individuals in 2010 compared to 38 % in 2011) moved through the Bering Strait to feed in the Chukchi Sea. Based on the correlation with oceanographic variables, the probability of shearwater occurrence was highest in waters with sea surface temperatures (SSTs) of 8-10 A degrees C over shallow depths. Furthermore, shearwaters spent more time flying when SST was warmer than 9 A degrees C, suggesting increased search effort for prey. We hypothesized that the northward shift in the distribution of shearwaters may have been related to temperature-driven changes in the abundance of their dominant prey, krill (Euphausiacea), as the timing of krill spawning coincides with the seasonal increase in water temperature. Our results indicate a flexible response of foraging birds to ongoing changes in the sub-Arctic and Arctic ecosystems.</t>
  </si>
  <si>
    <t>[Yamamoto, Takashi] Natl Inst Polar Res, Arctic Environm Res Ctr, Tachikawa, Tokyo 1908518, Japan; [Yamamoto, Takashi; Hoshina, Kenji; Nishizawa, Bungo; Watanuki, Yutaka] Hokkaido Univ, Grad Sch Fisheries Sci, Hakodate, Hokkaido 0418611, Japan; [Meathrel, Catherine E.] La Trobe Univ, Dept Environm Management &amp; Ecol, Wodonga, Vic 3690, Australia; [Phillips, Richard A.] British Antarctic Survey, NERC, Cambridge CB3 0ET, England</t>
  </si>
  <si>
    <t>Research Organization of Information &amp; Systems (ROIS); National Institute of Polar Research (NIPR) - Japan; Hokkaido University; La Trobe University; UK Research &amp; Innovation (UKRI); Natural Environment Research Council (NERC); NERC British Antarctic Survey</t>
  </si>
  <si>
    <t>Yamamoto, T (corresponding author), Natl Inst Polar Res, Arctic Environm Res Ctr, 10-3 Midori Cho, Tachikawa, Tokyo 1908518, Japan.</t>
  </si>
  <si>
    <t>taka.y@nipr.ac.jp</t>
  </si>
  <si>
    <t>Japanese Society for Promotion of Science [20241001, 22405007]; Green Network of Excellence Program - Ministry of Education, Culture, Sports, Science, and Technology, Japan; Grants-in-Aid for Scientific Research [20241001, 22405007] Funding Source: KAKEN; Natural Environment Research Council [bas0100025] Funding Source: researchfish; NERC [bas0100025] Funding Source: UKRI</t>
  </si>
  <si>
    <t>Japanese Society for Promotion of Science(Ministry of Education, Culture, Sports, Science and Technology, Japan (MEXT)Japan Society for the Promotion of Science); Green Network of Excellence Program - Ministry of Education, Culture, Sports, Science, and Technology, Japan(Ministry of Education, Culture, Sports, Science and Technology, Japan (MEXT)); Grants-in-Aid for Scientific Research(Ministry of Education, Culture, Sports, Science and Technology, Japan (MEXT)Japan Society for the Promotion of ScienceGrants-in-Aid for Scientific Research (KAKENHI)); Natural Environment Research Council(UK Research &amp; Innovation (UKRI)Natural Environment Research Council (NERC)); NERC(UK Research &amp; Innovation (UKRI)Natural Environment Research Council (NERC))</t>
  </si>
  <si>
    <t>We would like to thank Bruce Robertson and Atsuo Ito for the field assistance, and Kohei Matsuno, Mark J. Carey, George Hunt, and an anonymous reviewer for useful comments on the manuscript. The study was supported by the Japanese Society for Promotion of Science (#20241001, #22405007) and Green Network of Excellence Program funded by the Ministry of Education, Culture, Sports, Science, and Technology, Japan. Research was carried out under La Trobe University Animal Ethics Project AEC 10/32 (W) and Tasmanian Department of Primary Industries Permits to Take Wildlife for Scientific Purposes FA10161 and FA11212 held by CE Meathrel.</t>
  </si>
  <si>
    <t>10.1007/s00227-014-2589-1</t>
  </si>
  <si>
    <t>WOS:000348564300016</t>
  </si>
  <si>
    <t>Zwirglmaier, K; Reid, WDK; Heywood, J; Sweeting, CJ; Wigham, BD; Polunin, NVC; Hawkes, JA; Connelly, DP; Pearce, D; Linse, K</t>
  </si>
  <si>
    <t>Zwirglmaier, Katrin; Reid, William D. K.; Heywood, Jane; Sweeting, Christopher J.; Wigham, Benjamin D.; Polunin, Nicholas V. C.; Hawkes, Jeff A.; Connelly, Douglas P.; Pearce, David; Linse, Katrin</t>
  </si>
  <si>
    <t>Linking regional variation of epibiotic bacterial diversity and trophic ecology in a new species of Kiwaidae (Decapoda, Anomura) from East Scotia Ridge (Antarctica) hydrothermal vents</t>
  </si>
  <si>
    <t>MICROBIOLOGYOPEN</t>
  </si>
  <si>
    <t>East Scotia Ridge; epibionts; hydrothermal vent; Kiwa sp.; microbial diversity; stable isotopes</t>
  </si>
  <si>
    <t>SHRIMP RIMICARIS-EXOCULATA; TRICARBOXYLIC-ACID CYCLE; DEEP-SEA; MICROBIAL COMMUNITIES; CARBON FIXATION; YETI CRAB; EPSILONPROTEOBACTERIA; PROTEOBACTERIA; FIELD; ENVIRONMENTS</t>
  </si>
  <si>
    <t>We analyzed the diversity of bacterial epibionts and trophic ecology of a new species of Kiwa yeti crab discovered at two hydrothermal vent fields (E2 and E9) on the East Scotia Ridge (ESR) in the Southern Ocean using a combination of 454 pyrosequencing, Sanger sequencing, and stable isotope analysis. The Kiwa epibiont communities were dominated by Epsilon- and Gammaproteobacteria. About 454 sequencing of the epibionts on 15 individual Kiwa specimen revealed large regional differences between the two hydrothermal vent fields: at E2, the bacterial community on the Kiwa ventral setae was dominated (up to 75%) by Gammaproteobacteria, whereas at E9 Epsilonproteobacteria dominated (up to 98%). Carbon stable isotope analysis of both Kiwa and the bacterial epibionts also showed distinct differences between E2 and E9 in mean and variability. Both stable isotope and sequence data suggest a dominance of different carbon fixation pathways of the epibiont communities at the two vent fields. At E2, epibionts were putatively fixing carbon via the Calvin-Benson-Bassham and reverse tricarboxylic acid cycle, while at E9 the reverse tricarboxylic acid cycle dominated. Co-varying epibiont diversity and isotope values at E2 and E9 also present further support for the hypothesis that epibionts serve as a food source for Kiwa.</t>
  </si>
  <si>
    <t>[Zwirglmaier, Katrin; Heywood, Jane; Pearce, David; Linse, Katrin] British Antarctic Survey, Cambridge CB3 0ET, England; [Reid, William D. K.; Sweeting, Christopher J.; Polunin, Nicholas V. C.] Newcastle Univ, Sch Marine Sci &amp; Technol, Newcastle Upon Tyne NE1 7RU, Tyne &amp; Wear, England; [Wigham, Benjamin D.] Newcastle Univ, Sch Marine Sci &amp; Technol, Dove Marine Lab, Cullercoats NE30 4PZ, England; [Hawkes, Jeff A.; Connelly, Douglas P.] Natl Oceanog Ctr, Southampton SO14 3ZH, Hants, England; [Pearce, David] Northumbria Univ, Fac Hlth &amp; Life Sci, Newcastle Upon Tyne NE1 8ST, Tyne &amp; Wear, England; [Pearce, David] Univ Ctr Svalbard, N-9171 Longyearbyen, Norway</t>
  </si>
  <si>
    <t>UK Research &amp; Innovation (UKRI); Natural Environment Research Council (NERC); NERC British Antarctic Survey; Newcastle University - UK; Newcastle University - UK; NERC National Oceanography Centre; Northumbria University; University Centre Svalbard (UNIS)</t>
  </si>
  <si>
    <t>Zwirglmaier, K (corresponding author), British Antarctic Survey, High Cross,Madingley Rd, Cambridge CB3 0ET, England.</t>
  </si>
  <si>
    <t>katrin.zwirglmaier@tum.de</t>
  </si>
  <si>
    <t>Zwirglmaier, Katrin/H-9799-2014; Reid, William/J-8528-2013</t>
  </si>
  <si>
    <t>Zwirglmaier, Katrin/0000-0001-8598-9572; Polunin, Nick/0000-0002-1480-8794; Heywood, Jane/0000-0001-8292-7704; Linse, Katrin/0000-0003-3477-3047; Reid, William/0000-0003-0190-0425; Wigham, Ben/0000-0001-8408-5600; Pearce, David/0000-0001-5292-4596</t>
  </si>
  <si>
    <t>NERC through the ChEsSO - Chemosynthetically driven ecosystems south of the Polar Front: Biogeography and Ecology Consortium grant [NE/D01249x/1]; Natural Environment Research Council [bas0100026, NE/D010470/2, noc010011, bas0100025, NE/D01249X/1] Funding Source: researchfish; NERC [NE/D01249X/1, bas0100026, NE/D010470/2, noc010011, bas0100025] Funding Source: UKRI</t>
  </si>
  <si>
    <t>NERC through the ChEsSO - Chemosynthetically driven ecosystems south of the Polar Front: Biogeography and Ecology Consortium grant; Natural Environment Research Council(UK Research &amp; Innovation (UKRI)Natural Environment Research Council (NERC)); NERC(UK Research &amp; Innovation (UKRI)Natural Environment Research Council (NERC))</t>
  </si>
  <si>
    <t>NERC funded the study through the ChEsSO - Chemosynthetically driven ecosystems south of the Polar Front: Biogeography and Ecology Consortium grant (grant number NE/D01249x/1, consortium PI: Prof. Paul Tyler), sample analysis through Life Sciences Mass Spectrometry Facilities Grant LSMSFBRIS043_04/10_R_09/10 and studentships NE/F010664/1 (W. D. K. R.) and NE/H524922 (J. A. H.).</t>
  </si>
  <si>
    <t>2045-8827</t>
  </si>
  <si>
    <t>MicrobiologyOpen</t>
  </si>
  <si>
    <t>10.1002/mbo3.227</t>
  </si>
  <si>
    <t>CB7PA</t>
  </si>
  <si>
    <t>WOS:000349818600010</t>
  </si>
  <si>
    <t>Yu, YB; Wu, XF; Huang, YF; Coward, DM; Stratta, G; Gendre, B; Howell, EJ</t>
  </si>
  <si>
    <t>Yu, Y. B.; Wu, X. F.; Huang, Y. F.; Coward, D. M.; Stratta, G.; Gendre, B.; Howell, E. J.</t>
  </si>
  <si>
    <t>Fall back accretion and energy injections in gamma-ray bursts</t>
  </si>
  <si>
    <t>radiation mechanisms: non-thermal; ISM: jets and outflows</t>
  </si>
  <si>
    <t>LIGHT CURVES; BLACK-HOLE; DYNAMICAL MODEL; CENTRAL ENGINE; AFTERGLOW; EVOLUTION; LONG; JETS; BINARIES; REBRIGHTENINGS</t>
  </si>
  <si>
    <t>Intense flares that occur at late times relative to the prompt phase have been observed by the Swift satellite in the X-ray afterglows of gamma-ray bursts (GRBs). Here, we present a detailed analysis on the fall back accretion process to explain the intense flare phase in the very early X-ray afterglow light curves. To reproduce the afterglow at late times, we resort to the external shock by engaging energy injections. By applying our model to GRBs 080810, 081028 and 091029, we show that their X-ray afterglow light curves can be reproduced well. We then apply our model to the ultralong Swift GRB 111209A, which is the longest burst ever observed. The very early X-ray afterglow of GRB 111209A showed many interesting features, such as a significant bump observed at around 2000 s after the Swift/BAT trigger. We assume two constant energy injection processes in our model. These can explain the observed plateau at X-ray wavelength in the relatively early stage (8.0 x 10(3) s) and a second X-ray plateau and optical rebrightening at about 10(5) s. Our analysis supports the scenario that a significant amount of material may fall back towards the central engine after the prompt phase, causing an enhanced and long-lived mass accretion rate powering a Poynting-flux-dominated outflow.</t>
  </si>
  <si>
    <t>[Yu, Y. B.; Huang, Y. F.] Nanjing Univ, Dept Astron, Nanjing 210093, Jiangsu, Peoples R China; [Yu, Y. B.; Coward, D. M.; Howell, E. J.] Univ Western Australia, Sch Phys, Crawley, WA 6009, Australia; [Wu, X. F.] Chinese Acad Sci, Purple Mt Observ, Nanjing 210008, Peoples R China; [Wu, X. F.] Chinese Acad Sci, Joint Ctr Particle Nucl Phys &amp; Cosmol Purple Mt O, Nanjing 210008, Peoples R China; [Wu, X. F.] Chinese Acad Sci, Chinese Ctr Antarctic Astron, Nanjing 210008, Peoples R China; [Huang, Y. F.] Nanjing Univ, Minist Educ, Key Lab Modern Astron &amp; Astrophys, Nanjing 210093, Jiangsu, Peoples R China; [Stratta, G.] Univ Urbino Carlo Bo, Dipartimento Sci Base &amp; Fondamenti, I-61029 Urbino, Italy; [Gendre, B.] Observ Cote Azur, ARTEMIS, F-06304 Nice 4, France</t>
  </si>
  <si>
    <t>Nanjing University; University of Western Australia; Chinese Academy of Sciences; Nanjing Institute of Astronomical Optics &amp; Technology, NAOC, CAS; Purple Mountain Observatory, CAS; Purple Mountain Observatory, CAS; Chinese Academy of Sciences; Chinese Academy of Sciences; Nanjing University; University of Urbino; Universite Cote d'Azur; Observatoire de la Cote d'Azur</t>
  </si>
  <si>
    <t>Yu, YB (corresponding author), Nanjing Univ, Dept Astron, Nanjing 210093, Jiangsu, Peoples R China.</t>
  </si>
  <si>
    <t>xfwu@pmo.ac.cn; hyf@nju.edu.cn; david.coward@uwa.edu.au</t>
  </si>
  <si>
    <t>Stratta, Maria Giuliana/L-3045-2016; Huang, Y.F./G-7274-2015; Howell, Eric/H-5072-2014; Wu, Xuefeng/G-5316-2015; Gendre, Bruce/O-2923-2013</t>
  </si>
  <si>
    <t>Stratta, Maria Giuliana/0000-0003-1055-7980; Coward, David/0000-0002-7795-9354; Howell, Eric/0000-0001-7891-2817; Wu, Xuefeng/0000-0002-6299-1263; Gendre, Bruce/0000-0002-9077-2025</t>
  </si>
  <si>
    <t>National Basic Research Program of China (973 Program) [2014CB845800]; National Natural Science Foundation of China [11473012, 11033002, 11322328, J1210039]; One-Hundred-Talent Program; Youth Innovation Promotion Association; Strategic Priority Research Program 'The Emergence of Cosmological Structures' of Chinese Academy of Sciences [XDB09000000]; Australian Research Council Future Fellowship; UWA Research Fellowship</t>
  </si>
  <si>
    <t>National Basic Research Program of China (973 Program)(National Basic Research Program of China); National Natural Science Foundation of China(National Natural Science Foundation of China (NSFC)); One-Hundred-Talent Program(Chinese Academy of Sciences); Youth Innovation Promotion Association; Strategic Priority Research Program 'The Emergence of Cosmological Structures' of Chinese Academy of Sciences; Australian Research Council Future Fellowship(Australian Research Council); UWA Research Fellowship</t>
  </si>
  <si>
    <t>This work was supported by the National Basic Research Program of China (973 Program, Grant No. 2014CB845800) and the National Natural Science Foundation of China (Grant Nos. 11473012, 11033002, 11322328 and J1210039). XFW acknowledges support by the One-Hundred-Talent Program, the Youth Innovation Promotion Association, and the Strategic Priority Research Program 'The Emergence of Cosmological Structures' (Grant No. XDB09000000) of Chinese Academy of Sciences. DMC is supported by an Australian Research Council Future Fellowship. EJH acknowledges support from a UWA Research Fellowship.</t>
  </si>
  <si>
    <t>10.1093/mnras/stu2336</t>
  </si>
  <si>
    <t>CC3TH</t>
  </si>
  <si>
    <t>WOS:000350272400031</t>
  </si>
  <si>
    <t>Hood, E; Battin, TJ; Fellman, J; O'Neel, S; Spencer, RGM</t>
  </si>
  <si>
    <t>Hood, Eran; Battin, Tom J.; Fellman, Jason; O'Neel, Shad; Spencer, Robert G. M.</t>
  </si>
  <si>
    <t>Storage and release of organic carbon from glaciers and ice sheets</t>
  </si>
  <si>
    <t>SEA-LEVEL RISE; ANCIENT CARBON; MASS-LOSS; MATTER; RIVER; GREENLAND; RUNOFF; ENVIRONMENTS; SEDIMENTS; EXPORT</t>
  </si>
  <si>
    <t>Polar ice sheets and mountain glaciers, which cover roughly 11% of the Earth's land surface, store organic carbon from local and distant sources and then release it to downstream environments. Climate-driven changes to glacier runoff are expected to be larger than climate impacts on other components of the hydrological cycle, and may represent an important flux of organic carbon. A compilation of published data on dissolved organic carbon from glaciers across five continents reveals that mountain and polar glaciers represent a quantitatively important store of organic carbon. The Antarctic Ice Sheet is the repository of most of the roughly 6 petagrams (Pg) of organic carbon stored in glacier ice, but the annual release of glacier organic carbon is dominated by mountain glaciers in the case of dissolved organic carbon and the Greenland Ice Sheet in the case of particulate organic carbon. Climate change contributes to these fluxes: approximately 13% of the annual flux of glacier dissolved organic carbon is a result of glacier mass loss. These losses are expected to accelerate, leading to a cumulative loss of roughly 15 teragrams (Tg) of glacial dissolved organic carbon by 2050 due to climate change - equivalent to about half of the annual flux of dissolved organic carbon from the Amazon River. Thus, glaciers constitute a key link between terrestrial and aquatic carbon fluxes, and will be of increasing importance in land-to-ocean fluxes of organic carbon in glacierized regions.</t>
  </si>
  <si>
    <t>[Hood, Eran; Fellman, Jason] Univ Alaska Southeast, Environm Sci &amp; Geog Program, Juneau, AK 99801 USA; [Battin, Tom J.] Ecole Polytech Fed Lausanne, Sch Architecture Civil &amp; Environm Engn, Stream Biofilm &amp; Ecosyst Res Lab, CH-1015 Lausanne, Switzerland; [O'Neel, Shad] US Geol Survey, Alaska Sci Ctr, Anchorage, AK 99508 USA; [Spencer, Robert G. M.] Florida State Univ, Dept Earth Ocean &amp; Atmospher Sci, Tallahassee, FL 32306 USA</t>
  </si>
  <si>
    <t>University of Alaska System; University of Alaska Southeastern; Swiss Federal Institutes of Technology Domain; Ecole Polytechnique Federale de Lausanne; United States Department of the Interior; United States Geological Survey; State University System of Florida; Florida State University</t>
  </si>
  <si>
    <t>Hood, E (corresponding author), Univ Alaska Southeast, Environm Sci &amp; Geog Program, Juneau, AK 99801 USA.</t>
  </si>
  <si>
    <t>eran.hood@uas.alaska.edu</t>
  </si>
  <si>
    <t>NSF [OIA-1208927, EAR-0943599, DEB-1145885/1145932]; DOI Alaska Climate Science Center; FWF START [Y420-B17]; Austrian Science Fund (FWF) [Y 420] Funding Source: researchfish; Division Of Environmental Biology; Direct For Biological Sciences [1146161, 1145932] Funding Source: National Science Foundation; Office of Integrative Activities; Office Of The Director [1208927] Funding Source: National Science Foundation</t>
  </si>
  <si>
    <t>NSF(National Science Foundation (NSF)); DOI Alaska Climate Science Center; FWF START; Austrian Science Fund (FWF)(Austrian Science Fund (FWF)); Division Of Environmental Biology; Direct For Biological Sciences(National Science Foundation (NSF)NSF - Directorate for Biological Sciences (BIO)); Office of Integrative Activities; Office Of The Director(National Science Foundation (NSF)NSF - Office of the Director (OD)NSF - Office of Integrative Activities (OIA))</t>
  </si>
  <si>
    <t>M. Sharp, B. Sattler, A. Dubnick, M. Schwikowski, D. Wagenbach and H. Hoffmann shared unpublished glacier organic carbon data. U. Federer provided TOC data from the Talos Dome ice core. K. Timm produced Fig. 1 and Box 1. M. Gooseff and R. Hood provided photos for Fig. 1. Our work in this area is supported by NSF (OIA-1208927, EAR-0943599) and the DOI Alaska Climate Science Center to E.H. and S.O., FWF START Y420-B17 to T.J.B, and NSF (DEB-1145885/1145932) to E.H., J.B.F., and R.G.M.S.</t>
  </si>
  <si>
    <t>10.1038/NGEO2331</t>
  </si>
  <si>
    <t>CB0YS</t>
  </si>
  <si>
    <t>WOS:000349354200009</t>
  </si>
  <si>
    <t>Barthélemy, A; Fichefet, T; Goosse, H; Madec, G</t>
  </si>
  <si>
    <t>Barthelemy, Antoine; Fichefet, Thierry; Goosse, Hugues; Madec, Gurvan</t>
  </si>
  <si>
    <t>Modeling the interplay between sea ice formation and the oceanic mixed layer: Limitations of simple brine rejection parameterizations</t>
  </si>
  <si>
    <t>Model; Brine rejection; Parameterization; Ocean mixed layer; Arctic; Antarctic</t>
  </si>
  <si>
    <t>HALINE CONVECTION; NUMERICAL-MODEL; CLIMATE MODEL; ARCTIC-OCEAN; LEADS; IMPACT; CIRCULATION; SIMULATIONS; STRATIFICATION; REPRESENTATION</t>
  </si>
  <si>
    <t>The subtle interplay between sea ice formation and ocean vertical mixing is hardly represented in current large-scale models designed for climate studies. Convective mixing caused by the brine release when ice forms is likely to prevail in leads and thin ice areas, while it occurs in models at the much larger horizontal grid cell scale. Subgrid-scale parameterizations have hence been developed to mimic the effects of small-scale convection using a vertical distribution of the salt rejected by sea ice within the mixed layer, instead of releasing it in the top ocean layer. Such a brine rejection parameterization is included in the global ocean-sea ice model NEMO-LIM3. Impacts on the simulated mixed layers and ocean temperature and salinity profiles, along with feedbacks on the sea ice cover, are then investigated in both hemispheres. The changes are overall relatively weak, except for mixed layer depths, which are in general excessively reduced compared to observation-based estimates. While potential model biases prevent a definitive attribution of this vertical mixing underestimation to the brine rejection parameterization, it is unlikely that the latter can be applied in all conditions. In that case, salt rejections do not play any role in mixed layer deepening, which is unrealistic. Applying the parameterization only for low ice-ocean relative velocities improves model results, but introduces additional parameters that are not well constrained by observations. (C) 2015 Elsevier Ltd. All rights reserved.</t>
  </si>
  <si>
    <t>[Barthelemy, Antoine; Fichefet, Thierry; Goosse, Hugues] Catholic Univ Louvain, Earth &amp; Life Inst, Georges Lemaitre Ctr Earth &amp; Climate Res TECLIM, Louvain, Belgium; [Madec, Gurvan] Lab Oceanog &amp; Climat Expt &amp; Approches Numer, Paris, France; [Madec, Gurvan] Natl Oceanog Ctr, Southampton, Hants, England</t>
  </si>
  <si>
    <t>Universite Catholique Louvain; Sorbonne Universite; Museum National d'Histoire Naturelle (MNHN); NERC National Oceanography Centre</t>
  </si>
  <si>
    <t>Barthélemy, A (corresponding author), Georges Lemaitre Ctr Earth &amp; Climate Res, Pl Louis Pasteur 3,Box L4-03-08, B-1348 Louvain, Belgium.</t>
  </si>
  <si>
    <t>antoine.barthelemy@uclouvain.be; thierry.fichefet@uclouvain.be; hugues.goosse@uclouvain.be; gm@locean-ipsl.upmc.fr</t>
  </si>
  <si>
    <t>madec, gurvan/E-7825-2010</t>
  </si>
  <si>
    <t>madec, gurvan/0000-0002-6447-4198</t>
  </si>
  <si>
    <t>F.R.S.-FNRS/Belgium [2.5020.11]; Natural Environment Research Council [noc010010] Funding Source: researchfish; NERC [noc010010] Funding Source: UKRI</t>
  </si>
  <si>
    <t>F.R.S.-FNRS/Belgium(Fonds de la Recherche Scientifique - FNRS); Natural Environment Research Council(UK Research &amp; Innovation (UKRI)Natural Environment Research Council (NERC)); NERC(UK Research &amp; Innovation (UKRI)Natural Environment Research Council (NERC))</t>
  </si>
  <si>
    <t>We thank two anonymous reviewers for their valuable comments on the original manuscript. A. Barthelemy and H. Goosse are Research Assistant and Senior Research Associate with the Fonds National de la Recherche Scientifique (F.R.S.-FNRS/Belgium), respectively. We are grateful to F. Roquet and S. Schmidtko for making the MEOP-CTD database and the MIMOC climatology readily available. Computational resources have been provided by the supercomputing facilities of the Universite catholique de Louvain (CISM/UCL) and the Consortium des Equipements de Calcul Intensif en Federation Wallonie Bruxelles (CECI) funded by the F.R.S.-FNRS/Belgium under convention 2.5020.11.</t>
  </si>
  <si>
    <t>10.1016/j.ocemod.2014.12.009</t>
  </si>
  <si>
    <t>WOS:000349695700009</t>
  </si>
  <si>
    <t>Ronge, TA; Steph, S; Tiedemann, R; Prange, M; Merkel, U; Nürnberg, D; Kuhn, G</t>
  </si>
  <si>
    <t>Ronge, Thomas A.; Steph, Silke; Tiedemann, Ralf; Prange, Matthias; Merkel, Ute; Nuernberg, Dirk; Kuhn, Gerhard</t>
  </si>
  <si>
    <t>Pushing the boundaries: Glacial/interglacial variability of intermediate and deep waters in the southwest Pacific over the last 350,000 years</t>
  </si>
  <si>
    <t>AAIW; UCDW; SW-Pacific; stable isotopes</t>
  </si>
  <si>
    <t>ATMOSPHERIC CO2 CONCENTRATIONS; SEA-SURFACE TEMPERATURES; SOUTHERN-OCEAN; NEW-ZEALAND; BENTHIC FORAMINIFERA; CLIMATE VARIABILITY; GLACIAL MAXIMUM; CHRONOLOGY AICC2012; MASS CONVERSION; NORTH-ATLANTIC</t>
  </si>
  <si>
    <t>Glacial/interglacial changes in Southern Ocean's air-sea gas exchange have been considered as important mechanisms contributing to the glacial/interglacial variability in atmospheric CO2. Hence, understanding past variability in Southern Ocean intermediate to deep water chemistry and circulation is fundamental to constrain the role of these processes on modulating glacial/interglacial changes in the global carbon cycle. Our study focused on the glacial/interglacial variability in the vertical extent of southwest Pacific Antarctic Intermediate Water (AAIW). We compared carbon and oxygen isotope records from epibenthic foraminifera of sediment cores bathed in modern AAIW and Upper Circumpolar Deep Water (UCDW; 943-2066 m water depth) to monitor changes in water mass circulation spanning the past 350,000 years. We propose that pronounced freshwater input by melting sea ice into the glacial AAIW significantly hampered the downward expansion of southwest Pacific AAIW, consistent with climate model results for the Last Glacial Maximum. This process led to a pronounced upward displacement of the AAIW-UCDW interface during colder climate conditions and therefore to an expansion of the glacial carbon pool.</t>
  </si>
  <si>
    <t>[Ronge, Thomas A.; Steph, Silke; Tiedemann, Ralf; Kuhn, Gerhard] Helmholtz Ctr Polar &amp; Marine Res, Alfred Wegener Inst, Bremerhaven, Germany; [Prange, Matthias; Merkel, Ute] Univ Bremen, MARUM, D-28359 Bremen, Germany; [Prange, Matthias; Merkel, Ute] Univ Bremen, Geosci Dept, D-28359 Bremen, Germany; [Nuernberg, Dirk] GEOMAR Helmholtz Ctr Ocean Res, Kiel, Germany</t>
  </si>
  <si>
    <t>Helmholtz Association; Alfred Wegener Institute, Helmholtz Centre for Polar &amp; Marine Research; University of Bremen; University of Bremen; Helmholtz Association; GEOMAR Helmholtz Center for Ocean Research Kiel</t>
  </si>
  <si>
    <t>Ronge, TA (corresponding author), Helmholtz Ctr Polar &amp; Marine Res, Alfred Wegener Inst, Bremerhaven, Germany.</t>
  </si>
  <si>
    <t>Thomas.Ronge@awi.de</t>
  </si>
  <si>
    <t>Prange, Matthias/0000-0001-5874-756X; Kuhn, Gerhard/0000-0001-6069-7485; Tiedemann, Ralf/0000-0001-7211-8049; Ronge, Thomas/0000-0003-2625-719X</t>
  </si>
  <si>
    <t>Federal Ministry of Education and Research (BMBF; Germany) [03G0213A-SOPATRA]; Alfred Wegener Institute, Helmholtz Centre for Polar and Marine Research</t>
  </si>
  <si>
    <t>Federal Ministry of Education and Research (BMBF; Germany)(Federal Ministry of Education &amp; Research (BMBF)); Alfred Wegener Institute, Helmholtz Centre for Polar and Marine Research(Helmholtz Association)</t>
  </si>
  <si>
    <t>This work was funded by the Federal Ministry of Education and Research (BMBF; Germany) project 03G0213A-SOPATRA and the Alfred Wegener Institute, Helmholtz Centre for Polar and Marine Research. We thank captains, crews, and scientific parties of R/V Sonne cruise SO213/2 and R/V Marion Dufresne cruise MD152 for their support during sample collection; K. Pahnke and A. Sturm for data; A. Mackensen and J. Wollenburg for discussion; R. Frohlking, N. Lensch, G. Meyer, L. Ritzenhoven. L. Schonborn, M. Seebeck, R. Sieger, and S. Wiebe for technical support. Special thanks goes to H. Bostock, R. Zahn, and C. Charles, for their constructive comments that helped to improve the final version of this manuscript. Data are accessible at http://doi.pangaea.de/10.1594/PANGAEA.835498.</t>
  </si>
  <si>
    <t>10.1002/2014PA002727</t>
  </si>
  <si>
    <t>Green Accepted, Green Published, Bronze, Green Submitted</t>
  </si>
  <si>
    <t>WOS:000351469300001</t>
  </si>
  <si>
    <t>Romero, OE; Kim, JH; Bárcena, MA; Hall, IR; Zahn, R; Schneider, R</t>
  </si>
  <si>
    <t>Romero, O. E.; Kim, J. -H.; Barcena, M. A.; Hall, I. R.; Zahn, R.; Schneider, R.</t>
  </si>
  <si>
    <t>High-latitude forcing of diatom productivity in the southern Agulhas Plateau during the past 350kyr</t>
  </si>
  <si>
    <t>Agulhas; SST; diatoms; fronts; silica; Southern Ocean</t>
  </si>
  <si>
    <t>OCEAN SURFACE SEDIMENTS; ATLANTIC SECTOR; INDIAN SECTOR; CIRCULATION; CARBON; BIOGEOGRAPHY; VARIABILITY; FRONTS; TAXA; PHYTOPLANKTON</t>
  </si>
  <si>
    <t>The hydrography of the Indian-Atlantic Ocean gateway has been connected to high-latitude climate dynamics by oceanic and atmospheric teleconnections on orbital and suborbital timescales. A wealth of sedimentary records aiming at reconstructing the late Pleistocene paleoceanography around the southern African continent has been devoted to understanding these linkages. Most of the records are, however, clustered close to the southern South African tip, with comparatively less attention devoted to areas under the direct influence of frontal zones of the Southern Ocean/South Atlantic. Here we present data of the composition and concentration of the diatom assemblage together with bulk biogenic content and the alkenone-based sea surface temperature (SST) variations for the past 350kyr in the marine sediment core MD02-2588 (approximately 41 degrees S, 26 degrees E) recovered from the southern Agulhas Plateau. Variations in biosiliceous productivity show a varying degree of coupling with Southern Hemisphere paleoclimate records following a glacial-interglacial cyclicity. Ecologically well-constrained groups of diatoms record the glacial-interglacial changes in water masses dynamics, nutrient availability, and stratification of the upper ocean. The good match between the glacial maxima of total diatoms concentration, Chaetoceros spores abundance, and opal content with the maximum seasonal cover of Antarctic ice and the atmospheric dust records points to a dominant Southern Hemisphere forcing of diatom production. Suborbital variability of SST suggests rapid latitudinal migrations of the Subtropical Front and associated water masses over the southern Agulhas Plateau, following millennial contractions and expansions of the subtropical gyres. Warmings of the upper ocean over site MD02-2588 during terminations IV to I occurred earlier than that in the Antarctic Vostok, which is indicative of a Northern Hemisphere lead. Our multiparameter reconstruction highlights how high-latitude atmospheric and hydrographic processes modulated orbital highs and lows in primary production and SST as triggered by northward transport of Si, eolian dust input, and latitudinal migrations of frontal zones.</t>
  </si>
  <si>
    <t>[Romero, O. E.] Univ Bremen, MARUM Ctr Marine Environm Sci, D-28359 Bremen, Germany; [Kim, J. -H.] Royal Netherlands Inst Sea Res, Den Burg, Netherlands; [Barcena, M. A.] Univ Salamanca, Dept Geol, Fac Sci, Paleontol, E-37008 Salamanca, Spain; [Hall, I. R.] Cardiff Univ Coll, Sch Earth &amp; Ocean Sci, Cardiff, S Glam, Wales; [Zahn, R.] Univ Autonoma Barcelona, Dept Fis, Inst Ciencia &amp; Tecnol Ambientals, Inst Catalana Recerca &amp; Estudis Avancats, E-08193 Barcelona, Spain; [Schneider, R.] Univ Kiel, Inst Geowissensch, Kiel, Germany</t>
  </si>
  <si>
    <t>University of Bremen; Utrecht University; Royal Netherlands Institute for Sea Research (NIOZ); University of Salamanca; Cardiff University; Autonomous University of Barcelona; ICREA; University of Kiel</t>
  </si>
  <si>
    <t>Romero, OE (corresponding author), Univ Bremen, MARUM Ctr Marine Environm Sci, D-28359 Bremen, Germany.</t>
  </si>
  <si>
    <t>Barcena, María Angeles/D-5839-2011; Hall, Ian/C-2755-2009</t>
  </si>
  <si>
    <t>Barcena, María Angeles/0000-0001-8261-2286; Hall, Ian/0000-0001-6960-1419</t>
  </si>
  <si>
    <t>Deutsche Forschungsgemeinschaft (OER); UK Natural Environment Research Council (NERC) [238512]; European Research Council under the European Union/ERC [226600]; ICREA Funding Source: Custom</t>
  </si>
  <si>
    <t>Deutsche Forschungsgemeinschaft (OER)(German Research Foundation (DFG)); UK Natural Environment Research Council (NERC)(UK Research &amp; Innovation (UKRI)Natural Environment Research Council (NERC)); European Research Council under the European Union/ERC(European Research Council (ERC)); ICREA(ICREA)</t>
  </si>
  <si>
    <t>We thank the officers and crew of the RV Marion Dufresne for their technical support enabling the recovery of MD02-2588. M. Klann (MARUM, Bremen, Germany) is acknowledged for the opal measurements. This work was partially funded by the Deutsche Forschungsgemeinschaft (OER), the UK Natural Environment Research Council (NERC and the Seventh Framework Programme PEOPLE Work Programme grant 238512 (Marie Curie Initial Training Network GATEWAYS)). J.-H.K. acknowledges that in part the research leading to these results has received funding from the European Research Council under the European Union's Seventh Framework Programme (FP7/2007-2013)/ERC grant agreement (226600). Comments and suggestions by two anonymous reviewers greatly improved a first version of this work. Data are available in the database www.pangaea.de.</t>
  </si>
  <si>
    <t>10.1002/2014PA002636</t>
  </si>
  <si>
    <t>WOS:000351469300006</t>
  </si>
  <si>
    <t>Mieczan, T; Adamczuk, M</t>
  </si>
  <si>
    <t>Mieczan, Tomasz; Adamczuk, Magorzata</t>
  </si>
  <si>
    <t>Ecology of testate amoebae (Protists) in mosses: distribution and relation of species assemblages with environmental parameters (King George Island, Antarctica)</t>
  </si>
  <si>
    <t>Testate amoebae; Distribution; Mosses; Antarctica</t>
  </si>
  <si>
    <t>MODELING HYDROLOGICAL RELATIONSHIPS; SPHAGNUM-DOMINATED PEATLANDS; DWELLING TESTACEAN FAUNA; MICROBIAL COMMUNITIES; SOUTHERN FINLAND; PROTOZOA; RHIZOPODA; MIRES</t>
  </si>
  <si>
    <t>Microbial communities living in mosses are known to constitute early indicators of ecosystem disturbances, but little is known about their response to environmental factors in the Antarctic area. This paper presents the first major study on testate amoebae from different species of mosses occurring on King George Island (Antarctica). The objective of the study was to investigate the structure and spatial distribution of moss-dwelling testate amoebae communities and to identify the environmental factors determining the structure of their assemblages. Additionally, we compared moss-dwelling testate amoebae communities on King George Island with other isolated islands of the Antarctic. Samples were collected from different species of mosses (Polytrichastrum alpinum, Sanionia georgico-uncinata, Sanionia uncinata, and Brachythecium austrosalebrosum). Sampling was carried out three times from 17 January to 24 February 2012. The species richness and abundance of protozoa differed significantly between the stations studied with the lowest count found in Polytrichastrum and the highest in Sanionia. The total population of testate amoebae was dominated by small taxa recognised as cosmopolitan, also recorded on other islands of the maritime Antarctic. The RDA analysis showed that all variables together accounted for 84.5 % of the total variance. However, variables that significantly explained the variance in testate amoebae communities were moisture, temperature, pH, and dissolved oxygen. Further research is required to explain the impact of biotic factors influencing the presence of testate amoebae, including the abundance of bacteria, microalgae, and small metazoa.</t>
  </si>
  <si>
    <t>[Mieczan, Tomasz; Adamczuk, Magorzata] Univ Life Sci, Dept Hydrobiol, PL-20262 Lublin, Poland</t>
  </si>
  <si>
    <t>Mieczan, T (corresponding author), Univ Life Sci, Dept Hydrobiol, Dobrzanskiego 37, PL-20262 Lublin, Poland.</t>
  </si>
  <si>
    <t>tomasz.mieczan@up.lublin.pl</t>
  </si>
  <si>
    <t>Adamczuk, Malgorzata/0000-0003-3599-2006; Mieczan, Tomasz/0000-0003-2839-1798</t>
  </si>
  <si>
    <t>10.1007/s00300-014-1580-0</t>
  </si>
  <si>
    <t>WOS:000348310200009</t>
  </si>
  <si>
    <t>Cotté, C; d'Ovidio, F; Dragon, AC; Guinet, C; Lévy, M</t>
  </si>
  <si>
    <t>Cotte, Cedric; d'Ovidio, Francesco; Dragon, Anne-Cecile; Guinet, Christophe; Levy, Marina</t>
  </si>
  <si>
    <t>Flexible preference of southern elephant seals for distinct mesoscale features within the Antarctic Circumpolar Current</t>
  </si>
  <si>
    <t>Top predators; Elephant seal; Ecosystem; Mesoscale; Southern ocean</t>
  </si>
  <si>
    <t>GENERALIZED ADDITIVE-MODELS; SIZE LYAPUNOV EXPONENTS; DEEP-DIVING PREDATOR; NORTH-ATLANTIC OCEAN; FORAGING BEHAVIOR; INDIAN-OCEAN; OCEANOGRAPHIC FEATURES; KERGUELEN PLATEAU; MEDITERRANEAN SEA; SPATIAL-PATTERNS</t>
  </si>
  <si>
    <t>The open ocean is a highly variable environment where marine top predators are thought to require optimized foraging strategies to locate and capture prey. Mesoscale and sub-mesoscale features are known to effect planktonic organisms but the response of top predators to these features results from behavioural choices and is poorly understood. Here, we investigated a multi-year database of at-sea distribution and behaviour of female Southern elephant seals (Mirounga leonina) to identify their preference for specific structures within the intense eddy field of the dynamic Antarctic Circumpolar Current (ACC). We distinguished two behavioural modes, i.e. travelling and intensive foraging, using state-space modelling. We employed multisatellite Lagrangian diagnostics to describe properties of (sub-)mesoscale oceanic circulation. Statistical analyses (GAMMs and Student's t-tests) revealed relationships between elephant seal behaviour and (sub-)mesoscale features during the post-moulting period (January-August): travelling along thermal fronts and intensive foraging in cold and long-lived mesoscale water patches. A Lagrangian analysis suggests that these water patches - where the prey field likely developed and concentrated - corresponded to waters which have supported the bloom during spring. In contrast, no clear preference emerged at the (sub-)mesoscale during the post-breeding period (October-December), although seals were distributed within the Chlorophyll-rich water plume detaching from the plateau. We interpret this difference in terms of a seasonal change in the prey field. Our interdisciplinary approach contributes to elucidate the foraging strategies of top predators in a complex and dynamic environment. It also brings top down insights on prey distribution in remote areas where information on mid-trophic levels are strongly lacking and it identifies important physical-biological interactions relevant for ecosystem modelling and management. (C) 2014 Elsevier Ltd. All rights reserved.</t>
  </si>
  <si>
    <t>[Cotte, Cedric; d'Ovidio, Francesco; Levy, Marina] Sorbonne Univ, Univ Paris 06, LOCEAN Lab, CNRS IRD MNHN, F-75005 Paris, France; [Dragon, Anne-Cecile; Guinet, Christophe] CNRS, Ctr Etud Biol Chize, Villiers En Bois, France</t>
  </si>
  <si>
    <t>Institut de Recherche pour le Developpement (IRD); Sorbonne Universite; Museum National d'Histoire Naturelle (MNHN); Centre National de la Recherche Scientifique (CNRS)</t>
  </si>
  <si>
    <t>Cotté, C (corresponding author), Sorbonne Univ, Univ Paris 06, LOCEAN Lab, CNRS IRD MNHN, 4 Pl Jussieu, F-75005 Paris, France.</t>
  </si>
  <si>
    <t>cedric.cotte@locean-ipsl.upmc.fr</t>
  </si>
  <si>
    <t>Cotté, Cédric/AAX-6120-2021; Guinet, Christophe/AAR-8457-2020; d'Ovidio, Francesco/ABA-8461-2021; Cotté, Cédric/Z-3243-2019; Cotte, Cedric/C-3296-2013; Levy, Marina/A-1315-2012</t>
  </si>
  <si>
    <t>Cotté, Cédric/0000-0002-8307-6435; Cotté, Cédric/0000-0002-8307-6435; Levy, Marina/0000-0003-2961-608X; d'Ovidio, Francesco/0000-0002-9664-7778</t>
  </si>
  <si>
    <t>CNES; Institut Paul Emile Victor national research program [109]; ANR [09-Blan-0365-03 REDHOTS]; CNES-OSTST project ALTIMECO; Total Foundation</t>
  </si>
  <si>
    <t>CNES(Centre National D'etudes Spatiales); Institut Paul Emile Victor national research program; ANR(Agence Nationale de la Recherche (ANR)); CNES-OSTST project ALTIMECO; Total Foundation(Total SA)</t>
  </si>
  <si>
    <t>We thank Mike Fedak and Lars Boehme for their suggestions and helpful comments on the manuscript; the Physical Oceanography Distributed Active Archive Center at the Jet Propulsion Laboratory (NASA), the Ocean Biology Processing Group (NASA) and the Collecte Localisation Satellites (Space Oceanography Division) for satellite images; the altimeter products were produced by Ssalto-Duacs and distributed by Aviso with support from the CNES. We acknowledge the four reviewers of this paper who help to substantially improve it. The elephant seal work was conducted as part of the Institut Paul Emile Victor national research program (No. 109, H. Weimerskirch and the observatory/Mammiferes Explorateurs du Milieu Oceanique/, MEMO SOERE CID 02). This work was carried out within the framework of the ANR VMC 07 IPSOS-SEAL programs and CNES-TOSCA program ('Elephants de mer oceanographes') and it is a contribution to the ANR project 09-Blan-0365-03 REDHOTS and CNES-OSTST project ALTIMECO. The authors also thank the Total Foundation for financial support. C.C. was supported by CNES.</t>
  </si>
  <si>
    <t>10.1016/j.pocean.2014.11.011</t>
  </si>
  <si>
    <t>WOS:000350540400004</t>
  </si>
  <si>
    <t>Coupel, P; Ruiz-Pino, D; Sicre, MA; Chen, JF; Lee, SH; Schiffrine, N; Li, HL; Gascard, JC</t>
  </si>
  <si>
    <t>Coupel, P.; Ruiz-Pino, D.; Sicre, M. A.; Chen, J. F.; Lee, S. H.; Schiffrine, N.; Li, H. L.; Gascard, J. C.</t>
  </si>
  <si>
    <t>The impact of freshening on phytoplankton production in the Pacific Arctic Ocean</t>
  </si>
  <si>
    <t>CHUKCHI SEA; CANADA BASIN; FOOD WEBS; ICE COVER; WATER; SHELF; OCEANOGRAPHY; NUTRIENTS; DYNAMICS; PATTERNS</t>
  </si>
  <si>
    <t>Since the 1990s, drastic melting of sea ice and continental ice in the Arctic region, triggered by global warming, has caused substantial freshening of the Arctic Ocean. While several studies attempted to quantify the magnitude of this freshening, its consequences on primary producers remain poorly documented. In this study, we evaluate the impact of the freshwater content (FWC) of the upper Arctic Ocean on phytoplankton across the Pacific sector, from the Bering Strait (65 degrees N) to the North Pole (86 degrees N), during summer 2008. We performed statistical analyses on the physical, biogeochemical and biological data acquired during the CHINARE 2008 cruise to investigate the effect of sea-ice melting on the Arctic phytoplankton. We found that the strong freshening observed in the Canada Basin had a negative impact on primary producers as a result of the deepening of the nitracline and the establishment of a subsurface chlorophyll maximum (SCM). In contrast, regions with lower freshening, such as the Chukchi shelf and the marginal ice zone (MIZ) over the Chukchi Borderland, exhibited a shallower nitracline sustaining relatively high primary production and biomass. Our results imply that the predicted increase freshening in future years will likely cause the Arctic deep basin to become more oligotrophic because of weaker surface nutrient renewal from the subsurface ocean, despite higher light penetration. (C) 2014 Elsevier Ltd. All rights reserved.</t>
  </si>
  <si>
    <t>[Coupel, P.; Schiffrine, N.] Univ Laval, Quebec Ocean, Joint Int U Laval CNRS Lab Takuvik, Dept Biol, Quebec City, PQ G1V 0A6, Canada; [Coupel, P.; Ruiz-Pino, D.; Sicre, M. A.; Gascard, J. C.] Sorbonne Univ, Univ Paris 06, CNRS, IRD,MNHN,LOCEAN Lab, F-75005 Paris, France; [Chen, J. F.; Li, H. L.] State Ocean Adm, Inst Oceanog 2, Lab Marine Ecosyst &amp; Biogeochem, Hangzhou 310012, Zhejiang, Peoples R China; [Lee, S. H.] Pusan Natl Univ, Dept Oceanog, Pusan 609735, South Korea</t>
  </si>
  <si>
    <t>Laval University; Centre National de la Recherche Scientifique (CNRS); Sorbonne Universite; Museum National d'Histoire Naturelle (MNHN); Institut de Recherche pour le Developpement (IRD); Pusan National University</t>
  </si>
  <si>
    <t>Coupel, P (corresponding author), Univ Laval, Quebec Ocean, Pavilion Alexandre Vachon,Local 2078, Quebec City, PQ G1V 0A6, Canada.</t>
  </si>
  <si>
    <t>Pierre.Coupel@takuvik.ulaval.ca</t>
  </si>
  <si>
    <t>Marie-Alexandrine, Sicre/AAR-1516-2020</t>
  </si>
  <si>
    <t>Marie-Alexandrine, Sicre/0000-0002-5015-1400</t>
  </si>
  <si>
    <t>FP7 of the European Union [226248]; European program DAMOCLES (Developing Arctic Modeling and Observing Capabilities for Longterm Environmental Studies); Chinese IPY program/National Natural Science Foundation of China [41076135]; Korea Research Foundation (KRF) grant - Korea government (MEST) [2011-0007761]</t>
  </si>
  <si>
    <t>FP7 of the European Union(European Union (EU)); European program DAMOCLES (Developing Arctic Modeling and Observing Capabilities for Longterm Environmental Studies); Chinese IPY program/National Natural Science Foundation of China; Korea Research Foundation (KRF) grant - Korea government (MEST)</t>
  </si>
  <si>
    <t>This research is a contribution to the Arctic Tipping Points (ATP) project (http://www.eu-atp.org) funded by FP7 of the European Union (contract #226248) and the European program DAMOCLES (Developing Arctic Modeling and Observing Capabilities for Longterm Environmental Studies, 2007-2010) and Chinese IPY program/National Natural Science Foundation of China (No. 41076135). Support for Lee was provided by the Korea Research Foundation (KRF) grant funded by the Korea government (MEST) (No. 2011-0007761). We express our gratitude to the captain and the crew of the Chinese icebreaker Xuelong for the opportunity to take part in the fieldwork in the Arctic Ocean. We thank Chinese Arctic and Antarctic Administration extending an invitation to French scientists from the LOCEAN laboratory (UPMC - Universite de Pierre et Marie Curie) to participate in the CHINARE cruise. We especially thank the SIOSOA (Hangzhou, China) for supporting the stay of French scientists in their laboratory and the pigment analysis (by HPLC), as well as their warm welcome and helpfulness. We are grateful to Mr. S.Q Gao, Y. Lu and Ms. H. Jin (SIO-SOA, Hangzhou, China) for their help in the nutrient analysis and sample collection, as well as professor J.P. Zhao (Ocean University China, Qingdao, China) and the Chinese and Finnish physical teams (Finnish Meteorological Institute, Helsinki) for the acquisition and transfer of the hydrological data (CTD). Philippe Lattes is warmly thanked for his help in the creation of several computer programs used to interpret the data.</t>
  </si>
  <si>
    <t>10.1016/j.pocean.2014.12.003</t>
  </si>
  <si>
    <t>WOS:000350540400008</t>
  </si>
  <si>
    <t>Ferro, D; Bakiu, R; De Pittà, C; Boldrin, F; Cattalini, F; Pucciarelli, S; Miceli, C; Santovito, G</t>
  </si>
  <si>
    <t>Ferro, Diana; Bakiu, Rigers; De Pitta, Cristiano; Boldrin, Francesco; Cattalini, Franco; Pucciarelli, Sandra; Miceli, Cristina; Santovito, Gianfranco</t>
  </si>
  <si>
    <t>Cu,Zn Superoxide Dismutases from Tetrahymena thermophila: Molecular Evolution and Gene Expression of the First Line of Antioxidant Defenses</t>
  </si>
  <si>
    <t>Tetrahymena thermophila; ciliated protozoa; Cu,Zn superoxide dismutase; metal-induced oxidative stress; copper</t>
  </si>
  <si>
    <t>INDUCIBLE-REPRESSIBLE PROMOTER; MULTIPLE SEQUENCE ALIGNMENT; CILIATE EUPLOTES-FOCARDII; METALLOTHIONEIN GENE; ANTARCTIC CILIATE; ESCHERICHIA-COLI; COPPER; FAMILY; IRON; PYRIFORMIS</t>
  </si>
  <si>
    <t>In the present study, we describe the molecular and functional characterization of two Cu, Zn superoxide dismutase (SOD) genes, named tt-sod1a and tt-sod1b from Tetrahymena thermophila, a free-living ciliated protozoan widely used as model organism in biological research. The cDNAs and the putative amino acid sequences were compared with Cu, Zn SODs from other Alveolata. The primary sequences of T. thermophila Cu, Zn SODs are unusually long if compared to orthologous proteins, but the catalytically important residues are almost fully conserved. Both phylogenetic and preliminary homology modeling analyses provide some indications about the evolutionary relationships between the Cu, Zn SODs of Tetrahymena and the Alveolata orthologous enzymes. Copper-dependent regulation of Cu, Zn SODs expression was investigated by measuring mRNA accumulation and enzyme activity in response to chronic exposure to non-toxic doses of the metal. Our in silico analyses of the tt-sod1a and tt-sod1b promoter regions revealed putative consensus sequences similar to half Antioxidant Responsive Elements (hARE), suggesting that the transcription of these genes directly depends on ROS formation. These data emphasize the importance of complex metal regulation of tt-sod1a and tt-sod1b activation, as components of an efficient detoxification pathway allowing the survival of T. thermophila in continued, elevated presence of metals in the environment. (C) 2014 Elsevier GmbH. All rights reserved.</t>
  </si>
  <si>
    <t>[Ferro, Diana; De Pitta, Cristiano; Boldrin, Francesco; Cattalini, Franco; Santovito, Gianfranco] Univ Padua, Dept Biol, I-35100 Padua, Italy; [Ferro, Diana] Univ Munster, Inst Evolut &amp; Biodivers, D-48149 Munster, Germany; [Bakiu, Rigers] Agr Univ Tirana, Dept Aquaculture &amp; Fisheries, Tirana, Albania; [Pucciarelli, Sandra; Miceli, Cristina] Univ Camerino, Sch Biosci &amp; Vet Med, I-62032 Camerino, Italy</t>
  </si>
  <si>
    <t>University of Padua; University of Munster; University of Camerino</t>
  </si>
  <si>
    <t>Santovito, G (corresponding author), Univ Padua, Dept Biol, Via U Bassi 58-B, I-35100 Padua, Italy.</t>
  </si>
  <si>
    <t>giantfranco.santovito@unipd.it</t>
  </si>
  <si>
    <t>De Pitta, Cristiano/AAY-7302-2020; Bakiu, Rigers/AFC-7827-2022; Santovito, Gianfranco/ABB-9484-2021; Ferro, Diana/HKM-9570-2023</t>
  </si>
  <si>
    <t>De Pitta, Cristiano/0000-0001-8013-8162; Bakiu, Rigers/0000-0002-9613-4606; Santovito, Gianfranco/0000-0001-8260-7006; Ferro, Diana/0000-0003-1774-7509; Pucciarelli, Sandra/0000-0003-4178-2689; Miceli, Cristina/0000-0002-7829-8471</t>
  </si>
  <si>
    <t>Ministero dell'Istruzione, dell'Universita e della Ricerca (MIUR), University of Padova [PRAT2010-CPDA102125]; Italian National Program for Antarctic Research (PNRA)</t>
  </si>
  <si>
    <t>Ministero dell'Istruzione, dell'Universita e della Ricerca (MIUR), University of Padova; Italian National Program for Antarctic Research (PNRA)</t>
  </si>
  <si>
    <t>This work was supported by Ministero dell'Istruzione, dell'Universita e della Ricerca (MIUR), University of Padova Grant PRAT2010-CPDA102125, and by the Italian National Program for Antarctic Research (PNRA).</t>
  </si>
  <si>
    <t>10.1016/j.protis.2014.12.003</t>
  </si>
  <si>
    <t>WOS:000352015800009</t>
  </si>
  <si>
    <t>Jull, AJT; Scott, EM; Bierman, P</t>
  </si>
  <si>
    <t>Jull, A. J. Timothy; Scott, E. Marian; Bierman, Paul</t>
  </si>
  <si>
    <t>The CRONUS-Earth inter-comparison for cosmogenic isotope analysis</t>
  </si>
  <si>
    <t>Cosmogenic nuclides; Intercomparison; Errors; Reference material; Consensus values</t>
  </si>
  <si>
    <t>CALIBRATION</t>
  </si>
  <si>
    <t>As part of the NSF-funded program CRONUS-Earth, a series of natural reference materials for in situ (26)AL Be-10, produced and Cl-36 were prepared and circulated to United States, Australian, and European laboratories for analysis to explore the comparability of results from the different laboratories and generate preliminary consensus values for a range of reference material. Such reference materials, which did not exist for these isotopes, assist laboratories in independently assessing quality and are useful to quantify precision and accuracy. Currently, most researchers report only internal analytical uncertainties for all results. While researchers have acknowledged the need for realistic inter-laboratory uncertainties for in situ produced cosmogenic isotopes, few previous studies have addressed this issue. Two samples (denoted A and N) were provided for Al-26, Be-10 and in situ C-14 analysis, one from the Antarctic, high in Al-26 and Be-10 and the other from Australia, lower in both Al-26 and Be-10. Both samples were prepared to quartz at the University of Vermont. For each sample, results have been summarised in terms of the mean reported concentration, standard deviation both between (inter) and within (intra) laboratories to describe inter- and intra-laboratory variability. Coefficients of variation (Coy) expressed as a percentage of the mean are also reported. For in-situ C-14, a small number of laboratories reported results, so they are summarised separately. Initial uncorrected results for Be-10 for samples A and N showed significant variation (greater than 8% coy) in results. When corrected to a common standardisation basis, the CoV was 2.9% for Be-10 measurements of sample A (high concentration) and to 4.1% for sample N (lower concentration), which is closer to typical cosmogenic samples. Al-26 measurements had greater variation; a Coy of 4.9% was achieved for sample A (high concentration) but for the lower concentration sample N, the CoV was 10.1%. (C) 2013 Elsevier B.V. All rights reserved.</t>
  </si>
  <si>
    <t>[Jull, A. J. Timothy] Univ Arizona, NSF Arizona AMS Lab, Tucson, AZ 85721 USA; [Jull, A. J. Timothy] Univ Arizona, Dept Geosci, Tucson, AZ 85721 USA; [Scott, E. Marian] Univ Glasgow, Sch Math &amp; Stat, Glasgow, Lanark, Scotland; [Bierman, Paul] Univ Vermont, Dept Geol, Burlington, VT 05405 USA; [Bierman, Paul] Univ Vermont, Rubenstein Sch Environm &amp; Nat Resources, Burlington, VT 05405 USA</t>
  </si>
  <si>
    <t>National Science Foundation (NSF); University of Arizona; University of Arizona; University of Glasgow; University of Vermont; University of Vermont</t>
  </si>
  <si>
    <t>Jull, AJT (corresponding author), Univ Arizona, Dept Geosci, Tucson, AZ 85721 USA.</t>
  </si>
  <si>
    <t>jull@email.arizona.edu</t>
  </si>
  <si>
    <t>Bierman, Paul/AAA-9466-2020</t>
  </si>
  <si>
    <t>Bierman, Paul/0000-0001-9627-4601</t>
  </si>
  <si>
    <t>US National Science Foundation [EAR0345150]</t>
  </si>
  <si>
    <t>US National Science Foundation(National Science Foundation (NSF))</t>
  </si>
  <si>
    <t>We are grateful to the reviewers and Nat Lifton for many helpful suggestions. This work was funded as part of the CRONUS_Earth program by the US National Science Foundation, grant EAR0345150.</t>
  </si>
  <si>
    <t>10.1016/j.quageo.2013.09.003</t>
  </si>
  <si>
    <t>CL0PC</t>
  </si>
  <si>
    <t>WOS:000356643600002</t>
  </si>
  <si>
    <t>Vermeesch, P; Balco, G; Blard, PH; Dunai, TJ; Kober, F; Niedermann, S; Shuster, DL; Strasky, S; Stuart, FM; Wieler, R; Zimmermann, L</t>
  </si>
  <si>
    <t>Vermeesch, Pieter; Balco, Greg; Blard, Pierre-Henri; Dunai, Tibor J.; Kober, Florian; Niedermann, Samuel; Shuster, David L.; Strasky, Stefan; Stuart, Finlay M.; Wieler, Rainer; Zimmermann, Laurent</t>
  </si>
  <si>
    <t>Interlaboratory comparison of cosmogenic 21Ne in quartz</t>
  </si>
  <si>
    <t>Ne-21; Quartz; Cosmogenic nuclides; Calibration; Standard</t>
  </si>
  <si>
    <t>TERRESTRIAL ROCKS; DRY VALLEYS; NOBLE-GAS; NEON; EROSION; HE-3; LANDSCAPE</t>
  </si>
  <si>
    <t>We performed an interlaboratory comparison study with the aim to determine the accuracy of cosmogenic Ne-21 measurements in quartz. CREU-1 is a natural quartz standard prepared from amalgamated vein clasts which were crushed, thoroughly mixed, and sieved into 125-250 mu m and 250-500 mu m size fractions. 50 aliquots of CREU-1 were analyzed by five laboratories employing six different noble gas mass spectrometers. The released gas contained a mixture of 16-30% atmospheric and 70-84% nonatmospheric (predominantly cosmogenic) Ne-21, defining a linear array on the Ne-22/Ne-20-Ne-21/Ne-20 three isotope diagram with a slope of 1.108 +/- 0.014. The internal reproducibility of the measurements is 21 in good agreement with the formal analytical precision for all participating labs. The external reproducibility of the Ne-21 concentrations between labs, however, is significantly overdispersed with respect to the reported analytical precision. We report an average reference concentration for CREU-1 of 348 +/- 10 x 10(6) at [Ne-21]/g[SiO2], and suggest that the 7.1% (2 sigma) overdispersion of our measurements may be representative of the current accuracy of cosmogenic Ne-21 in quartz. CREU-1 was tied to CRONUS-A, which is a second reference material prepared from a sample of Antarctic sandstone. We propose a reference value of 320 +/- 11 x 10(6) at/g for CRONUS-A. The CREU-1 and CRONUS-A intercalibration materials may be used to improve the consistency of cosmogenic Ne-21 to the level of the analytical precision. (C) 2012 Elsevier B.V. All rights reserved.</t>
  </si>
  <si>
    <t>[Vermeesch, Pieter; Kober, Florian; Strasky, Stefan; Wieler, Rainer] ETH, Inst Geochem &amp; Petr, Zurich, Switzerland; [Vermeesch, Pieter] UCL, London Geochronol Ctr, London WC1E 6BT, England; [Balco, Greg; Shuster, David L.] Berkeley Geochronol Ctr, Berkeley, CA USA; [Shuster, David L.] Univ Calif Berkeley, Dept Earth &amp; Planetary Sci, Berkeley, CA 94720 USA; [Blard, Pierre-Henri; Zimmermann, Laurent] Univ Lorraine, CNRS, UMR 7358, CRPG, F-54501 Vandoeuvre Les Nancy, France; [Dunai, Tibor J.] Univ Cologne, Cologne, Germany; [Niedermann, Samuel] Deutsch GeoForschungsZentrum GFZ, Potsdam, Germany; [Stuart, Finlay M.] Scottish Univ Environm Res Ctr, Glasgow, Lanark, Scotland</t>
  </si>
  <si>
    <t>Swiss Federal Institutes of Technology Domain; ETH Zurich; University of London; University College London; Berkeley Geochronolgy Center; University of California System; University of California Berkeley; Universite de Lorraine; Centre National de la Recherche Scientifique (CNRS); CNRS - National Institute for Earth Sciences &amp; Astronomy (INSU); University of Cologne; Helmholtz Association; Helmholtz-Center Potsdam GFZ German Research Center for Geosciences; Scottish Universities Research &amp; Reactor Center</t>
  </si>
  <si>
    <t>Vermeesch, P (corresponding author), UCL, London Geochronol Ctr, Gower St, London WC1E 6BT, England.</t>
  </si>
  <si>
    <t>p.vermeesch@ucl.ac.uk</t>
  </si>
  <si>
    <t>Vermeesch, Pieter/IAN-8896-2023; Stuart, Finlay M/E-7417-2010; Shuster, David L/A-4838-2011; BLARD, Pierre-Henri/ABB-9401-2021; Dunai, Tibor J/E-9558-2012</t>
  </si>
  <si>
    <t>Vermeesch, Pieter/0000-0003-3404-1209; Blard, Pierre-Henri/0000-0002-8455-8014; Dunai, Tibor Janos/0000-0001-8858-2401; Niedermann, Samuel/0000-0003-1626-5284</t>
  </si>
  <si>
    <t>CRONUS-EU (Marie Curie RTN project) [511927]</t>
  </si>
  <si>
    <t>CRONUS-EU (Marie Curie RTN project)</t>
  </si>
  <si>
    <t>This research was funded by CRONUS-EU (Marie Curie RTN project 511927). We would like to thank Mark Kurz and an anonymous reviewer for positive and constructive feedback on the submitted manuscript.</t>
  </si>
  <si>
    <t>10.1016/j.quageo.2012.11.009</t>
  </si>
  <si>
    <t>WOS:000356643600004</t>
  </si>
  <si>
    <t>Laliberté, F; Zika, J; Mudryk, L; Kushner, PJ; Kjellsson, J; Döös, K</t>
  </si>
  <si>
    <t>Laliberte, F.; Zika, J.; Mudryk, L.; Kushner, P. J.; Kjellsson, J.; Doos, K.</t>
  </si>
  <si>
    <t>Constrained work output of the moist atmospheric heat engine in a warming climate</t>
  </si>
  <si>
    <t>RADIATIVE-CONVECTIVE EQUILIBRIUM; ENTROPY BUDGET; THERMODYNAMIC PROPERTIES; GENERAL-CIRCULATION; TRANSPORT; DISSIPATION; ENERGY</t>
  </si>
  <si>
    <t>Incoming and outgoing solar radiation couple with heat exchange at Earth's surface to drive weather patterns that redistribute heat and moisture around the globe, creating an atmospheric heat engine. Here, we investigate the engine's work output using thermodynamic diagrams computed from reanalyzed observations and from a climate model simulation with anthropogenic forcing. We show that the work output is always less than that of an equivalent Carnot cycle and that it is constrained by the power necessary to maintain the hydrological cycle. In the climate simulation, the hydrological cycle increases more rapidly than the equivalent Carnot cycle. We conclude that the intensification of the hydrological cycle in warmer climates might limit the heat engine's ability to generate work.</t>
  </si>
  <si>
    <t>[Laliberte, F.; Kushner, P. J.] Univ Toronto, Dept Phys, Toronto, ON M5S 1A1, Canada; [Zika, J.] Univ Southampton, Natl Oceanog Ctr, Southampton, Hants, England; [Mudryk, L.; Kjellsson, J.] British Antarctic Survey, Cambridge CB3 0ET, England; [Doos, K.] Stockholm Univ, Dept Meteorol, S-10691 Stockholm, Sweden</t>
  </si>
  <si>
    <t>University of Toronto; University of Southampton; NERC National Oceanography Centre; UK Research &amp; Innovation (UKRI); Natural Environment Research Council (NERC); NERC British Antarctic Survey; Stockholm University</t>
  </si>
  <si>
    <t>Laliberté, F (corresponding author), Univ Toronto, Dept Phys, Toronto, ON M5S 1A1, Canada.</t>
  </si>
  <si>
    <t>frederic.laliberte@utoronto.ca</t>
  </si>
  <si>
    <t>Kushner, Paul J/H-6716-2016</t>
  </si>
  <si>
    <t>Laliberte, Frederic/0000-0001-9668-1418; Zika, Jan/0000-0003-3462-3559</t>
  </si>
  <si>
    <t>G8 Research Initiative grant ExArch: Climate analytics on distributed exascale data archives through the Natural Sciences and Engineering Research Council (NSERC); Natural Environment Research Council [NE/K012932/1, bas0100028, bas0100033] Funding Source: researchfish; NERC [NE/K012932/1, bas0100028, bas0100033] Funding Source: UKRI</t>
  </si>
  <si>
    <t>G8 Research Initiative grant ExArch: Climate analytics on distributed exascale data archives through the Natural Sciences and Engineering Research Council (NSERC); Natural Environment Research Council(UK Research &amp; Innovation (UKRI)Natural Environment Research Council (NERC)); NERC(UK Research &amp; Innovation (UKRI)Natural Environment Research Council (NERC))</t>
  </si>
  <si>
    <t>We acknowledge the Global Modeling and Assimilation Office (GMAO) and the Goddard Earth Sciences Data and Information Services Center (GES DISC) for the dissemination of MERRA data. This work was supported by the G8 Research Initiative grant ExArch: Climate analytics on distributed exascale data archives made available through the Natural Sciences and Engineering Research Council (NSERC).</t>
  </si>
  <si>
    <t>JAN 30</t>
  </si>
  <si>
    <t>10.1126/science.1257103</t>
  </si>
  <si>
    <t>CA0YK</t>
  </si>
  <si>
    <t>WOS:000348639300051</t>
  </si>
  <si>
    <t>Stewart, AL; Thompson, AF</t>
  </si>
  <si>
    <t>Stewart, Andrew L.; Thompson, Andrew F.</t>
  </si>
  <si>
    <t>Eddy-mediated transport of warm Circumpolar Deep Water across the Antarctic Shelf Break</t>
  </si>
  <si>
    <t>Antarctic slope front; Mesoscale eddies; Circumpolar Deep Water; Antarctic bottom water</t>
  </si>
  <si>
    <t>BOTTOM WATER; OCEAN; CIRCULATION; MODEL; EXCHANGE; DENSITY; SLOPE; FLUX</t>
  </si>
  <si>
    <t>The Antarctic Slope Front (ASF) modulates ventilation of the abyssal ocean via the export of dense Antarctic Bottom Water (AABW) and constrains shoreward transport of warm Circumpolar Deep Water (CDW) toward marine-terminating glaciers. Along certain stretches of the continental shelf, particularly where AABW is exported, density surfaces connect the shelf waters to the middepth Circumpolar Deep Water offshore, offering a pathway for mesoscale eddies to transport CDW directly onto the continental shelf. Using an eddy-resolving process model of the ASF, the authors show that mesoscale eddies can supply a dynamically significant transport of heat and mass across the continental shelf break. The shoreward transport of surface waters is purely wind driven, while the shoreward CDW transport is entirely due to mesoscale eddy transfer. The CDW flux is sensitive to all aspects of the model's surface forcing and geometry, suggesting that shoreward eddy heat transport may be localized to favorable sections of the continental slope.</t>
  </si>
  <si>
    <t>[Stewart, Andrew L.] Univ Calif Los Angeles, Dept Atmospher &amp; Ocean Sci, Los Angeles, CA 90089 USA; [Thompson, Andrew F.] CALTECH, Pasadena, CA 91125 USA</t>
  </si>
  <si>
    <t>University of California System; University of California Los Angeles; California Institute of Technology</t>
  </si>
  <si>
    <t>Stewart, AL (corresponding author), Univ Calif Los Angeles, Dept Atmospher &amp; Ocean Sci, Los Angeles, CA 90089 USA.</t>
  </si>
  <si>
    <t>astewart@atmos.ucla.edu</t>
  </si>
  <si>
    <t>Stewart, Andrew/0000-0001-5861-4070</t>
  </si>
  <si>
    <t>NSF [OPP-124646]; National Aeronautics and Space Administration; President's and Director's Fund Program; Directorate For Geosciences; Office of Polar Programs (OPP) [1246460] Funding Source: National Science Foundation</t>
  </si>
  <si>
    <t>NSF(National Science Foundation (NSF)); National Aeronautics and Space Administration(National Aeronautics &amp; Space Administration (NASA)); President's and Director's Fund Program; Directorate For Geosciences; Office of Polar Programs (OPP)(National Science Foundation (NSF)NSF - Directorate for Geosciences (GEO))</t>
  </si>
  <si>
    <t>A.L.S.'s and A.F.T.'s research was funded by NSF award OPP-124646, and under a contract with the National Aeronautics and Space Administration, funded through the President's and Director's Fund Program. The simulations presented herein were conducted using the CITerra computing cluster in the Division of Geological and Planetary Sciences at the California Institute of Technology, and the authors thank the CITerra technicians for facilitating this work. The data presented in this article are available from the authors on request. The authors gratefully acknowledge the modeling efforts of the MITgcm team. The authors thank Karen Assman and another anonymous reviewer for constructive comments that improved this paper.</t>
  </si>
  <si>
    <t>JAN 28</t>
  </si>
  <si>
    <t>10.1002/2014GL062281</t>
  </si>
  <si>
    <t>CB9MO</t>
  </si>
  <si>
    <t>WOS:000349956000032</t>
  </si>
  <si>
    <t>Niederberger, TD; Sohm, JA; Gunderson, TE; Parker, AE; Tirindelli, J; Capone, DG; Carpenter, EJ; Cary, SC</t>
  </si>
  <si>
    <t>Niederberger, Thomas D.; Sohm, Jill A.; Gunderson, Troy E.; Parker, Alexander E.; Tirindelli, Joelle; Capone, Douglas G.; Carpenter, Edward J.; Cary, Stephen C.</t>
  </si>
  <si>
    <t>Microbial community composition of transiently wetted Antarctic Dry Valley soils</t>
  </si>
  <si>
    <t>Dry Valley; Antarctica; microbial diversity; microbial community; hyporheic</t>
  </si>
  <si>
    <t>BACTERIAL DIVERSITY; VICTORIA LAND; SP-NOV.; FAMILY FLAVOBACTERIACEAE; TAYLOR VALLEY; BIODIVERSITY; STREAM; MATS; BIOGEOCHEMISTRY; CYANOBACTERIA</t>
  </si>
  <si>
    <t>During the summer months, wet (hyporheic) soils associated with ephemeral streams and lake edges in the Antarctic Dry Valleys (DVs) become hotspots of biological activity and are hypothesized to be an important source of carbon and nitrogen for arid DV soils. Recent research in the DV has focused on the geochemistry and microbial ecology of lakes and arid soils, with substantially less information being available on hyporheic soils. Here, we determined the unique properties of hyporheic microbial communities, resolved their relationship to environmental parameters and compared them to archetypal arid DV soils. Generally, pH increased and chlorophyll a concentrations decreased along transects from wet to arid soils (9.0 to similar to 7.0 for pH and similar to 0.8 to similar to 5 mu g/cm(3) for chlorophyll a, respectively). Soil water content decreased to below 3% in the arid soils. Community fingerprinting-based principle component analyses revealed that bacterial communities formed distinct clusters specific to arid and wet soils; however, eukaryotic communities that clustered together did not have similar soil moisture content nor did they group together based on sampling location. Collectively, rRNA pyrosequencing indicated a considerably higher abundance of Cyanobacteria in wet soils and a higher abundance of Acidobacterial, Actinobacterial, Deinococcus/Thermus, Bacteroidetes, Firmicutes, Gemmatimonadetes, Nitrospira, and Planctomycetes in arid soils. The two most significant differences at the genus level were Gillisia signatures present in arid soils and chloroplast signatures related to Streptophyta that were common in wet soils. Fungal dominance was observed in arid soils and Viridiplantae were more common in wet soils. This research represents an in-depth characterization of microbial communities inhabiting wet DV soils. Results indicate that the repeated wetting of hyporheic zones has a profound impact on the bacterial and eukaryotic communities inhabiting in these areas.</t>
  </si>
  <si>
    <t>[Niederberger, Thomas D.; Cary, Stephen C.] Univ Delaware, Coll Marine &amp; Earth Sci, Lewes, DE 19958 USA; [Sohm, Jill A.; Gunderson, Troy E.; Capone, Douglas G.] Univ So Calif, Wrigley Inst Environm Studies, Los Angeles, CA USA; [Sohm, Jill A.; Gunderson, Troy E.; Capone, Douglas G.] Univ So Calif, Dept Biol Sci, Los Angeles, CA 90089 USA; [Parker, Alexander E.; Tirindelli, Joelle; Carpenter, Edward J.] San Francisco State Univ, Romberg Tiburon Ctr Environm Studies, Tiburon, CA USA; [Cary, Stephen C.] Univ Waikato, Sch Sci, Hamilton 3240, New Zealand</t>
  </si>
  <si>
    <t>University of Delaware; University of Southern California; University of Southern California; California State University System; San Francisco State University; University of Waikato</t>
  </si>
  <si>
    <t>Cary, SC (corresponding author), Univ Waikato, Sch Sci, Private Bag 3105, Hamilton 3240, New Zealand.</t>
  </si>
  <si>
    <t>caryc@udel.edu</t>
  </si>
  <si>
    <t>Cary, Stephen/0000-0002-2876-2387</t>
  </si>
  <si>
    <t>National Science Foundation [ANT 0739633, ANT 0739640, ANT 0739648, 0944560]; Directorate For Geosciences; Office of Polar Programs (OPP) [1246373, 1246102] Funding Source: National Science Foundation; Directorate For Geosciences; Office of Polar Programs (OPP) [1246292] Funding Source: National Science Foundation</t>
  </si>
  <si>
    <t>National Science Foundation(National Science Foundation (NSF)); Directorate For Geosciences; Office of Polar Programs (OPP)(National Science Foundation (NSF)NSF - Directorate for Geosciences (GEO)); Directorate For Geosciences; Office of Polar Programs (OPP)(National Science Foundation (NSF)NSF - Directorate for Geosciences (GEO))</t>
  </si>
  <si>
    <t>We would like to thank the staff at the United States Antarctic Program, as we II as Antarctica New Zealand, and the Foundation for Research in Science and Technology, NOV Zealand, for logistical support while in the field. This research as supported by National Science Foundation Grants ANT 0739633 (to Douglas G. Capone), ANT 0739640 (to Edward J. Carpenter), and ANT 0739648 and 0944560 (to Stephen C. Cary).</t>
  </si>
  <si>
    <t>10.3389/fmicb.2015.00009</t>
  </si>
  <si>
    <t>CA7MD</t>
  </si>
  <si>
    <t>WOS:000349100500001</t>
  </si>
  <si>
    <t>Biddle, LC; Kaiser, J; Heywood, KJ; Thompson, AF; Jenkins, A</t>
  </si>
  <si>
    <t>Biddle, Louise C.; Kaiser, Jan; Heywood, Karen J.; Thompson, Andrew F.; Jenkins, Adrian</t>
  </si>
  <si>
    <t>Ocean glider observations of iceberg-enhanced biological production in the northwestern Weddell Sea</t>
  </si>
  <si>
    <t>Antarctic; Iceberg; Production; Gliders</t>
  </si>
  <si>
    <t>SOUTHERN-OCEAN; IRON; NET</t>
  </si>
  <si>
    <t>Icebergs affect local biological production around Antarctica. We used an ocean glider to observe the effects of a large iceberg that was advected by the Antarctic Slope Current along the continental slope in the northwestern Weddell Sea in early 2012. The high-resolution glider data reveal a pronounced effect of the iceberg on ocean properties, with oxygen concentrations of (134) molkg(-1) higher than levels in surrounding waters, which are most likely due to positive net community production. This response was confined to three areas of water in the direct vicinity of the iceberg track, each no larger than 2 km(2). Our findings suggest that icebergs have an impact on Antarctic production presumably through local micronutrient injections, on a scale smaller than typical satellite observations of biological production in the Southern Ocean.</t>
  </si>
  <si>
    <t>[Biddle, Louise C.; Kaiser, Jan; Heywood, Karen J.] Univ E Anglia, Sch Environm Sci, Ctr Ocean &amp; Atmospher Sci, Norwich NR4 7TJ, Norfolk, England; [Thompson, Andrew F.] CALTECH, Pasadena, CA 91125 USA; [Jenkins, Adrian] British Antarctic Survey, Cambridge CB3 0ET, England</t>
  </si>
  <si>
    <t>University of East Anglia; California Institute of Technology; UK Research &amp; Innovation (UKRI); Natural Environment Research Council (NERC); NERC British Antarctic Survey</t>
  </si>
  <si>
    <t>Biddle, LC (corresponding author), Univ E Anglia, Sch Environm Sci, Ctr Ocean &amp; Atmospher Sci, Norwich NR4 7TJ, Norfolk, England.</t>
  </si>
  <si>
    <t>louise.biddle@uea.ac.uk</t>
  </si>
  <si>
    <t>Kaiser, Jan/D-3327-2009; Jenkins, Adrian/IUN-2406-2023; Heywood, Karen/L-1757-2016</t>
  </si>
  <si>
    <t>Kaiser, Jan/0000-0002-1553-4043; Biddle, Louise/0000-0002-4785-1959; Jenkins, Adrian/0000-0002-9117-0616; Heywood, Karen/0000-0001-9859-0026</t>
  </si>
  <si>
    <t>NERC [NE/H01439X/1]; Natural Environment Research Council [bas0100033, NE/J005746/1, NE/H012532/1, bas0100028, 1210192, NE/H01439X/1] Funding Source: researchfish; NERC [bas0100028, NE/J005746/1, NE/H01439X/1, NE/H012532/1, bas0100033] Funding Source: UKRI</t>
  </si>
  <si>
    <t>NERC(UK Research &amp; Innovation (UKRI)Natural Environment Research Council (NERC)); Natural Environment Research Council(UK Research &amp; Innovation (UKRI)Natural Environment Research Council (NERC)); NERC(UK Research &amp; Innovation (UKRI)Natural Environment Research Council (NERC))</t>
  </si>
  <si>
    <t>The GENTOO project and glider deployments were supported by NERC Antarctic Funding Initiative grant NE/H01439X/1. L.C.B. was supported by a NERC PhD studentship at UEA. We thank ship crew, officers, and scientific party of cruise JR255 on board RRS James Clark Ross. The data for this paper are available from the British Oceanographic Data Centre. We thank Robert Raiswell and John Helly for constructive comments on an earlier version of this paper.</t>
  </si>
  <si>
    <t>10.1002/2014GL062850</t>
  </si>
  <si>
    <t>WOS:000349956000035</t>
  </si>
  <si>
    <t>Bereiter, B; Eggleston, S; Schmitt, J; Nehrbass-Ahles, C; Stocker, TF; Fischer, H; Kipfstuhl, S; Chappellaz, J</t>
  </si>
  <si>
    <t>Bereiter, Bernhard; Eggleston, Sarah; Schmitt, Jochen; Nehrbass-Ahles, Christoph; Stocker, Thomas F.; Fischer, Hubertus; Kipfstuhl, Sepp; Chappellaz, Jerome</t>
  </si>
  <si>
    <t>Revision of the EPICA Dome C CO2 record from 800 to 600kyr before present</t>
  </si>
  <si>
    <t>CO2; ice core; EPICA; Dome C; greenhouse gas</t>
  </si>
  <si>
    <t>ICE-CORE; ATMOSPHERIC CO2; LAST DEGLACIATION; CARBON-DIOXIDE; MIXING RATIOS; ANTARCTIC ICE; CYCLE; VARIABILITY; INCLUSIONS; SCALE</t>
  </si>
  <si>
    <t>The European Project for Ice Coring in Antarctica Dome ice core from Dome C (EDC) has allowed for the reconstruction of atmospheric CO2 concentrations for the last 800,000years. Here we revisit the oldest part of the EDC CO2 record using different air extraction methods and sections of the core. For our established cracker system, we found an analytical artifact, which increases over the deepest 200m and reaches 10.12.4ppm in the oldest/deepest part. The governing mechanism is not yet fully understood, but it is related to insufficient gas extraction in combination with ice relaxation during storage and ice structure. The corrected record presented here resolves partly - but not completely - the issue with a different correlation between CO2 and Antarctic temperatures found in this oldest part of the records. In addition, we provide here an update of 800,000years atmospheric CO2 history including recent studies covering the last glacial cycle.</t>
  </si>
  <si>
    <t>[Bereiter, Bernhard; Eggleston, Sarah; Schmitt, Jochen; Nehrbass-Ahles, Christoph; Stocker, Thomas F.; Fischer, Hubertus] Univ Bern, Inst Phys, Bern, Switzerland; [Bereiter, Bernhard; Eggleston, Sarah; Schmitt, Jochen; Nehrbass-Ahles, Christoph; Stocker, Thomas F.; Fischer, Hubertus] Univ Bern, Oeschger Ctr Climate Change Res, Bern, Switzerland; [Kipfstuhl, Sepp] Helmholtz Zentrum Polar &amp; Meeresforsch, Alfred Wegener Inst, Bremerhaven, Germany; [Chappellaz, Jerome] Univ Grenoble Alpes, CNRS, LGGE, Grenoble, France</t>
  </si>
  <si>
    <t>University of Bern; University of Bern; Helmholtz Association; Alfred Wegener Institute, Helmholtz Centre for Polar &amp; Marine Research; Communaute Universite Grenoble Alpes; Universite Grenoble Alpes (UGA); Centre National de la Recherche Scientifique (CNRS)</t>
  </si>
  <si>
    <t>Bereiter, B (corresponding author), Univ Calif San Diego, Scripps Inst Oceanog, La Jolla, CA 92093 USA.</t>
  </si>
  <si>
    <t>bbereiter@ucsd.edu</t>
  </si>
  <si>
    <t>Schmitt, Jochen/B-7893-2009; Chappellaz, Jérôme A./A-4872-2011; Fischer, Hubertus/A-1211-2014</t>
  </si>
  <si>
    <t>Schmitt, Jochen/0000-0003-4695-3029; Fischer, Hubertus/0000-0002-2787-4221</t>
  </si>
  <si>
    <t>European Union; Swiss National Science Foundation [P2BEP2_152071]; University of Bern; French Polar Institute (IPEV) [902]; Swiss National Science Foundation (SNF) [P2BEP2_152071] Funding Source: Swiss National Science Foundation (SNF)</t>
  </si>
  <si>
    <t>European Union(European Union (EU)); Swiss National Science Foundation(Swiss National Science Foundation (SNSF)); University of Bern; French Polar Institute (IPEV); Swiss National Science Foundation (SNF)(Swiss National Science Foundation (SNSF))</t>
  </si>
  <si>
    <t>This work is a contribution to the European Project for Ice Coring in Antarctica (EPICA), a joint European Science Foundation/European Commission scientific program, funded by the European Union and by national contributions from Belgium, Denmark, France, Germany, Italy, Netherlands, Norway, Sweden, Switzerland, and the United Kingdom. The main logistic support was provided by IPEV and PNRA. In particular, we acknowledge IPEV logistics related to the archive samples stored in field. We thank E. Wolff for initializing this remeasurement campaign, C. Ritz for preparing and packing the samples stored in field, and A. Landais for the collaboration with the ice logistics. We acknowledge financial support by the Swiss National Science Foundation (scholarship: P2BEP2_152071), the University of Bern and the research project no. 902 of the French Polar Institute (IPEV). This is EPICA publication number 298. The presented data are available on http://www.ncdc.noaa.gov/paleo/icgate.html.</t>
  </si>
  <si>
    <t>10.1002/2014GL061957</t>
  </si>
  <si>
    <t>WOS:000349956000044</t>
  </si>
  <si>
    <t>Prakash, S; Ramesh, R; Sheshshayee, MS; Mohan, R; Sudhakar, M</t>
  </si>
  <si>
    <t>Prakash, Satya; Ramesh, R.; Sheshshayee, M. S.; Mohan, Rahul; Sudhakar, M.</t>
  </si>
  <si>
    <t>Nitrogen uptake rates and f-ratios in the Equatorial and Southern Indian Ocean</t>
  </si>
  <si>
    <t>Carbon sequestration; f-ratio; nitrogenuptake; primary productivity; Southern Ocean</t>
  </si>
  <si>
    <t>PHYTOPLANKTON COMMUNITY STRUCTURE; UPTAKE REGIME; N-15 UPTAKE; PRODUCTIVITY; VARIABILITY; NITRATE; ABUNDANCE; DYNAMICS; AMMONIUM; SECTOR</t>
  </si>
  <si>
    <t>We report data on nitrate, ammonium and urea uptake rates from the Equatorial and Southern Indian Oceans. Productivity (0.81-2.23 mmol N m(-2) d(-1)) over the Equatorial Indian Ocean was low, but the f-ratio (0.13-0.45) was relatively high. In the Southern Indian Ocean total N-uptake rate varied from 1.7 to 12.3 mmol Nm(-2) d(-1); it was higher in the Antarctic coast (69 degrees S) and lower over most of the Southern Ocean, the lowest being at 58 degrees S. The f-ratio also showed significant spatial variation, but was higher compared to values at the Equatorial Indian Ocean. The mean f-ratio in the Southern Indian Ocean was 0.50. The nitrate-specific uptake rates and f-ratios appear to have increased significantly in the recent past relative to earlier estimates. While productivity in the Southern Ocean is comparable to that in the Equatorial Indian Ocean, higher f-ratios in the former underscore its importance in the uptake of CO2.</t>
  </si>
  <si>
    <t>[Prakash, Satya; Ramesh, R.] Phys Res Lab, Ahmadabad 380009, Gujarat, India; [Sheshshayee, M. S.] Univ Agr Sci, Dept Crop Physiol, Bengaluru 560065, India; [Mohan, Rahul; Sudhakar, M.] Natl Ctr Antarct &amp; Ocean Res, Vasco Da Gama 403804, Goa, India</t>
  </si>
  <si>
    <t>Department of Space (DoS), Government of India; Physical Research Laboratory - India; University of Agricultural Sciences Bangalore; Ministry of Earth Sciences (MoES) - India; National Centre for Polar and Ocean Research (NCPOR)</t>
  </si>
  <si>
    <t>Prakash, S (corresponding author), Indian Natl Ctr Ocean Informat Serv, Post Box 21,IDA Jeedimetla PO, Hyderabad 500055, Andhra Pradesh, India.</t>
  </si>
  <si>
    <t>satyap@incois.gov.in</t>
  </si>
  <si>
    <t>Ramachandran, Ramesh/AAI-1583-2020; Sreeman, Sheshshayee/ABI-2719-2020; Prakash, Satya/HNS-9397-2023</t>
  </si>
  <si>
    <t>Ramachandran, Ramesh/0000-0003-2471-7746; Sreeman, Sheshshayee/0000-0002-2634-8596</t>
  </si>
  <si>
    <t>ISRO-GBP project</t>
  </si>
  <si>
    <t>We thank Rohit Srivastava and the crew of R/V Akademik Boris Petrov (ABP-15), for assistance and the Ministry of Earth Sciences, Government of India for providing ship time. ISRO-GBP funded the project.</t>
  </si>
  <si>
    <t>JAN 25</t>
  </si>
  <si>
    <t>CB1YO</t>
  </si>
  <si>
    <t>WOS:000349424100019</t>
  </si>
  <si>
    <t>Miller, LA; Fripiat, F; Else, BGT; Bowman, JS; Brown, KA; Collins, RE; Ewert, M; Fransson, A; Gosselin, M; Lannuzel, D; Meiners, KM; Michel, C; Nishioka, J; Nomura, D; Papadimitriou, S; Russell, LM; Sorensen, LL; Thomas, DN; Tison, JL; van Leeuwe, MA; Vancoppenolle, M; Wolff, EW; Zhou, JY</t>
  </si>
  <si>
    <t>Miller, Lisa A.; Fripiat, Francois; Else, Brent G. T.; Bowman, Jeff S.; Brown, Kristina A.; Collins, R. Eric; Ewert, Marcela; Fransson, Agneta; Gosselin, Michel; Lannuzel, Delphine; Meiners, Klaus M.; Michel, Christine; Nishioka, Jun; Nomura, Daiki; Papadimitriou, Stathys; Russell, Lynn M.; Sorensen, Lise Lotte; Thomas, David N.; Tison, Jean-Louis; van Leeuwe, Maria A.; Vancoppenolle, Martin; Wolff, Eric W.; Zhou, Jiayun</t>
  </si>
  <si>
    <t>Methods for biogeochemical studies of sea ice: The state of the art, caveats, and recommendations</t>
  </si>
  <si>
    <t>DISSOLVED ORGANIC-MATTER; INVESTIGATE OXYGEN DYNAMICS; EDDY COVARIANCE TECHNIQUE; SEAWATER-DERIVED BRINES; SAROMA-KO LAGOON; TERRA-NOVA BAY; WEDDELL SEA; ALGAL COMMUNITIES; CHLOROPHYLL-A; BALTIC-SEA</t>
  </si>
  <si>
    <t>Over the past two decades, with recognition that the ocean's sea-ice cover is neither insensitive to climate change nor a barrier to light and matter, research in sea-ice biogeochemistry has accelerated significantly, bringing together a multi-disciplinary community from a variety of fields. This disciplinary diversity has contributed a wide range of methodological techniques and approaches to sea-ice studies, complicating comparisons of the results and the development of conceptual and numerical models to describe the important biogeochemical processes occurring in sea ice. Almost all chemical elements, compounds, and biogeochemical processes relevant to Earth system science are measured in sea ice, with published methods available for determining biomass, pigments, net community production, primary production, bacterial activity, macronutrients, numerous natural and anthropogenic organic compounds, trace elements, reactive and inert gases, sulfur species, the carbon dioxide system parameters, stable isotopes, and water-ice-atmosphere fluxes of gases, liquids, and solids. For most of these measurements, multiple sampling and processing techniques are available, but to date there has been little intercomparison or intercalibration between methods. In addition, researchers collect different types of ancillary data and document their samples differently, further confounding comparisons between studies. These problems are compounded by the heterogeneity of sea ice, in which even adjacent cores can have dramatically different biogeochemical compositions. We recommend that, in future investigations, researchers design their programs based on nested sampling patterns, collect a core suite of ancillary measurements, and employ a standard approach for sample identification and documentation. In addition, intercalibration exercises are most critically needed for measurements of biomass, primary production, nutrients, dissolved and particulate organic matter (including exopolymers), the CO2 system, air-ice gas fluxes, and aerosol production. We also encourage the development of in situ probes robust enough for long-term deployment in sea ice, particularly for biological parameters, the CO2 system, and other gases.</t>
  </si>
  <si>
    <t>[Miller, Lisa A.] Fisheries &amp; Oceans Canada, Inst Ocean Sci, Sidney, BC, Canada; [Fripiat, Francois; Tison, Jean-Louis] Univ Libre Bruxelles, Lab Glaciol, Brussels, Belgium; [Fripiat, Francois] Vrije Univ Brussel, Earth Sci Res Grp, Analyt Environm &amp; Geochem, Brussels, Belgium; [Else, Brent G. T.] Univ Calgary, Dept Geog, Calgary, AB T2N 1N4, Canada; [Bowman, Jeff S.; Ewert, Marcela] Univ Washington, Sch Oceanog, Seattle, WA 98195 USA; [Brown, Kristina A.] Univ British Columbia, Dept Earth Ocean &amp; Atmospher Sci, Vancouver, BC V5Z 1M9, Canada; [Collins, R. Eric] Univ Alaska Fairbanks, Sch Fisheries &amp; Ocean Sci, Fairbanks, AK USA; [Fransson, Agneta] Norwegian Polar Res Inst, Fram Ctr, Tromso, Norway; [Gosselin, Michel] Univ Quebec, Inst Sci Mer, Rimouski, PQ G5L 3A1, Canada; [Lannuzel, Delphine] Univ Tasmania, Inst Marine &amp; Antarctic Studies, IMAS Sandy Bay, Hobart, Tas, Australia; [Meiners, Klaus M.] Australian Antarctic Div, Dept Environm, Kingston, Tas, Australia; [Meiners, Klaus M.] Univ Tasmania, Antarctic Climate &amp; Ecosyst Cooperat Res Ctr, Hobart, Tas, Australia; [Michel, Christine] Fisheries &amp; Oceans Canada, Inst Freshwater, Winnipeg, MB R3T 2N6, Canada; [Nishioka, Jun; Nomura, Daiki] Hokkaido Univ, Inst Low Temp Sci, Sapporo, Hokkaido, Japan; [Papadimitriou, Stathys; Thomas, David N.] Bangor Univ, Sch Ocean Sci, Menai Bridge, Anglesey, Wales; [Russell, Lynn M.] Univ Calif San Diego, Scripps Inst Oceanog, La Jolla, CA 92093 USA; [Sorensen, Lise Lotte] Aarhus Univ, Dept Environm Sci, Roskilde, Denmark; [Sorensen, Lise Lotte; Thomas, David N.] Aarhus Univ, Arctic Res Ctr, Aarhus, Denmark; [Thomas, David N.] Finnish Environm Inst SYKE, Helsinki, Finland; [van Leeuwe, Maria A.] Univ Groningen, Lab Plant Physiol, Groningen, Netherlands; [Vancoppenolle, Martin] Univ Paris 06, Univ Paris 04, Lab Oceanog &amp; Climat LOCEAN IPSL, CNRS,IRD,MNHN, Paris, France; [Wolff, Eric W.] Univ Cambridge, Dept Earth Sci, Cambridge CB2 3EQ, England; [Zhou, Jiayun] Univ Libre Bruxelles, Lab Glaciol, Brussels, Belgium; [Zhou, Jiayun] Univ Liege, Unite Oceanog Chim, Liege, Belgium; [Else, Brent G. T.] Univ Manitoba, Ctr Earth Observat Sci, Winnipeg, MB, Canada</t>
  </si>
  <si>
    <t>Fisheries &amp; Oceans Canada; Universite Libre de Bruxelles; Vrije Universiteit Brussel; University of Calgary; University of Washington; University of Washington Seattle; University of British Columbia; University of Alaska System; University of Alaska Fairbanks; Norwegian Polar Institute; University of Quebec; University of Tasmania; Australian Antarctic Division; Antarctic Climate &amp; Ecosystems Cooperative Research Centre (ACE CRC); University of Tasmania; Fisheries &amp; Oceans Canada; Hokkaido University; Bangor University; University of California System; University of California San Diego; Scripps Institution of Oceanography; Aarhus University; Aarhus University; Finnish Environment Institute; University of Groningen; Centre National de la Recherche Scientifique (CNRS); Museum National d'Histoire Naturelle (MNHN); Institut de Recherche pour le Developpement (IRD); Sorbonne Universite; University of Cambridge; Universite Libre de Bruxelles; University of Liege; University of Manitoba</t>
  </si>
  <si>
    <t>Miller, LA (corresponding author), Fisheries &amp; Oceans Canada, Inst Ocean Sci, Sidney, BC, Canada.</t>
  </si>
  <si>
    <t>lisa.miller@dfo-mpo.gc.ca</t>
  </si>
  <si>
    <t>Nishioka, Jun/F-5314-2011; Fripiat, François/ABB-8918-2021; Thomas, David Neville/B-1448-2010; Vancoppenolle, Martin/AAA-7711-2022; Vancoppenolle, Martin/B-3750-2011; Else, Brent G/D-5267-2012; Wolff, Eric W/D-7925-2014; Sørensen, Lise Lotte/M-5054-2016; Lannuzel, Delphine/J-7937-2014; Gosselin, Michel/B-4477-2014; Tison, Jean-Louis/F-4065-2015</t>
  </si>
  <si>
    <t>Nishioka, Jun/0000-0003-1723-9344; Thomas, David Neville/0000-0001-8832-5907; Vancoppenolle, Martin/0000-0002-7573-8582; Vancoppenolle, Martin/0000-0002-7573-8582; Wolff, Eric W/0000-0002-5914-8531; Sørensen, Lise Lotte/0000-0002-9823-589X; Bowman, Jeff/0000-0002-8811-6280; Papadimitriou, Stathys/0000-0001-8540-1169; Gosselin, Michel/0000-0002-1044-0793; Ewert, Marcela/0000-0002-7040-1024; Tison, Jean-Louis/0000-0002-9758-3454; Fripiat, Francois/0000-0002-2591-6301; Russell, Lynn/0000-0002-6108-2375; Collins, R. Eric/0000-0002-5858-2395</t>
  </si>
  <si>
    <t>Directorate For Geosciences; Div Atmospheric &amp; Geospace Sciences [1360645] Funding Source: National Science Foundation; Directorate For Geosciences; Division Of Ocean Sciences [1243377] Funding Source: National Science Foundation; Grants-in-Aid for Scientific Research [15H05116, 22221001, 15K16135] Funding Source: KAKEN; Natural Environment Research Council [NE/J011096/1] Funding Source: researchfish; NERC [NE/J011096/1] Funding Source: UKRI</t>
  </si>
  <si>
    <t>Directorate For Geosciences; Div Atmospheric &amp; Geospace Sciences(National Science Foundation (NSF)NSF - Directorate for Geosciences (GEO)); Directorate For Geosciences; Division Of Ocean Sciences(National Science Foundation (NSF)NSF - Directorate for Geosciences (GEO)); Grants-in-Aid for Scientific Research(Ministry of Education, Culture, Sports, Science and Technology, Japan (MEXT)Japan Society for the Promotion of ScienceGrants-in-Aid for Scientific Research (KAKENHI)); Natural Environment Research Council(UK Research &amp; Innovation (UKRI)Natural Environment Research Council (NERC)); NERC(UK Research &amp; Innovation (UKRI)Natural Environment Research Council (NERC))</t>
  </si>
  <si>
    <t>JAN 23</t>
  </si>
  <si>
    <t>10.12952/journal.elementa.000038</t>
  </si>
  <si>
    <t>CS5HE</t>
  </si>
  <si>
    <t>Green Submitted, gold, Green Accepted</t>
  </si>
  <si>
    <t>WOS:000362107800001</t>
  </si>
  <si>
    <t>Wiff, R; Barrientos, MA; Milessi, AC; Quiroz, JC; Harwood, J</t>
  </si>
  <si>
    <t>Wiff, Rodrigo; Barrientos, Mauricio A.; Milessi, Andres C.; Quiroz, J. C.; Harwood, John</t>
  </si>
  <si>
    <t>Modelling production per unit of food consumed in fish populations</t>
  </si>
  <si>
    <t>JOURNAL OF THEORETICAL BIOLOGY</t>
  </si>
  <si>
    <t>Consumption; Von Bertalanffy growth function; Population energetics</t>
  </si>
  <si>
    <t>GROWTH; CONSUMPTION; EFFICIENCY; ECOSYSTEM; AGE</t>
  </si>
  <si>
    <t>The ratio of production-to-consumption (rho) reflects how efficiently a population can transform ingested food into biomass. Usually this ratio is estimated by separately integrating cohort per-recruit production and consumption per unit of biomass. Estimates of rho from cohort analysis differ from those that consider the whole population, because fish populations are usually composed of cohorts that differ in their relative abundance. Cohort models for rho also assume a stable age-structure and a constant population size (stationary condition). This may preclude their application to harvested populations, in which variations in fishing mortality and recruitment will affect age-structure. In this paper, we propose a different framework for estimating (rho) in which production and consumption are modelled simultaneously to produce a population estimator of rho. Food consumption is inferred from the physiological concepts underpinning the generalised von Bertalanffy growth function (VBGF). This general framework allows the effects of different age-structures to be explored, with a stationary population as a special case. Three models with different complexities, depending mostly on what assumptions are made about age-structure, are explored. The full data model requires knowledge about food assimilation efficiency, parameters of the VBGF and the relative proportion of individuals at age a at time y (P-y(a)). A simpler model, which requires less data, is based on the stationary assumption. Model results are compared with estimates from cohort models for rho using simulated fish populations of different lifespans. The models proposed here were also applied to three fish populations that are targets of commercial fisheries in the south-east Pacific Uncertainty in the estimation of rho was evaluated using a resampling approach. Simulation showed that cohort and population models produce different estimates for rho and those differences depend on lifespan, fishing mortality and recruitment variations. Results from the three case studies show that the population model gives similar estimates to those reported by empirical models in other fish species. This modelling framework allows rho to be related directly to population length- or age-structure and thus has the potential to improve the biological realism of both population and ecosystem models. (C) 2014 Elsevier Ltd. All rights reserved.</t>
  </si>
  <si>
    <t>[Wiff, Rodrigo; Harwood, John] Univ St Andrews, Sch Math &amp; Stat, Ctr Res Ecol &amp; Environm Modelling, The Observatory, St Andrews KY16 9LZ, Fife, Scotland; [Barrientos, Mauricio A.] Pontificia Univ Catolica Valparaiso, Inst Matemat, Valparaiso, Chile; [Milessi, Andres C.] INIDEP, RA-7600 Mar Del Plata, Argentina; [Milessi, Andres C.] Comis Invest Cient Prov BsAs CIC, RA-1900 Buenos Aires, DF, Argentina; [Quiroz, J. C.] Univ Tasmania, Inst Marine &amp; Antarctic Studies, Hobart, Tas 7001, Australia; [Quiroz, J. C.] Inst Foment Pesquero IFOP, Div Invest Pesquera, Valparaiso, Chile</t>
  </si>
  <si>
    <t>University of St Andrews; Pontificia Universidad Catolica de Valparaiso; National Fisheries Research &amp; Development Institute (INIDEP); Comision de Investigaciones Cientificas; University of Tasmania</t>
  </si>
  <si>
    <t>Wiff, R (corresponding author), Univ Concepcion, COPAS Sur Austral, Dept Oceanog, Casilla 160-C, Concepcion, Chile.</t>
  </si>
  <si>
    <t>rodrigo.wiff@gmail.com</t>
  </si>
  <si>
    <t>Quiroz, Juan Carlos/N-7937-2015</t>
  </si>
  <si>
    <t>Quiroz, Juan Carlos/0000-0002-2831-7689</t>
  </si>
  <si>
    <t>BECAS-CHILE scholarships program; Chilean government; CONICYT (Chile) scholarship for postgraduate studies abroad (Beca Presidente de la Republica para Estudios de Postgrado en el Extranjero); CONICYT/FONDECYT [3130425]</t>
  </si>
  <si>
    <t>BECAS-CHILE scholarships program; Chilean government; CONICYT (Chile) scholarship for postgraduate studies abroad (Beca Presidente de la Republica para Estudios de Postgrado en el Extranjero); CONICYT/FONDECYT(Comision Nacional de Investigacion Cientifica y Tecnologica (CONICYT)CONICYT FONDECYT)</t>
  </si>
  <si>
    <t>We are sincerely grateful to two anonymous reviewers for all their valuable comments and constructive criticism that greatly improved an early version of this manuscript. We also thank Dr. Charles Paxton, Professor Jason Matthiopoulos for their comments and suggestions. JC Quiroz was supported by BECAS-CHILE scholarships program sponsored by the Chilean government. Rodrigo Wiff was supported by CONICYT (Chile) scholarship for postgraduate studies abroad (Beca Presidente de la Republica para Estudios de Postgrado en el Extranjero) and by CONICYT/FONDECYT post doctoral project number 3130425.</t>
  </si>
  <si>
    <t>0022-5193</t>
  </si>
  <si>
    <t>1095-8541</t>
  </si>
  <si>
    <t>J THEOR BIOL</t>
  </si>
  <si>
    <t>J. Theor. Biol.</t>
  </si>
  <si>
    <t>JAN 21</t>
  </si>
  <si>
    <t>10.1016/j.jtbi.2014.10.004</t>
  </si>
  <si>
    <t>Biology; Mathematical &amp; Computational Biology</t>
  </si>
  <si>
    <t>Life Sciences &amp; Biomedicine - Other Topics; Mathematical &amp; Computational Biology</t>
  </si>
  <si>
    <t>AY0DE</t>
  </si>
  <si>
    <t>WOS:000347267200007</t>
  </si>
  <si>
    <t>Haskew, J; Turner, K; Ro, G; Ho, A; Kimanga, D; Sharif, S</t>
  </si>
  <si>
    <t>Haskew, John; Turner, Kenrick; Ro, Gunnar; Ho, Andrew; Kimanga, Davies; Sharif, Shahnaaz</t>
  </si>
  <si>
    <t>Stage of HIV presentation at initial clinic visit following a community-based HIV testing campaign in rural Kenya</t>
  </si>
  <si>
    <t>BMC PUBLIC HEALTH</t>
  </si>
  <si>
    <t>Electronic medical record; Resource-constrained settings; Community-based HIV testing; HIV testing; Linkage to care</t>
  </si>
  <si>
    <t>ACTIVE ANTIRETROVIRAL THERAPY; LATE DIAGNOSIS; AFRICA; INFECTION; RISK; ERA; CONSEQUENCES; UGANDA; LEVEL; AIDS</t>
  </si>
  <si>
    <t>Background: The Kenyan Ministry of Health and partners implemented a community-based integrated prevention campaign (IPC) in Western Kenya in 2008. The aim of this study was to determine whether the IPC, compared to Voluntary Counselling and Testing (VCT) services, was able to identify HIV positive individuals earlier in the clinical course of HIV infection following testing. Methods: A total of 1,752 adults aged over 15 years who tested HIV positive through VCT services or the IPC, and subsequently registered at initial clinic visit between September 2008 and September 2010, were considered in the analysis. Multivariable logistic regression models were developed to assess the association of CD4 count and WHO clinical stage of HIV infection at first clinic appointment with age group, gender, marital status and HIV testing source. Results: Male gender and marital status were independently associated with late HIV presentation (WHO clinical stage 3 or 4 or CD4 count &lt;= 350 cells/mu l) at initial clinic visit. Patients testing HIV positive during the IPC had significantly higher mean CD4 count at initial clinic visit compared to individuals who tested HIV positive via VCT services. Patients testing HIV positive during the IPC had more than two times higher odds of presenting early with CD4 count greater than 350 cells/mu l (adjusted OR 2.15, 95% CI 1.28 - 3.61, p = 0.004) and presenting early with WHO clinical stage 1 or 2 of HIV infection (adjusted OR 2.39, 95% CI 1.24 - 4.60, p = 0.01) at initial clinic visit compared to individuals who tested HIV positive via VCT services. Conclusion: The community-based integrated prevention campaign identified HIV positive individuals earlier in the course of HIV infection, compared to Voluntary Counselling and Testing services. Community-based campaigns, such as the IPC, may be able to assist countries to achieve earlier testing and initiation of ART in the course of HIV infection. Improving referral mechanisms and strengthening linkages between HIV testing and treatment services remain a challenge and electronic medical record (EMR) systems may support monitoring of patients throughout the HIV care and treatment continuum.</t>
  </si>
  <si>
    <t>[Haskew, John; Ro, Gunnar] Uamuzi Bora, Kakamega, Kenya; [Turner, Kenrick] British Antarctic Survey, Med Unit, Plymouth, Devon, England; [Ro, Gunnar] Univ Durham, Durham, England; [Ho, Andrew] East &amp; North Hertfordshire NHS Trust, London, England; [Kimanga, Davies] Elizabeth Glazer Paediat AIDS Fdn, Nairobi, Kenya; [Sharif, Shahnaaz] Minist Hlth, Nairobi, Kenya</t>
  </si>
  <si>
    <t>UK Research &amp; Innovation (UKRI); Natural Environment Research Council (NERC); NERC British Antarctic Survey; Durham University</t>
  </si>
  <si>
    <t>Haskew, J (corresponding author), Uamuzi Bora, POB 2153-50100, Kakamega, Kenya.</t>
  </si>
  <si>
    <t>Turner, Kenrick/0000-0002-1835-6924; Ho, Andrew/0000-0002-1627-0510</t>
  </si>
  <si>
    <t>Vestergaard Frandsen fund Uamuzi Bora EMR system; NERC [bas010011] Funding Source: UKRI; Natural Environment Research Council [bas010011] Funding Source: researchfish</t>
  </si>
  <si>
    <t>Vestergaard Frandsen fund Uamuzi Bora EMR system; NERC(UK Research &amp; Innovation (UKRI)Natural Environment Research Council (NERC)); Natural Environment Research Council(UK Research &amp; Innovation (UKRI)Natural Environment Research Council (NERC))</t>
  </si>
  <si>
    <t>Vestergaard Frandsen fund Uamuzi Bora EMR system implementation in Kakamega Provincial General Hospital. Vestergaard Frandsen had no role in study design, data collection and analysis, decision to publish, preparation of the manuscript, nor exerted any editorial control.</t>
  </si>
  <si>
    <t>1471-2458</t>
  </si>
  <si>
    <t>BMC Public Health</t>
  </si>
  <si>
    <t>10.1186/s12889-015-1367-4</t>
  </si>
  <si>
    <t>Public, Environmental &amp; Occupational Health</t>
  </si>
  <si>
    <t>CB6NX</t>
  </si>
  <si>
    <t>Green Accepted, gold, Green Published</t>
  </si>
  <si>
    <t>WOS:000349744800001</t>
  </si>
  <si>
    <t>Reiss, CS; Walsh, J; Goebel, ME</t>
  </si>
  <si>
    <t>Reiss, Christian S.; Walsh, Jennifer; Goebel, Michael E.</t>
  </si>
  <si>
    <t>Winter preconditioning determines feeding ecology of Euphausia superba in the Antarctic Peninsula</t>
  </si>
  <si>
    <t>Antarctic krill; Lipid biomarker; El Nino; Feeding ecology; Southern Ocean; Euphausiids</t>
  </si>
  <si>
    <t>FATTY-ACID-COMPOSITION; SOUTHERN ANNULAR MODE; FOOD-WEB; LIPID-COMPOSITION; CLIMATE-CHANGE; ELEPHANT ISLAND; SEA-ICE; KRILL; PHYTOPLANKTON; DANA</t>
  </si>
  <si>
    <t>We examined the feeding ecology and lipid composition of Antarctic krill Euphausia superba around the northern Antarctic Peninsula from 2001 to 2012. We used lipid biomarkers to quantify feeding patterns and relate the variability in biomarkers to environmental conditions that structure the phytoplankton community. Fatty acid profiles varied among years, with some years dominated by lipids indicative of herbivory, while other years were indicative of greater omnivory. Principal component analysis of 60 fatty acids showed that 3 principal components (PCs) explained approximately 50% of the variability in fatty acid profiles. The first PC separated the fatty acid indicators along a herbivory-omnivory-carnivory gradient. Correlations between the gradient of herbivory and carnivory, as summarized by the first PC, were found with both winter sea ice extent (r = 0.55, p &lt; 0.01) and with ENSO conditions the previous winter (r = 0.88, p &lt; 0.001). These findings suggest that climatic conditions during the late winter precondition the pelagic ecosystem around the Antarctic Peninsula, impacting the trophic ecology of Antarctic krill the following summer.</t>
  </si>
  <si>
    <t>[Reiss, Christian S.; Walsh, Jennifer; Goebel, Michael E.] Southwest Fisheries Sci Ctr, Antarct Ecosyst Res Div, La Jolla, CA 92037 USA</t>
  </si>
  <si>
    <t>Reiss, CS (corresponding author), Southwest Fisheries Sci Ctr, Antarct Ecosyst Res Div, La Jolla, CA 92037 USA.</t>
  </si>
  <si>
    <t>christian.reiss@noaa.gov</t>
  </si>
  <si>
    <t>JAN 20</t>
  </si>
  <si>
    <t>10.3354/meps11082</t>
  </si>
  <si>
    <t>CA7JO</t>
  </si>
  <si>
    <t>WOS:000349093800007</t>
  </si>
  <si>
    <t>Jager, T; Ravagnan, E</t>
  </si>
  <si>
    <t>Jager, Tjalling; Ravagnan, Elisa</t>
  </si>
  <si>
    <t>Parameterising a generic model for the dynamic energy budget of Antarctic krill Euphausia superba</t>
  </si>
  <si>
    <t>Antarctic krill; Euphausia superba; Dynamic Energy Budget; Life-history traits; DEBkiss</t>
  </si>
  <si>
    <t>SIMULATED LIGHT REGIMES; EARLY LARVAL STAGES; ELEMENTAL COMPOSITION; METABOLIC-RATE; GROWTH; DANA; WINTER; FOOD; TEMPERATURE; EXCRETION</t>
  </si>
  <si>
    <t>Dynamic Energy Budget (DEB) theory is a generic and comprehensive framework for understanding bioenergetics over the entire life cycle of an organism. Here, we apply a simplified model derived from this theory (DEBkiss) to Antarctic krill Euphausia superba. The model was parameterised using growth curves, and conversion factors for body composition and length-weight relationships. Subsequently, the model was used to predict a series of life-history traits (as function of body size) that were not used for parameterisation: instantaneous growth rates, ingestion and respiration rates, weight loss on starvation, and the number of eggs produced at spawning. Within the DEB framework, these traits are not intrinsic properties of the organism, but tightly coupled model outputs that depend on body size, life stage, and environmental conditions. Overall, the model predictions are consistent with the patterns in the (rather uncertain) observations, lending credence to the model assumptions underlying the DEBkiss model. More work is needed to fully elucidate the bioenergetics of the E. superba life cycle, but this analysis demonstrates how a dynamic budgeting framework can ensure consistency among the different life-history traits. Thereby, such models help in the interpretation of experimental results and the comparison of species, but can also form the basis for predicting population dynamics and the impacts of stressors.</t>
  </si>
  <si>
    <t>[Jager, Tjalling] Vrije Univ Amsterdam, Dept Theoret Biol, NL-1085 HV Amsterdam, Netherlands; [Ravagnan, Elisa] IRIS Environm, Int Res Inst Stavanger, N-4070 Randaberg, Norway</t>
  </si>
  <si>
    <t>Vrije Universiteit Amsterdam</t>
  </si>
  <si>
    <t>Jager, T (corresponding author), Vrije Univ Amsterdam, Dept Theoret Biol, Boelelaan 1085, NL-1085 HV Amsterdam, Netherlands.</t>
  </si>
  <si>
    <t>tjalling.jager@vu.nl</t>
  </si>
  <si>
    <t>Jager, Tjalling/D-8168-2011</t>
  </si>
  <si>
    <t>Jager, Tjalling/0000-0002-4424-1442</t>
  </si>
  <si>
    <t>Norwegian Research Council [204023/E40]</t>
  </si>
  <si>
    <t>This study was financially supported by the Norwegian Research Council through the grant 204023/E40 'Integrated model system: risk and ecosystem-based management of Arctic waters', WP3: 'Energetics as a link from sub-individuals to populations.'</t>
  </si>
  <si>
    <t>10.3354/meps11098</t>
  </si>
  <si>
    <t>WOS:000349093800009</t>
  </si>
  <si>
    <t>Basu, K; Graham, LA; Campbell, RL; Davies, PL</t>
  </si>
  <si>
    <t>Basu, Koli; Graham, Laurie A.; Campbell, Robert L.; Davies, Peter L.</t>
  </si>
  <si>
    <t>Flies expand the repertoire of protein structures that bind ice</t>
  </si>
  <si>
    <t>antifreeze protein; convergent evolution; midge; disulfide-rich; solenoid</t>
  </si>
  <si>
    <t>HYPERACTIVE ANTIFREEZE PROTEIN; BEETLE TENEBRIO-MOLITOR; BETA-HELIX; CRYSTAL-STRUCTURE; CLATHRATE WATERS; ANTARCTIC FISHES; INSECT; CRYSTALLIZATION; VISUALIZATION; GLYCOPROTEINS</t>
  </si>
  <si>
    <t>An antifreeze protein (AFP) with no known homologs has been identified in Lake Ontario midges (Chironomidae). The midge AFP is expressed as a family of isoforms at low levels in adults, which emerge from fresh water in spring before the threat of freezing temperatures has passed. The 9.1-kDa major isoform derived from a preproprotein precursor is glycosylated and has a 10-residue tandem repeating sequence xxCxGxYCxG, with regularly spaced cysteines, glycines, and tyrosines comprising one-half its 79 residues. Modeling and molecular dynamics predict a tightly wound left-handed solenoid fold in which the cysteines form a disulfide core to brace each of the eight 10-residue coils. The solenoid is reinforced by intrachain hydrogen bonds, side-chain salt bridges, and a row of seven stacked tyrosines on the hydrophobic side that forms the putative ice-binding site. A disulfide core is also a feature of the similar-sized beetle AFP that is a beta-helix with seven 12-residue coils and a comparable circular dichroism spectrum. The midge and beetle AFPs are not homologous and their ice-binding sites are radically different, with the latter comprising two parallel arrays of outward-pointing threonines. However, their structural similarities is an amazing example of convergent evolution in different orders of insects to cope with change to a colder climate and provide confirmation about the physical features needed for a protein to bind ice.</t>
  </si>
  <si>
    <t>[Davies, Peter L.] Queens Univ, Prot Funct Discovery Grp, Kingston, ON K7L 3N6, Canada; Queens Univ, Dept Biomed &amp; Mol Sci, Kingston, ON K7L 3N6, Canada</t>
  </si>
  <si>
    <t>Queens University - Canada; Queens University - Canada</t>
  </si>
  <si>
    <t>Davies, PL (corresponding author), Queens Univ, Prot Funct Discovery Grp, Kingston, ON K7L 3N6, Canada.</t>
  </si>
  <si>
    <t>peter.davies@queensu.ca</t>
  </si>
  <si>
    <t>Campbell, Robert/0000-0002-5473-5876</t>
  </si>
  <si>
    <t>Canadian Institutes of Health Research; Dr. Robert John Wilson Fellowship</t>
  </si>
  <si>
    <t>Canadian Institutes of Health Research(Canadian Institutes of Health Research (CIHR)); Dr. Robert John Wilson Fellowship</t>
  </si>
  <si>
    <t>We thank Kim Munro and Dave MacLeod from the Protein Function Discovery Facility at Queen's University for their help with acquiring and interpreting CD and mass spectrometry data. K. B. acknowledges the award of a Dr. Robert John Wilson Fellowship. The molecular dynamics simulations were carried out at the High Performance Computing Virtual Laboratory (www.hpcvl.org). This research was funded by a grant from the Canadian Institutes of Health Research (to P.L.D.). P.L.D. holds the Canada Research Chair in Protein Engineering.</t>
  </si>
  <si>
    <t>10.1073/pnas.1422272112</t>
  </si>
  <si>
    <t>AZ2BY</t>
  </si>
  <si>
    <t>WOS:000348040700039</t>
  </si>
  <si>
    <t>Wang, SQ; Wang, LJ; Dai, ZG; Wu, XF</t>
  </si>
  <si>
    <t>Wang, S. Q.; Wang, L. J.; Dai, Z. G.; Wu, X. F.</t>
  </si>
  <si>
    <t>SUPERLUMINOUS SUPERNOVAE POWERED BY MAGNETARS: LATE-TIME LIGHT CURVES AND HARD EMISSION LEAKAGE</t>
  </si>
  <si>
    <t>gamma rays: general; stars: magnetars; supernovae: general; supernovae: individual (SN 2010gx, SN 2013dg, LSQ12dlf, SSS120810, CSS121015); X-rays: general</t>
  </si>
  <si>
    <t>PULSATIONAL PAIR-INSTABILITY; GAMMA-RAY BURSTS; ENERGY INJECTION; MASSIVE STARS; O-STARS; AFTERGLOWS; PULSAR; MODELS; SIMULATIONS; SIGNATURE</t>
  </si>
  <si>
    <t>Recently, research performed by two groups has revealed that the magnetar spin-down energy injection model with full energy trapping can explain the early-time light curves of SN 2010gx, SN 2013dg, LSQ12dlf, SSS120810, and CSS121015 but fails to fit the late-time light curves of these superluminous supernovae (SLSNe). These results imply that the original magnetar-powered model is challenged in explaining these SLSNe. Our paper aims to simultaneously explain both the early-and late-time data/upper limits by considering the leakage of hard emissions. We incorporate quantitatively the leakage effect into the original magnetar-powered model and derive a new semianalytical equation. Comparing the light curves reproduced by our revised magnetar-powered model with the observed data and/or upper limits of these five SLSNe, we found that the late-time light curves reproduced by our semianalytical equation are in good agreement with the late-time observed data and/or upper limits of SN 2010gx, CSS121015, SN 2013dg, and LSQ12dlf and the late-time excess of SSS120810, indicating that the magnetar-powered model might be responsible for these SLSNe and that the gamma-ray and X-ray leakages are unavoidable when the hard photons were down-Comptonized to softer photons. To determine the details of the leakage effect and unveil the nature of SLSNe, more high-quality bolometric light curves and spectra of SLSNe are required.</t>
  </si>
  <si>
    <t>[Wang, S. Q.; Wang, L. J.; Dai, Z. G.] Nanjing Univ, Sch Astron &amp; Space Sci, Nanjing 210093, Jiangsu, Peoples R China; [Wang, S. Q.; Wang, L. J.; Dai, Z. G.] Nanjing Univ, Key Lab Modern Astron &amp; Astrophys, Minist Educ, Nanjing 210093, Jiangsu, Peoples R China; [Wu, X. F.] Chinese Acad Sci, Purple Mt Observ, Nanjing 210008, Jiangsu, Peoples R China; [Wu, X. F.] Chinese Acad Sci, Chinese Ctr Antarctic Astron, Nanjing 210008, Jiangsu, Peoples R China; [Wu, X. F.] Chinese Acad Sci, Nanjing Univ, Purple Mt Observ, Joint Ctr Particle Nucl Phys &amp; Cosmol, Nanjing 210008, Jiangsu, Peoples R China</t>
  </si>
  <si>
    <t>Nanjing University; Nanjing University; Chinese Academy of Sciences; Nanjing Institute of Astronomical Optics &amp; Technology, NAOC, CAS; Purple Mountain Observatory, CAS; Chinese Academy of Sciences; Chinese Academy of Sciences; Nanjing Institute of Astronomical Optics &amp; Technology, NAOC, CAS; Purple Mountain Observatory, CAS; Nanjing University</t>
  </si>
  <si>
    <t>Wang, SQ (corresponding author), Nanjing Univ, Sch Astron &amp; Space Sci, Nanjing 210093, Jiangsu, Peoples R China.</t>
  </si>
  <si>
    <t>dzg@nju.edu.cn</t>
  </si>
  <si>
    <t>Wu, Xuefeng/G-5316-2015</t>
  </si>
  <si>
    <t>Wu, Xuefeng/0000-0002-6299-1263</t>
  </si>
  <si>
    <t>National Basic Research Program (973 Program) of China [2014CB845800, 2013CB834900]; National Natural Science Foundation of China [11033002, 11322328]; One-Hundred-Talent Program; Youth Innovation Promotion Association; Chinese Academy of Sciences [XDB09000000]; Natural Science Foundation of Jiangsu Province</t>
  </si>
  <si>
    <t>National Basic Research Program (973 Program) of China(National Basic Research Program of China); National Natural Science Foundation of China(National Natural Science Foundation of China (NSFC)); One-Hundred-Talent Program(Chinese Academy of Sciences); Youth Innovation Promotion Association; Chinese Academy of Sciences(Chinese Academy of Sciences); Natural Science Foundation of Jiangsu Province(Natural Science Foundation of Jiangsu Province)</t>
  </si>
  <si>
    <t>We thank an anonymous referee for helpful comments and suggestions that have allowed us to improve this manuscript. This work is supported by the National Basic Research Program (973 Program) of China (grant Nos. 2014CB845800 and 2013CB834900) and the National Natural Science Foundation of China (grant Nos. 11033002 and 11322328). X.F.W. was also partially supported by the One-Hundred-Talent Program, the Youth Innovation Promotion Association, and the Strategic Priority Research Program The Emergence of Cosmological Structures (grant No. XDB09000000) of the Chinese Academy of Sciences, and the Natural Science Foundation of Jiangsu Province.</t>
  </si>
  <si>
    <t>10.1088/0004-637X/799/1/107</t>
  </si>
  <si>
    <t>AZ4SY</t>
  </si>
  <si>
    <t>WOS:000348214500105</t>
  </si>
  <si>
    <t>Dynes, JJ; Regier, TZ; Snape, I; Siciliano, SD; Peak, D</t>
  </si>
  <si>
    <t>Dynes, James J.; Regier, Tom Z.; Snape, Ian; Siciliano, Steven D.; Peak, Derek</t>
  </si>
  <si>
    <t>Validating the Scalability of Soft X-ray Spectromicroscopy for Quantitative Soil Ecology and Biogeochemistry Research</t>
  </si>
  <si>
    <t>ORGANIC-MATTER; NANO-ENVIRONMENTS; MICROSCOPY; STXM; CARBON; SEQUESTRATION; SPECIATION; BEAMLINE; IMPACT</t>
  </si>
  <si>
    <t>Synchrotron-based soft-X-ray scanning transmission X-ray microscopy (STXM) has the potential to provide nanoscale resolution of the associations among biological and geological materials. However, standard methods for how samples should be prepared, measured, and analyzed to allow the results from these nanoscale imaging and spectroscopic tools to be scaled to field scale biogeochemical results are not well established. We utilized a simple sample preparation technique that allows one to assess detailed mineral, metal, and microbe spectroscopic information at the nano- and microscale in soil colloids. We then evaluated three common approaches to collect and process nano- and micronscale information by STXM and the correspondence of these approaches to millimeter scale soil measurements. Finally, we assessed the reproducibility and spatial autocorrelation of nano- and micronscale protein, Fe(II) and Fe(III) densities in a soil sample. We demonstrate that linear combination fitting of entire spectra provides slightly different Fe(II) mineral densities compared to image resonance difference mapping but that difference mapping results are highly reproducible between among sample replicates. Further, STXM results scale to the mm scale in complex systems with an approximate geospatial range of 3 mu m in these samples.</t>
  </si>
  <si>
    <t>[Dynes, James J.; Regier, Tom Z.] Canadian Light Source, Saskatoon, SK S7N 2V3, Canada; [Snape, Ian] Australian Antarctic Div, Dept Sustainabil Environm Water Populat &amp; Communi, Kingston, Tas 7050, Australia; [Siciliano, Steven D.; Peak, Derek] Univ Saskatchewan, Dept Soil Sci, Saskatoon, SK S7N 5A8, Canada</t>
  </si>
  <si>
    <t>University of Saskatchewan; Australian Antarctic Division; University of Saskatchewan</t>
  </si>
  <si>
    <t>Peak, D (corresponding author), Univ Saskatchewan, Dept Soil Sci, Saskatoon, SK S7N 5A8, Canada.</t>
  </si>
  <si>
    <t>derek.peak@usask.ca</t>
  </si>
  <si>
    <t>Siciliano, Steven D/G-3370-2011</t>
  </si>
  <si>
    <t>Siciliano, Steven/0000-0002-8994-3341</t>
  </si>
  <si>
    <t>Canadian Foundation for Innovation; Natural Sciences and Engineering Research Council of Canada; University of Saskatchewan; Government of Saskatchewan; Western Economic Diversification Canada; National Research Council Canada; Canadian Institutes of Health Research</t>
  </si>
  <si>
    <t>Canadian Foundation for Innovation(Canada Foundation for Innovation); Natural Sciences and Engineering Research Council of Canada(Natural Sciences and Engineering Research Council of Canada (NSERC)CGIAR); University of Saskatchewan; Government of Saskatchewan; Western Economic Diversification Canada; National Research Council Canada; Canadian Institutes of Health Research(Canadian Institutes of Health Research (CIHR))</t>
  </si>
  <si>
    <t>The authors wish to thank the anonymous reviewers for their thoughtful comments and suggestions that significantly improved this manuscript from its initial format. The research described in this paper was performed at the Canadian Light Source, which is supported by the Canadian Foundation for Innovation, Natural Sciences and Engineering Research Council of Canada, the University of Saskatchewan, the Government of Saskatchewan, Western Economic Diversification Canada, the National Research Council Canada, and the Canadian Institutes of Health Research.</t>
  </si>
  <si>
    <t>10.1021/es505271p</t>
  </si>
  <si>
    <t>AZ6LY</t>
  </si>
  <si>
    <t>WOS:000348332400042</t>
  </si>
  <si>
    <t>Polito, MJ; Trivelpiece, WZ; Patterson, WP; Karnovsky, NJ; Reiss, CS; Emslie, SD</t>
  </si>
  <si>
    <t>Polito, Michael J.; Trivelpiece, Wayne Z.; Patterson, William P.; Karnovsky, Nina J.; Reiss, Christian S.; Emslie, Steven D.</t>
  </si>
  <si>
    <t>Contrasting specialist and generalist patterns facilitate foraging niche partitioning in sympatric populations of Pygoscelis penguins</t>
  </si>
  <si>
    <t>Stable isotope analysis; Pygoscelis papua; Pygoscelis antarctica; delta C-13; delta N-15</t>
  </si>
  <si>
    <t>SOUTH-SHETLAND ISLANDS; ANTARCTIC PENINSULA REGION; STABLE-ISOTOPE ANALYSIS; KING-GEORGE-ISLAND; CHINSTRAP PENGUINS; INDIVIDUAL SPECIALIZATION; TROPHIC ECOLOGY; MARINE PREDATOR; GENTOO PENGUIN; VARIABILITY</t>
  </si>
  <si>
    <t>Specialization is a common mechanism of niche differentiation that can lead to ecological co-existence among species. However, species with specialized habitat or dietary requirements often exhibit a high degree of sensitivity to environmental change. Understanding patterns of specialization and niche segregation among Antarctic marine predators is of increased importance because of recent climate-driven reductions in a key prey species, Antarctic krill Euphausia superba. We examined the stomach contents and stable isotope values of sympatric chinstrap Pygoscelis antarctica and gentoo P. papua penguins across 5 breeding seasons at Cape Shirreff, Livingston Island, Antarctica. Our goal was to examine foraging niche segregation and the degree of specialization between species during the chick-rearing period. Dietary and isotopic foraging niches indicated consistent niche partitioning with higher krill consumption and greater use of offshore foraging habitats by chinstrap relative to gentoo penguins. While chinstrap penguin diets were dominated by krill with little variation, gentoo penguins exhibited broader dietary and isotopic niches with a higher degree of variation. There was little evidence that shifts in the availability of adult krill influenced penguin diets or foraging niches during our study, though the contrasting foraging strategies identified provide insight into the differing population trends observed between penguin species. The narrower foraging niche observed in declining chinstrap penguin populations indicates that they are likely highly sensitive to declines in the abundance of Antarctic krill. In contrast, the generalist niche exhibited by recently expanding gentoo penguin populations is likely better suited to the rapidly changing environmental conditions in the Antarctic Peninsula.</t>
  </si>
  <si>
    <t>[Polito, Michael J.] Louisiana State Univ, Dept Coastal &amp; Oceanog Engn, Baton Rouge, LA 70803 USA; [Trivelpiece, Wayne Z.; Reiss, Christian S.] Natl Marine Fisheries Serv, Southwest Fisheries Sci Ctr, Antarctic Ecosystem Res Div, La Jolla, CA 92037 USA; [Patterson, William P.] Univ Saskatchewan, Dept Geol Sci, Saskatchewan Isotope Lab, Saskatoon, SK S7N 5E2, Canada; [Karnovsky, Nina J.] Pomona Coll, Dept Biol, Claremont, CA 91711 USA; [Emslie, Steven D.] Univ N Carolina, Dept Biol &amp; Marine Biol, Wilmington, NC 28403 USA</t>
  </si>
  <si>
    <t>Louisiana State University System; Louisiana State University; National Oceanic Atmospheric Admin (NOAA) - USA; University of Saskatchewan; Claremont Colleges; Pomona College; University of North Carolina; University of North Carolina Wilmington</t>
  </si>
  <si>
    <t>Polito, MJ (corresponding author), Louisiana State Univ, Dept Coastal &amp; Oceanog Engn, 1002-Energy,Coast &amp; Environm Bldg, Baton Rouge, LA 70803 USA.</t>
  </si>
  <si>
    <t>mpolito@lsu.edu</t>
  </si>
  <si>
    <t>, Bill/GSD-6628-2022; Polito, Michael/G-9118-2012; Patterson, William P/J-6473-2012</t>
  </si>
  <si>
    <t>Polito, Michael/0000-0001-8639-4431; Patterson, William/0000-0003-3387-708X</t>
  </si>
  <si>
    <t>US National Science Foundation (NSF) Office of Polar Programs (OPP) [ANT-0739575]; US Antarctic Marine Living Resources Program</t>
  </si>
  <si>
    <t>US National Science Foundation (NSF) Office of Polar Programs (OPP)(National Science Foundation (NSF)); US Antarctic Marine Living Resources Program</t>
  </si>
  <si>
    <t>This research was funded by the US National Science Foundation (NSF) Office of Polar Programs (OPP) (ANT-0739575) and the US Antarctic Marine Living Resources Program. Thanks to J. Hinke and other researchers at the Cape Shirreff field camp. M. Rider, J. Evans and Raytheon Polar Services provided logistical support. D. Besic, B. Drummond, K. Durenberger, T. Prokopiuk, J. Seminoff and E. Unger provided assistance with sample preparation and stable isotope analysis. We thank A. Satake and 3 anonymous reviewers for helpful comments that improved this manuscript. Animal use in this study was approved by Institutional Animal Care and Use Committees at the University of California San Diego (S05480) and the University of North Carolina Wilmington (A0910-020) and Antarctic Conservation Act permits provided by NSF OPP to S.D.E. (2006-001), R. Holt (2008-008) and G. Watters (2011-05).</t>
  </si>
  <si>
    <t>10.3354/meps11095</t>
  </si>
  <si>
    <t>WOS:000349093800017</t>
  </si>
  <si>
    <t>Dugan, HA; Doran, PT; Tulaczyk, S; Mikucki, JA; Arcone, SA; Auken, E; Schamper, C; Virginia, RA</t>
  </si>
  <si>
    <t>Dugan, H. A.; Doran, P. T.; Tulaczyk, S.; Mikucki, J. A.; Arcone, S. A.; Auken, E.; Schamper, C.; Virginia, R. A.</t>
  </si>
  <si>
    <t>Subsurface imaging reveals a confined aquifer beneath an ice-sealed Antarctic lake</t>
  </si>
  <si>
    <t>permafrost; lakes; Antarctica; electromagnetic methods; frozen ground; groundwater hydrology</t>
  </si>
  <si>
    <t>MCMURDO DRY VALLEYS; TAYLOR VALLEY; EARLY MARS; PERMAFROST; RESOLUTION; INVERSION; FRYXELL; DESERT; BRINE; WATER</t>
  </si>
  <si>
    <t>Liquid water oases are rare under extreme cold desert conditions found in the Antarctic McMurdo Dry Valleys. Here we report geophysical results that indicate that Lake Vida, one of the largest lakes in the region, is nearly frozen and underlain by widespread cryoconcentrated brine. A ground penetrating radar survey profiled 20m into lake ice and facilitated bathymetric mapping of the upper lake basin. An airborne transient electromagnetic survey revealed a low-resistivity zone 30-100m beneath the lake surface. Based on previous knowledge of brine chemistry and local geology, we interpret this zone to be a confined aquifer situated in sediments with a porosity of 23-42%. Discovery of this aquifer suggests that subsurface liquid water may be more pervasive in regions of continuous permafrost than previously thought and may represent an extensive habitat for microbial populations.</t>
  </si>
  <si>
    <t>[Dugan, H. A.; Doran, P. T.] Univ Illinois, Dept Earth &amp; Environm Sci, Chicago, IL USA; [Tulaczyk, S.] Univ Calif Santa Cruz, Dept Earth &amp; Planetary Sci, Santa Cruz, CA 95064 USA; [Mikucki, J. A.] Univ Tennessee, Dept Microbiol, Knoxville, TN 37996 USA; [Arcone, S. A.] US Army Cold Reg Res &amp; Engn Lab, Hanover, NH USA; [Auken, E.; Schamper, C.] Aarhus Univ, Dept Geosci, Aarhus, Denmark; [Virginia, R. A.] Dartmouth Coll, Environm Studies Program, Hanover, NH 03755 USA</t>
  </si>
  <si>
    <t>University of Illinois System; University of Illinois Chicago; University of Illinois Chicago Hospital; University of California System; University of California Santa Cruz; University of Tennessee System; University of Tennessee Knoxville; United States Department of Defense; United States Army; U.S. Army Corps of Engineers; U.S. Army Engineer Research &amp; Development Center (ERDC); Cold Regions Research &amp; Engineering Laboratory (CRREL); Aarhus University; Dartmouth College</t>
  </si>
  <si>
    <t>Dugan, HA (corresponding author), Univ Wisconsin, Ctr Limnol, Madison, WI 53706 USA.</t>
  </si>
  <si>
    <t>hilarydugan@gmail.com</t>
  </si>
  <si>
    <t>National Science Foundation [1043618, 1344349, 0739698]; Office of Polar Programs (OPP); Directorate For Geosciences [1344349] Funding Source: National Science Foundation; Office of Polar Programs (OPP); Directorate For Geosciences [1344348] Funding Source: National Science Foundation</t>
  </si>
  <si>
    <t>National Science Foundation(National Science Foundation (NSF)); Office of Polar Programs (OPP); Directorate For Geosciences(National Science Foundation (NSF)NSF - Directorate for Geosciences (GEO)); Office of Polar Programs (OPP); Directorate For Geosciences(National Science Foundation (NSF)NSF - Directorate for Geosciences (GEO))</t>
  </si>
  <si>
    <t>This work was supported by the National Science Foundation award 1043618 to J.A.M. and R.A.V., 1344349 to S.T., and 0739698 to P.T.D. Raytheon Polar Services and Petroleum Helicopters Inc. coordinated field logistics. Geophysical data will be available on the USAP repository when analyses are concluded.</t>
  </si>
  <si>
    <t>JAN 16</t>
  </si>
  <si>
    <t>10.1002/2014GL062431</t>
  </si>
  <si>
    <t>CA6PE</t>
  </si>
  <si>
    <t>WOS:000349036500014</t>
  </si>
  <si>
    <t>Miyake, F; Suzuki, A; Masuda, K; Horiuchi, K; Motoyama, H; Matsuzaki, H; Motizuki, Y; Takahashi, K; Nakai, Y</t>
  </si>
  <si>
    <t>Miyake, Fusa; Suzuki, Asami; Masuda, Kimiaki; Horiuchi, Kazuho; Motoyama, Hideaki; Matsuzaki, Hiroyuki; Motizuki, Yuko; Takahashi, Kazuya; Nakai, Yoichi</t>
  </si>
  <si>
    <t>Cosmic ray event of AD 774-775 shown in quasi-annual 10Be data from the Antarctic Dome Fuji ice core</t>
  </si>
  <si>
    <t>cosmogenic nuclide; cosmic ray event; ice core</t>
  </si>
  <si>
    <t>PAST SOLAR-ACTIVITY; TREE-RINGS; BERYLLIUM 10; LAW DOME; C-14; GREENLAND; INCREASE; RECORDS; PROXY; MODULATION</t>
  </si>
  <si>
    <t>C-14 content in tree rings and Be-10 concentration records in polar ice core provide information about past cosmic ray intensities. The A.D. 774-775 cosmic ray event has been identified by C-14 measurement in several tree rings from all over the world. Although the quasi-decadal Be-10 Dome Fuji data in the Antarctic ice core also shows a sharp peak around A.D. 775, annual Be-10 variations in the Dome Fuji core or in other cores have not been revealed. We have measured quasi-annual Be-10 concentrations from approximately A.D. 763-794 in the Dome Fuji ice core, and detected a clear increase (80% above the baseline) in Be-10 concentration around A.D. 775. However, an accurate height of this increase is not straightforwardly estimated due to the background variation in Be-10 concentration. The Be-10 increase can be due to the same cosmic ray event as shown in the C-14 content in A.D. 774-775.</t>
  </si>
  <si>
    <t>[Miyake, Fusa; Suzuki, Asami; Masuda, Kimiaki] Nagoya Univ, Solar Terr Environm Lab, Nagoya, Aichi 4648601, Japan; [Horiuchi, Kazuho] Hirosaki Univ, Grad Sch Sci &amp; Technol, Hirosaki, Aomori, Japan; [Motoyama, Hideaki] Natl Inst Polar Res, Tokyo, Japan; [Matsuzaki, Hiroyuki] Univ Tokyo, Univ Museum, MALT, Tokyo, Japan; [Motizuki, Yuko; Takahashi, Kazuya; Nakai, Yoichi] RIKEN Nishina Ctr, Wako, Saitama, Japan</t>
  </si>
  <si>
    <t>Nagoya University; Hirosaki University; Research Organization of Information &amp; Systems (ROIS); National Institute of Polar Research (NIPR) - Japan; University of Tokyo; RIKEN</t>
  </si>
  <si>
    <t>Miyake, F (corresponding author), Nagoya Univ, Solar Terr Environm Lab, Nagoya, Aichi 4648601, Japan.</t>
  </si>
  <si>
    <t>fmiyake@stelab.nagoya-u.ac.jp</t>
  </si>
  <si>
    <t>Miyake, Fusa/HLP-9694-2023; Nakai, Yoichi/D-6190-2017; Takahashi, kazuyat/U-3232-2018</t>
  </si>
  <si>
    <t>Miyake, Fusa/0000-0001-8002-9601; Takahashi, kazuyat/0000-0002-5104-2601; Horiuchi, Kazuho/0000-0003-3185-8766</t>
  </si>
  <si>
    <t>Japan Society for the Promotion of Science (JSPS); JSPS [22340144, 22241003, 22244061, 25247082, 22244015]; Cabinet Office, Government of Japan [GR098]; Grants-in-Aid for Scientific Research [26887019, 26287042, 22340144, 25247082, 22241003, 22244015, 22244061, 26241011, 25287051] Funding Source: KAKEN</t>
  </si>
  <si>
    <t>Japan Society for the Promotion of Science (JSPS)(Ministry of Education, Culture, Sports, Science and Technology, Japan (MEXT)Japan Society for the Promotion of Science); JSPS(Ministry of Education, Culture, Sports, Science and Technology, Japan (MEXT)Japan Society for the Promotion of Science); Cabinet Office, Government of Japan; Grants-in-Aid for Scientific Research(Ministry of Education, Culture, Sports, Science and Technology, Japan (MEXT)Japan Society for the Promotion of ScienceGrants-in-Aid for Scientific Research (KAKENHI))</t>
  </si>
  <si>
    <t>We are grateful to the Dome Fuji Ice Core Consortium for providing the ice core examined in this study. We thank M. Kitagawa and M. Igarashi for their help with obtaining the ion data. F.M.'s work was supported by a Research Fellowship of the Japan Society for the Promotion of Science (JSPS). K.M.'s work was partly supported by a Grant-in-Aid for Scientific Research (B) (grant 22340144) from JSPS. K.H.'s and H.M.'s work was partly supported by a Grant-in-Aid for Scientific Research (A) (grants 22241003, 22244061, 25247082) from JSPS. Y.M. acknowledges Funding Program for Next Generation World-Leading Researchers (NEXT Program, grant GR098) supported by the Cabinet Office, Government of Japan and JSPS, and a Grant-in-Aid for Scientific Research (A) (grant 22244015) from JSPS.</t>
  </si>
  <si>
    <t>10.1002/2014GL062218</t>
  </si>
  <si>
    <t>WOS:000349036500012</t>
  </si>
  <si>
    <t>Gagné, ME; Gillett, NP; Fyfe, JC</t>
  </si>
  <si>
    <t>Gagne, M. -E.; Gillett, N. P.; Fyfe, J. C.</t>
  </si>
  <si>
    <t>Observed and simulated changes in Antarctic sea ice extent over the past 50 years</t>
  </si>
  <si>
    <t>Antarctic; sea ice; Nimbus; modelling; observations; NSIDC</t>
  </si>
  <si>
    <t>SOUTHERN-OCEAN; TRENDS; VARIABILITY; CMIP5</t>
  </si>
  <si>
    <t>Continuous monitoring of the polar regions by satellites has shown that sea ice extent (SIE) in the Antarctic has increased slightly since 1979. By contrast, climate model simulations including all major anthropogenic and natural climate influences simulate an average decrease in SIE since 1979. Here we take a longer view and assess the consistency of observed and simulated changes in Antarctic SIE using recently recovered satellite-based estimates of Antarctic SIE for September 1964 and May-July 1966, hence extending the current observational record from 35 to 50 years. While there is evidence of inconsistency between observed trends in Antarctic SIE and those simulated since 1979, particularly in models with realistic interannual variability, the observed trends since the mid-1960s fall within the 5-95% range of simulated trends. Thus, our results broadly support the hypothesis that the recent increase in Antarctic SIE is due to internal variability, though the reasons for the inconsistency in simulated and observed changes since 1979 remain to be determined.</t>
  </si>
  <si>
    <t>[Gagne, M. -E.; Gillett, N. P.; Fyfe, J. C.] Environm Canada, Canadian Ctr Climate Modelling &amp; Anal, Victoria, BC, Canada</t>
  </si>
  <si>
    <t>Environment &amp; Climate Change Canada; Canadian Centre for Climate Modelling &amp; Analysis (CCCma)</t>
  </si>
  <si>
    <t>Gagné, ME (corresponding author), Environm Canada, Canadian Ctr Climate Modelling &amp; Anal, Victoria, BC, Canada.</t>
  </si>
  <si>
    <t>megagne@atmosp.physics.utoronto.ca</t>
  </si>
  <si>
    <t>Gagne, Marie-Eve/0000-0002-0387-3072</t>
  </si>
  <si>
    <t>Natural Science and Engineering Research Council of Canada</t>
  </si>
  <si>
    <t>Natural Science and Engineering Research Council of Canada(Natural Sciences and Engineering Research Council of Canada (NSERC))</t>
  </si>
  <si>
    <t>M.-E.G. was supported by the Natural Science and Engineering Research Council of Canada Visiting Fellowship Programme. We acknowledge the World Climate Research Programme's Working Group on Coupled Modelling, which is responsible for CMIP, and we thank the climate modeling groups (listed in Table S1 of this paper) for producing and making available their model output on the Earth System Grid-Center for Enabling Technologies data portal website. We also acknowledge the National Snow and Ice Data Center for producing the Sea Ice Index and making it available to the community on the NSIDC data archive website (data set names: S_05_area.txt, S_06_area.txt, S 07 area.txt, S 08 area.txt, and S_09_area.txt). We thank Michael Sigmond and Neil Swart for their helpful comments on the paper.</t>
  </si>
  <si>
    <t>10.1002/2014GL062231</t>
  </si>
  <si>
    <t>WOS:000349036500013</t>
  </si>
  <si>
    <t>Vance, TR; Roberts, JL; Plummer, CT; Kiem, AS; van Ommen, TD</t>
  </si>
  <si>
    <t>Vance, T. R.; Roberts, J. L.; Plummer, C. T.; Kiem, A. S.; van Ommen, T. D.</t>
  </si>
  <si>
    <t>Interdecadal Pacific variability and eastern Australian megadroughts over the last millennium</t>
  </si>
  <si>
    <t>Interdecadal Pacific Oscillation; reconstruction; megadroughts; Australia</t>
  </si>
  <si>
    <t>DOME ICE CORE; LAW DOME; DECADAL VARIABILITY; RAINFALL; RECORD; ENSO; DROUGHT; OSCILLATION; CIRCULATION; ANTARCTICA</t>
  </si>
  <si>
    <t>The Interdecadal Pacific Oscillation (IPO) influences multidecadal drought risk across the Pacific, but there are no millennial-length, high-resolution IPO reconstructions for quantifying long-term drought risk. In Australia, drought risk increases in positive phases of the IPO, yet few suitable rainfall proxies and short (approximate to 100 years) instrumental records mean large uncertainties remain around drought frequency and duration. Likewise, it is unknown whether megadroughts have occurred in Australia's past. In this study, an atmospheric teleconnection in the Indian Ocean midlatitudes linking East Antarctica and Australia is exploited to produce the first accurate, annually dated millennial-length IPO reconstruction from the Law Dome (East Antarctica) ice core. Combined with an eastern Australian rainfall proxy from Law Dome, the first millennial-length Australian megadrought (&gt;5 year duration) reconstruction is presented. Eight megadroughts are identified including one 39 year drought (A.D. 1174-1212), which occurred during an unprecedented century of aridity (A.D. 1102-1212).</t>
  </si>
  <si>
    <t>[Vance, T. R.; Roberts, J. L.; van Ommen, T. D.] Univ Tasmania, Antarctic Climate &amp; Ecosyst Cooperat Res Ctr, Hobart, Tas, Australia; [Roberts, J. L.; van Ommen, T. D.] Australian Antarctic Div, Dept Environm, Hobart, Tas, Australia; [Plummer, C. T.] Univ Tasmania, Inst Marine &amp; Antarctic Studies, Hobart, Tas, Australia; [Kiem, A. S.] Univ Newcastle, Fac Sci &amp; Informat Technol, Callaghan, NSW 2308, Australia</t>
  </si>
  <si>
    <t>Antarctic Climate &amp; Ecosystems Cooperative Research Centre (ACE CRC); University of Tasmania; Australian Antarctic Division; University of Tasmania; University of Newcastle</t>
  </si>
  <si>
    <t>Vance, TR (corresponding author), Univ Tasmania, Antarctic Climate &amp; Ecosyst Cooperat Res Ctr, Hobart, Tas, Australia.</t>
  </si>
  <si>
    <t>tessa.vance@utas.edu.au</t>
  </si>
  <si>
    <t>Roberts, Jason L/B-2235-2012; Kiem, Anthony/D-9307-2013; van Ommen, Tas/B-5020-2012</t>
  </si>
  <si>
    <t>Roberts, Jason L/0000-0002-3477-4069; Kiem, Anthony/0000-0002-3994-6958; van Ommen, Tas/0000-0002-2463-1718; Plummer, Christopher/0000-0002-9765-5753; Vance, Tessa/0000-0001-6970-8646</t>
  </si>
  <si>
    <t>Australian Government's Cooperative Research Centres Programme through the Antarctic Climate and Ecosystems Cooperative Research Centre (ACE CRC); Australian Antarctic Division [ASAC 757, 4061]</t>
  </si>
  <si>
    <t>Australian Government's Cooperative Research Centres Programme through the Antarctic Climate and Ecosystems Cooperative Research Centre (ACE CRC)(Australian GovernmentDepartment of Industry, Innovation and ScienceCooperative Research Centres (CRC) Programme); Australian Antarctic Division</t>
  </si>
  <si>
    <t>The supporting information data set file Data Set S1 contains the 13 year smoothed PLF and DT IPO reconstructions. The supporting information also provides further information about the IPO reconstructions detailed here and comparisons with previously published reconstructions. This work was supported by the Australian Government's Cooperative Research Centres Programme through the Antarctic Climate and Ecosystems Cooperative Research Centre (ACE CRC). The Australian Antarctic Division provided funding and logistical support (ASAC 757 and 4061). Twentieth century reanalysis data are provided by the NOAA/OAR/ESRL PSD (http://www.esrl.noaa.gov/psd/). We thank G. Meyers and P. Vance for manuscript discussions. T.V. designed the research. T.V. and J.R. carried out the analysis. All authors wrote the paper.</t>
  </si>
  <si>
    <t>10.1002/2014GL062447</t>
  </si>
  <si>
    <t>WOS:000349036500018</t>
  </si>
  <si>
    <t>Kuttippurath, J; Bodeker, GE; Roscoe, HK; Nair, PJ</t>
  </si>
  <si>
    <t>Kuttippurath, J.; Bodeker, G. E.; Roscoe, H. K.; Nair, P. J.</t>
  </si>
  <si>
    <t>A cautionary note on the use of EESC-based regression analysis for ozone trend studies</t>
  </si>
  <si>
    <t>regression analysis; EESC-based regression; PWLT regression; ozone trends; ozone recovery</t>
  </si>
  <si>
    <t>STRATOSPHERIC OZONE; TRANSPORT; RECOVERY</t>
  </si>
  <si>
    <t>Equivalent effective stratospheric chlorine (EESC) construct of ozone regression models attributes ozone changes to EESC changes using a single value of the sensitivity of ozone to EESC over the whole period. Using space-based total column ozone (TCO) measurements, and a synthetic TCO time series constructed such that EESC does not fall below its late 1990s maximum, we demonstrate that the EESC-based estimates of ozone changes in the polar regions (70-90 degrees) after 2000 may, falsely, suggest an EESC-driven increase in ozone over this period. An EESC-based regression of our synthetic failed Montreal Protocol with constant EESC time series suggests a positive TCO trend that is statistically significantly different from zero over 2001-2012 when, in fact, no recovery has taken place. Our analysis demonstrates that caution needs to be exercised when using explanatory variables, with a single fit coefficient, fitted to the entire data record, to interpret changes in only part of the record.</t>
  </si>
  <si>
    <t>[Kuttippurath, J.] Univ Paris 06, CNRS, LATMOS, Paris, France; [Bodeker, G. E.] Bodeker Sci, Alexandra, Central Otago, New Zealand; [Roscoe, H. K.] British Antarctic Survey, Cambridge CB3 0ET, England; [Nair, P. J.] Ctr Earth Sci Studies, Thiruvananthapuram, Kerala, India</t>
  </si>
  <si>
    <t>Sorbonne Universite; Centre National de la Recherche Scientifique (CNRS); Universite Paris Saclay; UK Research &amp; Innovation (UKRI); Natural Environment Research Council (NERC); NERC British Antarctic Survey; Ministry of Earth Sciences (MoES) - India; National Centre for Earth Science Studies (NCESS)</t>
  </si>
  <si>
    <t>Kuttippurath, J (corresponding author), Univ Paris 06, CNRS, LATMOS, Paris, France.</t>
  </si>
  <si>
    <t>jayan@latmos.ipsl.fr</t>
  </si>
  <si>
    <t>G., Prijitha R./AGH-9999-2022; Kuttippurath, Jayanarayanan/M-2878-2019; Bodeker, Greg E/A-8870-2008; Kuttippurath, Jayanarayanan/E-6441-2017</t>
  </si>
  <si>
    <t>G., Prijitha R./0000-0002-7768-5154; Kuttippurath, Jayanarayanan/0000-0003-4073-8918; Kuttippurath, Jayanarayanan/0000-0003-4073-8918; Bodeker, Gregory/0000-0003-1094-5852</t>
  </si>
  <si>
    <t>UK Natural Environment Research Council (NERC); NERC [bas0100023] Funding Source: UKRI; Natural Environment Research Council [bas0100023] Funding Source: researchfish</t>
  </si>
  <si>
    <t>UK Natural Environment Research Council (NERC)(UK Research &amp; Innovation (UKRI)Natural Environment Research Council (NERC)); NERC(UK Research &amp; Innovation (UKRI)Natural Environment Research Council (NERC)); Natural Environment Research Council(UK Research &amp; Innovation (UKRI)Natural Environment Research Council (NERC))</t>
  </si>
  <si>
    <t>We thank all providers of the data used in this study. The ozone data are from http://www.bodekerscientific.com/data/, the AAO/ENSO data from http://www.ncdc.noaa.gov/teleconnections, the solar flux data from ftp://ftp.ngdc.noaa.gov/STP/SOLARDATA/SOLARRADIO/FLUX/PentictonAdjusted/monthly/), the QBO data from http://www.geo.fu-berlin.de/met/ag/strat/produkte/qbo/, and the aerosol data from http://data.giss.nasa.gov/modelforce/strataer/. P.J.N.'s contribution to this work was during her tenure at CESS Thiruvananthapuram, and hence, the affiliation of that institute is given. P.J.N. thanks N.P. Kurian, the director of CESS, and V. Nandakumar for their help. H.K. Roscoe's participation is part of the British Antarctic Survey's Polar Science for Planet Earth programme, funded by the UK Natural Environment Research Council (NERC).</t>
  </si>
  <si>
    <t>10.1002/2014GL062142</t>
  </si>
  <si>
    <t>WOS:000349036500022</t>
  </si>
  <si>
    <t>Manfroi, J; Dutra, TL; Gnaedinger, S; Uhl, D; Jasper, A</t>
  </si>
  <si>
    <t>Manfroi, Joseline; Dutra, Tania Lindner; Gnaedinger, Silvia; Uhl, Dieter; Jasper, Andre</t>
  </si>
  <si>
    <t>The first report of a Campanian palaeo-wildfire in the West Antarctic Peninsula</t>
  </si>
  <si>
    <t>Macroscopic charcoal; Rip Point; South Shetland Islands; Volcanic events; Coniferous wood</t>
  </si>
  <si>
    <t>FOSSIL CHARCOAL; ISLAND; BASIN; TRANSITION; WOODS; FLORA</t>
  </si>
  <si>
    <t>The analysis of palaeofloras and the related palaeoecological conditions is of great importance for the understanding of past environmental and palaeoclimatic events in Antarctica. At the end of the Cretaceous, subtropical forests developed there because of wet and temperate climate conditions. On the Antarctic Peninsula, which is geologically characterized by a forearc context, volcanic activity caused by tectonics favours the ignition of vegetation fires. In the present study, the occurrence of palaeo-wildfires during the Upper Cretaceous is demonstrated for the Rip Point outcrop on Nelson Island, South Shetland Islands. During Brazilian expeditions to the area, macroscopic charcoal was collected and subsequently analysed under a stereomicroscope and scanning electron microscope (SEM). The charred wood remains were identified as belonging to conifers, which were important components of the Antarctic palaeoflora during the Cretaceous. A review of the data published thus far regarding palaeo-wildfires in the Southern Hemisphere confirms that the charcoal remains analysed here are the first to verify the occurrence of palaeo-wildfires in the upper Campanian levels of the West Antarctic Peninsula. (C) 2014 Elsevier B.V. All tights reserved.</t>
  </si>
  <si>
    <t>[Manfroi, Joseline; Dutra, Tania Lindner] Univ Vale Rio Dos Sinos UNISINOS, Programa Posgrad &amp; Geol PPGEO, BR-93022000 Sao Leopoldo, RS, Brazil; [Manfroi, Joseline; Uhl, Dieter; Jasper, Andre] Ctr Univ UNIVATES, Programa Posgrad Ambiente &amp; Desenvolvim PPGAD, BR-95900000 Lajeado, RS, Brazil; [Gnaedinger, Silvia] Univ Natl Nordeste FACENA UNNE, Fac Ciencias Exactas &amp; Nat &amp; Agr, Consejo Nacl Invest Cient &amp; Tecn CECOAL CONICET, Ctr Ecol Apl Litoral Area Paleontol, RA-3400 Corrientes, Argentina; [Uhl, Dieter] Senckenberg Forschungsinst, D-60325 Frankfurt, Germany; [Uhl, Dieter] Naturmuseum, D-60325 Frankfurt, Germany; [Uhl, Dieter] Univ Tubingen, Inst Geowissensch, Senckenberg Ctr Human Evolut &amp; Palaeoenvironm, D-72076 Tubingen, Germany</t>
  </si>
  <si>
    <t>Universidade do Vale do Taquari; Senckenberg Gesellschaft fur Naturforschung (SGN); Senckenberg Gesellschaft fur Naturforschung (SGN); Eberhard Karls University of Tubingen</t>
  </si>
  <si>
    <t>Dutra, TL (corresponding author), Univ Vale Rio Dos Sinos UNISINOS, Programa Posgrad &amp; Geol PPGEO, BR-93022000 Sao Leopoldo, RS, Brazil.</t>
  </si>
  <si>
    <t>tdutra@unisinos.br; ajasper@univates.br</t>
  </si>
  <si>
    <t>Jasper, André/C-2772-2008; Dutra, Tania L./A-2875-2010</t>
  </si>
  <si>
    <t>Jasper, André/0000-0001-8143-9733; Uhl, Dieter/0000-0002-9938-5339</t>
  </si>
  <si>
    <t>FAPERGS [11/1307-0]; CAPES [A072/2013]; CNPq (Brazil) [301585/2012-1, 473930/2012-9, 400972/2013-1, 444330/2014-3]; Science without Borders Program [A072/2013 - CAPES - Brazil]</t>
  </si>
  <si>
    <t>FAPERGS(Fundacao de Amparo a Ciencia e Tecnologia do Estado do Rio Grande do Sul (FAPERGS)); CAPES(Coordenacao de Aperfeicoamento de Pessoal de Nivel Superior (CAPES)); CNPq (Brazil)(Conselho Nacional de Desenvolvimento Cientifico e Tecnologico (CNPQ)); Science without Borders Program</t>
  </si>
  <si>
    <t>J. Manfroi, T.L Dutra and A. Jasper acknowledge the financial support by FAPERGS (11/1307-0), CAPES (A072/2013) and CNPq (301585/2012-1, 473930/2012-9,400972/2013-1, 444330/2014-3) (Brazil). D. Uhl acknowledges the Science without Borders Program (Project A072/2013 - CAPES - Brazil). All of the authors thank the Brazilian Antarctic Program (PROANTAR), as well as J. KvaEek for providing unpublished information about charred mesofossils from the Upper Cretaceous in James Ross Island. The authors also thank the two anonymous reviewers and PALAEO3 editor Finn Surlyk for their detailed revision and important suggestions for improving this paper.</t>
  </si>
  <si>
    <t>JAN 15</t>
  </si>
  <si>
    <t>10.1016/j.palaeo.2014.11.012</t>
  </si>
  <si>
    <t>CB7JZ</t>
  </si>
  <si>
    <t>WOS:000349804100002</t>
  </si>
  <si>
    <t>Noguchi, T; Ohashi, N; Tsujimoto, S; Mitsunari, T; Bradley, JP; Nakamura, T; Toh, S; Stephan, T; Iwata, N; Imae, N</t>
  </si>
  <si>
    <t>Noguchi, Takaaki; Ohashi, Noriaki; Tsujimoto, Shinichi; Mitsunari, Takuya; Bradley, John P.; Nakamura, Tomoki; Toh, Shoichi; Stephan, Thomas; Iwata, Naoyoshi; Imae, Naoya</t>
  </si>
  <si>
    <t>Cometary dust in Antarctic ice and snow: Past and present chondritic porous micrometeorites preserved on the Earth's surface</t>
  </si>
  <si>
    <t>Antarctica; micrometeorites; interplanetary dust particles; cometary dust</t>
  </si>
  <si>
    <t>FINE-GRAINED RIMS; INTERPLANETARY DUST; CARBONACEOUS CHONDRITE; STARDUST TRACKS; ACCRETION RATE; TAGISH LAKE; 81P/WILD-2; MINERALOGY; ROEDDERITE; PARTICLES</t>
  </si>
  <si>
    <t>Chondritic porous interplanetary dust particles (CP IDPs) collected in the stratosphere are regarded as possibly being cometary dust, and are therefore the most primitive solar system material that is currently available for analysis in laboratories. In this paper we report the discovery of more than 40 chondritic porous micrometeorites (CP MMs) in the surface snow and blue ice of Antarctica, which are indistinguishable from CP IDPs. The CP MMs are botryoidal aggregates, composed mainly of sub-micrometer-sized constituents. They contain two components that characterize them as CP IDPs: enstatite whiskers and GEMS (glass with embedded metal and sulfides). Enstatite whiskers appear as &lt;2-mu m-long acicular objects that are attached on, or protrude from the surface, and when included in the interior of the CP MMs are composed of a unit-cell scale mixture of clino- and ortho-enstatite, and elongated along the [100] direction. GEMS appear as 100-500 nm spheroidal objects containing &lt;50 nm Fe-Ni metal and Fe sulfide. The CP MMs also contain low-iron-manganese-enriched (LIME) and low-iron-chromium-enriched (LICE) ferromagnesian silicates, kosmochlor (NaCrSi2O6)-rich high-Ca pyroxene, roedderite (K,Na)(2)Mg5Si12O30, and carbonaceous nanoglobules. These components have previously been discovered in primitive solar system materials such as the CP IDPs, matrices of primitive chondrites, phyllosilicate-rich MMs, ultracarbonaceous MMs, and cometary particles recovered from the 81P/Wild 2 comet. The most outstanding feature of these CP MMs is the presence of kosmochlor-rich high-Ca pyroxene and roedderite, which suggest that they have building blocks in common with CP IDPs and cometary dust particles and therefore suggest a possible cometary origin of both CP MMs and CP IDPs. It is therefore considered that CP MMs are CP IDPs that have fallen to Earth and have survived the terrestrial environment. (C) 2014 Elsevier B.V. All rights reserved.</t>
  </si>
  <si>
    <t>[Noguchi, Takaaki] Kyushu Univ, Fac Arts &amp; Sci, Nishi Ku, Fukuoka 8190395, Japan; [Ohashi, Noriaki; Tsujimoto, Shinichi; Mitsunari, Takuya] Ibaraki Univ, Coll Sci, Mito, Ibaraki 3108512, Japan; [Bradley, John P.] Univ Hawaii Manoa, Hawaii Inst Geophys &amp; Planetol, Honolulu, HI 96822 USA; [Nakamura, Tomoki] Tohoku Univ, Dept Earth Sci, Aoba Ku, Sendai, Miyagi 9808578, Japan; [Toh, Shoichi] Fukuoka Univ, Dept Appl Phys, Fukuoka 8140180, Japan; [Stephan, Thomas] Univ Chicago, Dept Geophys Sci, Chicago, IL 60637 USA; [Iwata, Naoyoshi] Yamagata Univ, Dept Earth &amp; Environm Sci, Yamagata 9908560, Japan; [Imae, Naoya] Natl Inst Polar Res, Tachikawa, Tokyo 1908518, Japan</t>
  </si>
  <si>
    <t>Kyushu University; Ibaraki University; University of Hawaii System; University of Hawaii Manoa; Tohoku University; Fukuoka University; University of Chicago; Yamagata University; Research Organization of Information &amp; Systems (ROIS); National Institute of Polar Research (NIPR) - Japan</t>
  </si>
  <si>
    <t>Noguchi, T (corresponding author), Kyushu Univ, Fac Arts &amp; Sci, Nishi Ku, 744 Motooka, Fukuoka 8190395, Japan.</t>
  </si>
  <si>
    <t>tnoguchi@artsci.kyushu-u.ac.jp</t>
  </si>
  <si>
    <t>Stephan, Thomas/C-1023-2008; Iwata, Naoyoshi/B-7554-2008; Noguchi, Takaaki/IWV-1123-2023; Nakamura, Tomoki/Y-8551-2018</t>
  </si>
  <si>
    <t>Stephan, Thomas/0000-0001-6377-8731; Iwata, Naoyoshi/0000-0002-0017-9130; Noguchi, Takaaki/0000-0001-7211-2595;</t>
  </si>
  <si>
    <t>JSPS [17340157, 13440158, 22224010]; Grants-in-Aid for Scientific Research [26610177, 22224010, 17340157, 23340165, 13440158, 25247091, 24540526] Funding Source: KAKEN</t>
  </si>
  <si>
    <t>JSPS(Ministry of Education, Culture, Sports, Science and Technology, Japan (MEXT)Japan Society for the Promotion of Science); Grants-in-Aid for Scientific Research(Ministry of Education, Culture, Sports, Science and Technology, Japan (MEXT)Japan Society for the Promotion of ScienceGrants-in-Aid for Scientific Research (KAKENHI))</t>
  </si>
  <si>
    <t>The authors would like to thank H. Motoyama and the members of the JARE teams, who collected the surface snow in Antarctica. We also greatly appreciate the support of S. Chikazawa, H. Fushimi, A. lose, M. Kogo, J. Mikada, A. Nakazawa, S. Nishida, D. Noda, M. Okada, A. Okubo, M. Osonoi, T. Saeki, Y. Suenaga, Y. Sugawara, Y. Takemasa, Y. Uryu, and H. Yoshida for their assistance during the collection of MMs in ice and snow. We acknowledge M. Tanaka, T. Iwazumi, Y. Wakabayashi, and T. Mori for supporting SR-XRD analysis at KEK-PF, and T. Aoki for preparation of a FIB section at Kyushu University. This study is supported by JSPS grants 17340157 and 13440158 awarded to T. Noguchi, and 22224010 to H. Nagahara.</t>
  </si>
  <si>
    <t>10.1016/j.epsl.2014.11.012</t>
  </si>
  <si>
    <t>CA8UM</t>
  </si>
  <si>
    <t>WOS:000349196400001</t>
  </si>
  <si>
    <t>Usui, T; Alexander, CMO; Wang, JH; Simon, JI; Jones, JH</t>
  </si>
  <si>
    <t>Usui, Tomohiro; Alexander, Cone M. O'D.; Wang, Jianhua; Simon, Justin I.; Jones, John H.</t>
  </si>
  <si>
    <t>Meteoritic evidence for a previously unrecognized hydrogen reservoir on Mars</t>
  </si>
  <si>
    <t>Mars; shergottite; hydrogen isotope; ground ice; hydrated crust; ion microprobe</t>
  </si>
  <si>
    <t>PHYRIC SHERGOTTITE YAMATO-980459; HOSTED MELT INCLUSIONS; WATER RESERVOIRS; SILICATE-GLASSES; ISOTOPE RATIOS; OLIVINE; MANTLE; PETROGENESIS; HISTORY; VOLATILE</t>
  </si>
  <si>
    <t>Fluvial landforms on Mars suggest that it was once warm enough to maintain persistent liquid water on its surface. The transition to the present cold and dry Mars is closely linked to the history of surface water, yet the evolution of surficial water is poorly constrained. Based on in situ hydrogen isotope (D/H) analyses of quenched and impact glasses in Martian meteorites, we provide evidence for the existence of a distinct but ubiquitous water/ice reservoir (D/H = similar to 2-3 times Earth's ocean water) that lasted from at least the time when the meteorites crystallized (173-472 million years ago) to the time they were ejected by impacts (0.7-3.3 million years ago), but possibly much longer. The origin of this reservoir appears to predate the current Martian atmospheric water (D/H = similar to 5-6 times Earth's ocean water) and is unlikely to be a simple mixture of atmospheric and primordial water retained in the Martian mantle (D/H approximate to Earth's ocean water). This reservoir could represent hydrated crust and/or ground ice interbedded within sediments. Our results corroborate the hypothesis that a buried cryosphere accounts for a large part of the initial water budget of Mars. (C) 2014 Elsevier B.V. All rights reserved.</t>
  </si>
  <si>
    <t>[Usui, Tomohiro] Tokyo Inst Technol, Dept Earth &amp; Planetary Sci, Meguro Ku, Tokyo 1528551, Japan; [Usui, Tomohiro] Univ Space Res Assoc, Lunar &amp; Planetary Inst, Houston, TX 77058 USA; [Alexander, Cone M. O'D.; Wang, Jianhua] Carnegie Inst Sci, Dept Terr Magnetism, Washington, DC 20015 USA; [Simon, Justin I.] NASA, Ctr Isotope Cosmochem &amp; Geochronol, Astromat Res &amp; Explorat Sci Directorate, Johnson Space Ctr, Houston, TX 77058 USA; [Jones, John H.] NASA, Astromat Res &amp; Explorat Sci Directorate, Johnson Space Ctr, Houston, TX 77058 USA</t>
  </si>
  <si>
    <t>Tokyo Institute of Technology; Universities Space Research Association (USRA); Carnegie Institution for Science; National Aeronautics &amp; Space Administration (NASA); National Aeronautics &amp; Space Administration (NASA)</t>
  </si>
  <si>
    <t>Usui, T (corresponding author), Tokyo Inst Technol, Dept Earth &amp; Planetary Sci, Meguro Ku, 2-12-1 Ookayama, Tokyo 1528551, Japan.</t>
  </si>
  <si>
    <t>tomohirousui@geo.titech.ac.jp</t>
  </si>
  <si>
    <t>Alexander, Conel M. O'D./N-7533-2013; Jones, Brian/B-8792-2016; jones, john/IQW-0502-2023; Wang, Jianhua/D-6500-2011</t>
  </si>
  <si>
    <t>Alexander, Conel M. O'D./0000-0002-8558-1427; Wang, Jianhua/0000-0002-7671-2413</t>
  </si>
  <si>
    <t>NASA Mars Fundamental Research Program grant [NNX11AF57G]; Astrobiology Institute grant; Astromaterials Research and Exploration Sciences Directorate at NASA Johnson Space Center; Grants-in-Aid for Scientific Research [26800272] Funding Source: KAKEN; NASA [146584, NNX11AF57G] Funding Source: Federal RePORTER</t>
  </si>
  <si>
    <t>NASA Mars Fundamental Research Program grant; Astrobiology Institute grant; Astromaterials Research and Exploration Sciences Directorate at NASA Johnson Space Center; Grants-in-Aid for Scientific Research(Ministry of Education, Culture, Sports, Science and Technology, Japan (MEXT)Japan Society for the Promotion of ScienceGrants-in-Aid for Scientific Research (KAKENHI)); NASA(National Aeronautics &amp; Space Administration (NASA))</t>
  </si>
  <si>
    <t>The NASA Antarctic Meteorite Collection and Curation group and the National Institute of Polar Research, Japan are thanked for providing the shergottite samples. We are grateful to B.M. Jakosky, L Hallis, and an anonymous reviewer for constructive reviews, and T.M. Harrison for editorial handling. Finally, TU thanks H. Kurokawa, M. Sato, J.M. Dohm, and the members of Mars Science Team of Tokyo Tech, for insightful discussions for this project. This work was supported by a NASA Mars Fundamental Research Program grant (NNX11AF57G) to TU, an Astrobiology Institute grant to CIW for CA and JW, and the Astromaterials Research and Exploration Sciences Directorate at NASA Johnson Space Center.</t>
  </si>
  <si>
    <t>10.1016/j.epsl.2014.11.022</t>
  </si>
  <si>
    <t>WOS:000349196400014</t>
  </si>
  <si>
    <t>Tapia, R; Nürnberg, D; Ronge, T; Tiedemann, R</t>
  </si>
  <si>
    <t>Tapia, R.; Nuernberg, D.; Ronge, T.; Tiedemann, R.</t>
  </si>
  <si>
    <t>Disparities in glacial advection of Southern Ocean Intermediate Water to the South Pacific Gyre</t>
  </si>
  <si>
    <t>intermediate water masses; south Pacific Gyre; foraminiferal Mg/Ca; planktonic foraminifera</t>
  </si>
  <si>
    <t>SEA-SURFACE TEMPERATURE; ANTARCTIC MODE WATER; PLANKTONIC-FORAMINIFERA; LATE-PLEISTOCENE; INTERGLACIAL CHANGES; ISOTOPIC COMPOSITION; MAXIMUM; CLIMATE; ICE; CIRCULATION</t>
  </si>
  <si>
    <t>The Intermediate Waters formed in the Southern Ocean are critical for ventilating the thermocline in the Southern Hemisphere Gyres and transporting climatic signals from high to low latitudes on glacial-interglacial time-scales. Despite the importance of the Southern Ocean Intermediate Waters (SOIWs), information on past changes in SOIWs formation is fragmentary, and its impact on the South Pacific Gyre (SPG)'s thermocline largely unknown. Here, we present a 200 kyr record of paired Mg/Ca ratios and stable oxygen isotope from surface and deep dwelling planktonic foraminifera, from the SPG. On average, the Globigerina bulloides Mg/Ca-derived sea surface temperatures show similar conditions during the LGM and Marine Isotope Stage (MIS) 6 (9.4 degrees C versus 9.8 degrees C). In contrast, the subsurface temperatures derived from the Mg/Ca values of Globorotalia inflata and Globorotalia truncatulinoides suggest that LGM is similar to 3 to similar to 2 degrees C colder than MIS 6. Furthermore, at subsurface depths the reconstructed delta O-18(sw-ivc) record (proxy for relative local salinity changes) suggests opposite glacial conditions, with slightly saltier-than-Holocene waters during MIS 6, and fresher-than-Holocene waters during LGM. Contrasting glacial scenarios, plausibly due to changes in the presence of SOIWs at the study site, suggest variable formation and/or advection of SOIWs to the SPG during different glacial stages. The variability in SOIWs is probably driven by the changes in the intensity of the Southern Westerly Winds. (C) 2014 Elsevier B.V. All rights reserved.</t>
  </si>
  <si>
    <t>[Tapia, R.; Nuernberg, D.] GEOMAR Helmholtz Ctr Ocean Res Kiel, D-24148 Kiel, Germany; [Ronge, T.; Tiedemann, R.] Helmholtz Ctr Polar &amp; Marine Res, Alfred Wegener Inst, D-27568 Bremerhaven, Germany</t>
  </si>
  <si>
    <t>Helmholtz Association; GEOMAR Helmholtz Center for Ocean Research Kiel; Helmholtz Association; Alfred Wegener Institute, Helmholtz Centre for Polar &amp; Marine Research</t>
  </si>
  <si>
    <t>Tapia, R (corresponding author), GEOMAR Helmholtz Ctr Ocean Res Kiel, Wischhofstr 1-3, D-24148 Kiel, Germany.</t>
  </si>
  <si>
    <t>rtapia@geomar.de</t>
  </si>
  <si>
    <t>; Tapia, Raul/H-3956-2016</t>
  </si>
  <si>
    <t>Ronge, Thomas/0000-0003-2625-719X; Tapia, Raul/0000-0002-2620-7355; Tiedemann, Ralf/0000-0001-7211-8049</t>
  </si>
  <si>
    <t>Federal Ministry of Education and Research (BMBF; Germany) [03G0213B]</t>
  </si>
  <si>
    <t>Federal Ministry of Education and Research (BMBF; Germany)(Federal Ministry of Education &amp; Research (BMBF))</t>
  </si>
  <si>
    <t>This study is part of the project SOPATRA (SOuth PAcific paleoceanographic TRAnsect) funded by the Federal Ministry of Education and Research (BMBF; Germany) through grant No. 03G0213B. Technical support and laboratory assistance from N. Gehre, L. Haxhiaj (GEOMAR) and L. Schonborn (AWI) are highly appreciated. We are grateful to S.L. Ho, S. Contreras and J. Groeneveld for their comments and suggestions during the preparation of this manuscript, and two anonymous reviewers for their critical comments that substantially improved the final version of this article. Data presented in this study is available in PANGAEA database (www.pangaea.de).</t>
  </si>
  <si>
    <t>10.1016/j.epsl.2014.11.031</t>
  </si>
  <si>
    <t>WOS:000349196400015</t>
  </si>
  <si>
    <t>Polmear, R; Stark, JS; Roberts, D; McMinn, A</t>
  </si>
  <si>
    <t>Polmear, R.; Stark, J. S.; Roberts, D.; McMinn, A.</t>
  </si>
  <si>
    <t>The effects of oil pollution on Antarctic benthic diatom communities over 5 years</t>
  </si>
  <si>
    <t>Hydrocarbon; Biodegradable lubricant; Benthic diatoms; Antarctica</t>
  </si>
  <si>
    <t>MARINE-SEDIMENTS; PETROLEUM HYDROCARBON; WINDMILL ISLANDS; LUBRICANT OILS; CONTAMINATION; VARIABILITY; RECRUITMENT; DEGRADATION; STATION; DIESEL</t>
  </si>
  <si>
    <t>Although considered pristine, Antarctica has not been impervious to hydrocarbon pollution. Antarctica's history is peppered with oil spills and numerous abandoned waste disposal sites. Both spill events and constant leakages contribute to previous and current sources of pollution into marine sediments. Here we compare the response of the benthic diatom communities over 5 years to exposure to a commonly used standard synthetic lubricant oil, an alternative lubricant marketed as more biodegradable, in comparison to a control treatment. Community composition varied significantly over time and between treatments with some high variability within contaminated treatments suggesting community stress. Both lubricants showed evidence of significant effects on community composition after 5 years even though total petroleum hydrocarbon reduction reached approximately 80% over this time period. It appears that even after 5 years toxicity remains high for both the standard and biodegradable lubricants revealing the temporal scale at which pollutants persist in Antarctica. (C) 2014 Elsevier Ltd. All rights reserved.</t>
  </si>
  <si>
    <t>[Polmear, R.; McMinn, A.] Univ Tasmania, Inst Marine &amp; Antarct Studies, Hobart, Tas 7001, Australia; [Stark, J. S.] Australian Antarct Div, Kingston, Tas 7050, Australia; [Roberts, D.] Univ Tasmania, Antarct Climate &amp; Ecosyst CRC, Hobart, Tas 7001, Australia</t>
  </si>
  <si>
    <t>University of Tasmania; Australian Antarctic Division; University of Tasmania</t>
  </si>
  <si>
    <t>McMinn, A (corresponding author), Univ Tasmania, Inst Marine &amp; Antarct Studies, Private Bag 129, Hobart, Tas 7001, Australia.</t>
  </si>
  <si>
    <t>Andrew.mcminn@utas.edu.au</t>
  </si>
  <si>
    <t>McMinn, Andrew/A-9910-2008; Stark, Jonathan/ABF-4025-2020</t>
  </si>
  <si>
    <t>Stark, Jonathan/0000-0002-4268-8072; Roberts, Donna/0000-0001-6701-6662</t>
  </si>
  <si>
    <t>University of Tasmania; Australian Antarctic Division (AAS) [2201, 4180]</t>
  </si>
  <si>
    <t>University of Tasmania; Australian Antarctic Division (AAS)</t>
  </si>
  <si>
    <t>This projected was supported by the University of Tasmania and the Australian Antarctic Division (AAS Grants 2201 and 4180).</t>
  </si>
  <si>
    <t>10.1016/j.marpolbul.2014.11.035</t>
  </si>
  <si>
    <t>CA5QX</t>
  </si>
  <si>
    <t>WOS:000348964000017</t>
  </si>
  <si>
    <t>Corbett, PA; King, CK; Mondon, JA</t>
  </si>
  <si>
    <t>Corbett, Patricia A.; King, Catherine K.; Mondon, Julie A.</t>
  </si>
  <si>
    <t>Tracking spatial distribution of human-derived wastewater from Davis Station, East Antarctica, using δ15N and δ13C stable isotopes</t>
  </si>
  <si>
    <t>Trematomus bernacchii; Sewage; Fish; Antarctic rock-cod; Stable isotope</t>
  </si>
  <si>
    <t>FISH TREMATOMUS-BERNACCHII; REEF PLANKTIVOROUS FISH; NITROGEN ISOTOPES; MARINE-ENVIRONMENT; SEWAGE POLLUTION; NEW-ZEALAND; MOA POINT; CARBON; DELTA-N-15; IMPACTS</t>
  </si>
  <si>
    <t>Stable isotope ratios, delta 15N and delta 13C were effectively used to determine the geographical dispersion of human derived sewage from Davis Station, East Antarctica, using Antarctic rock cod (Trematomus bemacchii). Fish within 0-4 km downstream of the outfall exhibited higher delta 15N and delta 13C values relative to reference sites. Nitrogen in particular showed a stepped decrease in delta 15N with increasing distance from the discharge point by 1-2 parts per thousand. Stable isotopes were better able to detect the extent of wastewater contamination than other techniques including faecal coliform and sterol measures. Uptake and assimilation of delta 15N and delta 13C up to 4 km from the outfall adds to growing evidence indicating the current level of wastewater treatment at Davis Station is not sufficient to avoid impact to the surrounding environment. Isotopic assimilation in T. bernacchii is a viable biomarker for investigation of initial sewage exposure and longer term monitoring in the future. (C) 2014 Elsevier Ltd. All rights reserved.</t>
  </si>
  <si>
    <t>[Corbett, Patricia A.; Mondon, Julie A.] Deakin Univ, Sch Life &amp; Environm Sci, Ctr Integrat Ecol, Warrnambool, Vic 3280, Australia; [King, Catherine K.] Australian Antarct Div, Kingston, Tas 7050, Australia</t>
  </si>
  <si>
    <t>Deakin University; Australian Antarctic Division</t>
  </si>
  <si>
    <t>Corbett, PA (corresponding author), 4 Paratea Crt, Greensborough 3088, Vic, Australia.</t>
  </si>
  <si>
    <t>pacor@deakin.edu.au; Cath.King@aad.gov.au; julie.mondon@deakin.edu.au</t>
  </si>
  <si>
    <t>King, Catherine K/0000-0003-3356-0381; Corbett, Patricia/0000-0002-0867-9113</t>
  </si>
  <si>
    <t>Australian Antarctic Science Research Program [4177]; Centre of Integrative Ecology; Deakin University; Australian Research Council postgraduate scholarship</t>
  </si>
  <si>
    <t>Australian Antarctic Science Research Program; Centre of Integrative Ecology; Deakin University; Australian Research Council postgraduate scholarship(Australian Research Council)</t>
  </si>
  <si>
    <t>The authors thank the Davis Station summer marine team of 2012/13 for assistance in field sample collection and laboratory assistance. We are very grateful to John Van den Hoff for facilitating collections around Davis Station and his explicit knowledge the area, including assistance choosing sample sites. This study was funded by the Australian Antarctic Science Research Program Project 4177, with further support from the Centre of Integrative Ecology, Deakin University, and through an Australian Research Council postgraduate scholarship to P. Corbett.</t>
  </si>
  <si>
    <t>10.1016/j.marpolbul.2014.11.034</t>
  </si>
  <si>
    <t>WOS:000348964000018</t>
  </si>
  <si>
    <t>Rogov, DD; Moskaleva, EV; Zaalov, NY</t>
  </si>
  <si>
    <t>Rogov, D. D.; Moskaleva, E. V.; Zaalov, N. Y.</t>
  </si>
  <si>
    <t>Modeling of high frequency radio wave absorption on oblique soundings during a solar X-ray flare</t>
  </si>
  <si>
    <t>Propagation HF waves; Oblique ionogram; Absorption</t>
  </si>
  <si>
    <t>High frequency radio wave absorption induced by Solar Ultra-Violet (UV) and X-ray flux is investigated. The influence of the solar flare observed on 11 April 2013 on the structure of oblique sounding ionograms in the Arctic region of Russia is considered. An adjustable model of the ionosphere developed for high frequency (HF) propagation problems was employed for this purpose. The simulation algorithm has been designed to accept a large variety of ionospheric conditions. On the basis of the SWPC D-region Absorption model the absorption effects in the ionosphere at sub-auroral latitudes of the Earth were calculated. This approach does not require knowledge of the electron density and electron collision frequency profiles of the D-region ionosphere. The oblique ionograms simulated with the absorption effect and ionograms provided by Russian network of ionospheric observations deployed in Arctic region exhibit quite a good resemblance. (C) 2014 COSPAR. Published by Elsevier Ltd. All rights reserved.</t>
  </si>
  <si>
    <t>[Rogov, D. D.] Arctic &amp; Antarctic Res Inst, St Petersburg, Russia; [Rogov, D. D.; Moskaleva, E. V.; Zaalov, N. Y.] Univ St Petersburg, St Petersburg, Russia</t>
  </si>
  <si>
    <t>Arctic &amp; Antarctic Research Institute; Saint Petersburg State University</t>
  </si>
  <si>
    <t>Moskaleva, EV (corresponding author), Univ St Petersburg, St Petersburg, Russia.</t>
  </si>
  <si>
    <t>moelvi@mail.ru</t>
  </si>
  <si>
    <t>Zaalov, Nikolay/HKF-2082-2023; Zaalov, Nikolay/M-9174-2013; Rogov, Denis/AAH-2763-2020; Moskaleva, Elena/N-9386-2013</t>
  </si>
  <si>
    <t>Zaalov, Nikolay/0000-0003-1703-6037; Zaalov, Nikolay/0000-0003-1703-6037; Moskaleva, Elena/0000-0002-8664-1225</t>
  </si>
  <si>
    <t>10.1016/j.asr.2014.11.001</t>
  </si>
  <si>
    <t>AZ2TK</t>
  </si>
  <si>
    <t>WOS:000348085000007</t>
  </si>
  <si>
    <t>Parker, RWR; Hartmann, K; Green, BS; Gardner, C; Watson, RA</t>
  </si>
  <si>
    <t>Parker, Robert W. R.; Hartmann, Klaas; Green, Bridget S.; Gardner, Caleb; Watson, Reg A.</t>
  </si>
  <si>
    <t>Environmental and economic dimensions of fuel use in Australian fisheries</t>
  </si>
  <si>
    <t>JOURNAL OF CLEANER PRODUCTION</t>
  </si>
  <si>
    <t>Fisheries; Fuel consumption; Carbon footprint; Life cycle assessment; Oil prices</t>
  </si>
  <si>
    <t>LIFE-CYCLE ASSESSMENT; LCA METHODOLOGY; ENERGY USE; EFFICIENCY; IMPACT; SUSTAINABILITY; PERFORMANCE; CAUGHT</t>
  </si>
  <si>
    <t>Fisheries globally are facing multiple sustainability challenges, including low fish stocks, overcapacity, unintended bycatch and habitat alteration. Recently, fuel consumption has joined this list of challenges, with increasing consumer demand for low-carbon food production and the implementation of carbon pricing mechanisms. The environmental impetus for improving fishery fuel performance is coupled with economic benefits of decreasing fuel expenditures as oil prices rise. Management options to improve the fuel performance of fisheries could satisfy multiple objectives by providing low-carbon fish products, improving economic viability of the industry, and alleviating pressure on overfished stocks. We explored the association of fuel consumption and fuel costs in a wide range of Australian fisheries, tracking trends in consumption and expenditure over two decades, to determine if there is an economic impetus for improving the fuel efficiency - and therefore carbon footprint - of the industry. In the years studied, Australian fisheries, particularly energy-intensive crustacean fisheries, consumed large quantities of fuel per kilogram of seafood product relative to global fisheries. Many fisheries improved their fuel consumption, particularly in response to increases in biomass and decreases in overcapacity. Those fisheries that improved their fuel consumption also saw a decrease in their relative fuel expenditure, partially counteracted by rising oil prices. Reduction in fuel use in some Australian fisheries has been substantial and this has resulted not from technological or operational changes but indirectly through fisheries management. These changes have mainly resulted from management decisions targeting ecological and economic objectives, so more explicit consideration of fuel use may help in extending these improvements. (C) 2014 Elsevier Ltd. All rights reserved.</t>
  </si>
  <si>
    <t>[Parker, Robert W. R.; Hartmann, Klaas; Green, Bridget S.; Gardner, Caleb; Watson, Reg A.] Univ Tasmania, Inst Marine &amp; Antarctic Studies, Hobart, Tas 7000, Australia</t>
  </si>
  <si>
    <t>Parker, RWR (corresponding author), Univ Tasmania, Inst Marine &amp; Antarctic Studies, Private Bag 49, Hobart, Tas 7000, Australia.</t>
  </si>
  <si>
    <t>robert.parker@utas.edu.au</t>
  </si>
  <si>
    <t>Watson, Reg A/F-4850-2012; Green, Bridget S/G-3368-2014; Hartmann, Klaas/B-3991-2008; Parker, Robert/J-4476-2012; Gardner, Caleb/I-7086-2013</t>
  </si>
  <si>
    <t>Watson, Reg A/0000-0001-7201-8865; Parker, Robert/0000-0003-1910-8081; Gardner, Caleb/0000-0003-0324-4337</t>
  </si>
  <si>
    <t>Australian Seafood Cooperative Research Centre (CRC) [100596]</t>
  </si>
  <si>
    <t>Australian Seafood Cooperative Research Centre (CRC)(Australian GovernmentDepartment of Industry, Innovation and ScienceCooperative Research Centres (CRC) Programme)</t>
  </si>
  <si>
    <t>This project was possible thanks to funding from the Australian Seafood Cooperative Research Centre (CRC) (100596).</t>
  </si>
  <si>
    <t>0959-6526</t>
  </si>
  <si>
    <t>1879-1786</t>
  </si>
  <si>
    <t>J CLEAN PROD</t>
  </si>
  <si>
    <t>J. Clean Prod.</t>
  </si>
  <si>
    <t>10.1016/j.jclepro.2014.09.081</t>
  </si>
  <si>
    <t>Green &amp; Sustainable Science &amp; Technology; Engineering, Environmental; Environmental Sciences</t>
  </si>
  <si>
    <t>Science &amp; Technology - Other Topics; Engineering; Environmental Sciences &amp; Ecology</t>
  </si>
  <si>
    <t>AY3OW</t>
  </si>
  <si>
    <t>WOS:000347493700010</t>
  </si>
  <si>
    <t>Howard, KT; Alexander, CMO; Schrader, DL; Dyl, KA</t>
  </si>
  <si>
    <t>Howard, K. T.; Alexander, C. M. O'D.; Schrader, D. L.; Dyl, K. A.</t>
  </si>
  <si>
    <t>Classification of hydrous meteorites (CR, CM and C2 ungrouped) by phyllosilicate fraction: PSD-XRD modal mineralogy and planetesimal environments</t>
  </si>
  <si>
    <t>GEOCHIMICA ET COSMOCHIMICA ACTA</t>
  </si>
  <si>
    <t>X-RAY-DIFFRACTION; PROGRESSIVE AQUEOUS ALTERATION; CARBONACEOUS CHONDRITES CI; FINE-GRAINED RIMS; COMPOSITIONAL CLASSIFICATION; PARENT BODIES; TAGISH LAKE; WATER; SPECTROSCOPY; ASSEMBLAGES</t>
  </si>
  <si>
    <t>The relative differences in the degree of hydration should be reflected in any classification scheme for aqueously altered meteorites. Here we report the bulk mineralogies and degree of hydration in 37 different carbonaceous chondrites: Renazzo-like (CR), Mighei-like (CM), and ungrouped (type 2) samples. This is achieved by quantifying the modal abundances of all major (phases present in abundances &gt;1 wt.%) minerals using Position Sensitive Detector X-ray Diffraction (PSD-XRD). From these modal abundances, a classification scheme is constructed that is based on the normalized fraction of phyllosilicate (total phyllosilicate/total anhydrous silicate + total phyllosilicate). Samples are linearly ranked from type 3.0 - corresponding to a phyllosilicate fraction of &lt;0.05, to type 1.0 - corresponding to a total phyllosilicate fraction of &gt;0.95. Powdered meteorite samples from any hydrated carbonaceous chondrite group can be ranked on this single classification scale. The resulting classifications for CRs exhibit a range from type 2.8 to 1.3, while for CMs the range is 1.7-1.2. The primary manifestation of aqueous alteration is the production of phyllosilicate, which ceased when the fluid supply was exhausted, leading to the preservation of anhydrous silicates in all samples. The variability in hydration indicates that either accretion of ices was heterogeneous or fluid was mobilized. From the bulk mineral abundances of the most hydrated samples, we infer that the initial mass fraction of H2O inside of their parent body(ies) asteroids was &lt;20 wt.%. Bulk carbonaceous chondrite mineralogy evolved towards increasingly oxidizing assemblages as the extent of bulk hydration increased. This is consistent with the escape of reducing H-2 gas that is predicted to have been produced from water during hydration reactions. (C) 2014 Elsevier Ltd. All rights reserved.</t>
  </si>
  <si>
    <t>[Howard, K. T.] CUNY, Kingsborough Community Coll, Brooklyn, NY 11235 USA; [Howard, K. T.] Amer Museum Nat Hist, New York, NY 10024 USA; [Howard, K. T.] Nat Hist Museum, London SW7 5BD, England; [Alexander, C. M. O'D.] Carnegie Inst Sci, Dept Terr Magnetism, Washington, DC 20015 USA; [Schrader, D. L.] Smithsonian Inst, Natl Museum Nat Hist, Washington, DC 20560 USA; [Dyl, K. A.] Curtin Univ, Dept Appl Geol, Perth, WA 6845, Australia</t>
  </si>
  <si>
    <t>City University of New York (CUNY) System; American Museum of Natural History (AMNH); Natural History Museum London; Carnegie Institution for Science; Smithsonian Institution; Smithsonian National Museum of Natural History; Curtin University</t>
  </si>
  <si>
    <t>Howard, KT (corresponding author), CUNY, Kingsborough Community Coll, 2001 Oriental Blvd, Brooklyn, NY 11235 USA.</t>
  </si>
  <si>
    <t>kieren.howard@kbcc.cuny.edu</t>
  </si>
  <si>
    <t>Alexander, Conel M. O'D./N-7533-2013; Schrader, Devin L/H-6293-2012</t>
  </si>
  <si>
    <t>Alexander, Conel M. O'D./0000-0002-8558-1427; Schrader, Devin/0000-0001-5282-232X</t>
  </si>
  <si>
    <t>NASA [NNX14AG27G, NNA09DA81A, NNX11AG67G]; Australian Research Council; NSF; NASA [NNX14AG27G, 144076, NNX11AG67G, 683975] Funding Source: Federal RePORTER</t>
  </si>
  <si>
    <t>NASA(National Aeronautics &amp; Space Administration (NASA)); Australian Research Council(Australian Research Council); NSF(National Science Foundation (NSF)); NASA(National Aeronautics &amp; Space Administration (NASA))</t>
  </si>
  <si>
    <t>K.T.H. was supported by NASA Cosmochemistry grant NNX14AG27G and thanks Ashley King, Paul Schofield and the UK-Cosmochemical Analysis Network (UK-CAN) at the Natural History Museum, London, for access to the PSD-XRD. C.A. was partially supported by NASA Astrobiology grant NNA09DA81A and by NASA Cosmochemistry grant NNX11AG67G. K.A.D. acknowledges the support of the Australian Research Council via the Australian Laureate Fellowship Program. For supplying the many samples that were necessary for this work, the authors would like to thank: the members of the Meteorite Working Group, Cecilia Satterwhite and Kevin Righter (NASA, Johnson Space Center), Tim McCoy and Linda Welzenbach (Smithsonian Museum for Natural History), Laurence Garvie (Arizona State University), Sara Russell, Caroline Smith and Deborah Cassey (Natural History Museum, London). US Antarctic meteorite samples are recovered by the Antarctic Search for Meteorites (ANSMET) program, which has been funded by NSF and NASA, and characterized and curated by the Department of Mineral Sciences of the Smithsonian Institution and Astromaterials Curation Office at NASA Johnson Space Center.</t>
  </si>
  <si>
    <t>0016-7037</t>
  </si>
  <si>
    <t>1872-9533</t>
  </si>
  <si>
    <t>GEOCHIM COSMOCHIM AC</t>
  </si>
  <si>
    <t>Geochim. Cosmochim. Acta</t>
  </si>
  <si>
    <t>10.1016/j.gca.2014.10.025</t>
  </si>
  <si>
    <t>AX2AC</t>
  </si>
  <si>
    <t>WOS:000346744500014</t>
  </si>
  <si>
    <t>Åkesson, S; Odin, C; Hegedüs, R; Ilieva, M; Sjöholm, C; Farkas, A; Horváth, G</t>
  </si>
  <si>
    <t>Akesson, Susanne; Odin, Catharina; Hegedues, Ramon; Ilieva, Mihaela; Sjoholm, Christoffer; Farkas, Alexandra; Horvath, Gabor</t>
  </si>
  <si>
    <t>Testing avian compass calibration: comparative experiments with diurnal and nocturnal passerine migrants in South Sweden</t>
  </si>
  <si>
    <t>BIOLOGY OPEN</t>
  </si>
  <si>
    <t>orientation; migratory birds; magnetic compass; compass calibration; passerines; Acrocephalus schoenobaenus; Prunella modularis; Erithacus rubecula</t>
  </si>
  <si>
    <t>WHITE-CROWNED SPARROWS; POLARIZED-LIGHT CUES; MAGNETIC COMPASS; MIGRATORY ORIENTATION; OENANTHE-OENANTHE; CELESTIAL CUES; BIRDS; INFORMATION; SENSITIVITY; MECHANISMS</t>
  </si>
  <si>
    <t>Cue-conflict experiments were performed to study the compass calibration of one predominantly diurnal migrant, the dunnock (Prunella modularis), and two species of nocturnal passerine migrants, the sedge warbler (Acrocephalus schoenobaenus), and the European robin (Erithacus rubecula) during autumn migration in South Sweden. The birds' orientation was recorded in circular cages under natural clear and simulated overcast skies in the local geomagnetic field, and thereafter the birds were exposed to a cueconflict situation where the horizontal component of the magnetic field (mN) was shifted +90 degrees or -90 degrees at two occasions, one session starting shortly after sunrise and the other ca. 90 min before sunset and lasting for 60 min. The patterns of the degree and angle of skylight polarization were measured by full-sky imaging polarimetry during the cue-conflict exposures and orientation tests. All species showed orientation both under clear and overcast skies that correlated with the expected migratory orientation towards southwest to south. For the European robin the orientation under clear skies was significantly different from that recorded under overcast skies, showing a tendency that the orientation under clear skies was influenced by the position of the Sun at sunset resulting in more westerly orientation. This sun attraction was not observed for the sedge warbler and the dunnock, both orientating south. All species showed similar orientation after the cue-conflict as compared to the preferred orientation recorded before the cue-conflict, with the clearest results in the European robin and thus, the results did not support recalibration of the celestial nor the magnetic compasses as a result of the cue-conflict exposure.</t>
  </si>
  <si>
    <t>[Akesson, Susanne; Odin, Catharina; Ilieva, Mihaela; Sjoholm, Christoffer] Lund Univ, Ctr Anim Movement Res, Dept Biol, SE-22362 Lund, Sweden; [Hegedues, Ramon] Max Planck Inst Informat, D-66123 Saarbrucken, Germany; [Ilieva, Mihaela] Bulgarian Acad Sci, Inst Biodivers &amp; Ecosyst Res, Sofia, Bulgaria; [Hegedues, Ramon; Farkas, Alexandra; Horvath, Gabor] Eotvos Lorand Univ, Inst Phys, Dept Biol Phys, Environm Opt Lab, H-1117 Budapest, Hungary; [Hegedues, Ramon] Manao Grp, INRIA Sud Ouest Bordeaux, F-33400 Talence, France</t>
  </si>
  <si>
    <t>Lund University; Max Planck Society; Bulgarian Academy of Sciences; Eotvos Lorand University</t>
  </si>
  <si>
    <t>Åkesson, S (corresponding author), Lund Univ, Ctr Anim Movement Res, Dept Biol, Ecol Bldg, SE-22362 Lund, Sweden.</t>
  </si>
  <si>
    <t>Susanne.Akesson@biol.lu.se</t>
  </si>
  <si>
    <t>Ilieva, Mihaela/N-2546-2013; Åkesson, Susanne/F-3175-2015</t>
  </si>
  <si>
    <t>Åkesson, Susanne/0000-0001-9039-2180; Ilieva, Mihaela/0000-0003-1020-3162</t>
  </si>
  <si>
    <t>Swedish Research Council [621-2007-5930, 621-2010-5584]; Bulgarian Science Fund [DO02-277]; Swedish Research Council Linnaeus [349-2007-8690]; Lund University to the Center for Animal Movement Research at Lund University (CAnMove); Hungarian Science Foundation [OTKA K-105054]; German Alexander von Humboldt Foundation [3.3-UNG/1073032 STP]; Scientific Committee on Antarctic Research and the International Polar Foundation [SCAR-6CI]</t>
  </si>
  <si>
    <t>Swedish Research Council(Swedish Research Council); Bulgarian Science Fund(National Science Fund of Bulgaria); Swedish Research Council Linnaeus(Swedish Research Council); Lund University to the Center for Animal Movement Research at Lund University (CAnMove); Hungarian Science Foundation(Orszagos Tudomanyos Kutatasi Alapprogramok (OTKA)); German Alexander von Humboldt Foundation(Alexander von Humboldt Foundation); Scientific Committee on Antarctic Research and the International Polar Foundation</t>
  </si>
  <si>
    <t>Financial support was given by research grants to SA from the Swedish Research Council (numbers 621-2007-5930, 621-2010-5584) and to MI from project grant DO02-277 from Bulgarian Science Fund. This work was supported by a Swedish Research Council Linnaeus grant (number 349-2007-8690) and Lund University to the Center for Animal Movement Research at Lund University (CAnMove). Financial support came also from the grant OTKA K-105054 (Full-Sky Imaging Polarimetry to Detect Clouds and to Study the Meteorological Conditions Favourable for Polarimetric Viking Navigation) received from the Hungarian Science Foundation by GH, who also thanks the German Alexander von Humboldt Foundation for an equipment donation and a three-month research fellowship (3.3-UNG/1073032 STP) in Regensburg. RH is grateful to the Scientific Committee on Antarctic Research and the International Polar Foundation for their support through a SCAR-6CI fellowship.</t>
  </si>
  <si>
    <t>2046-6390</t>
  </si>
  <si>
    <t>BIOL OPEN</t>
  </si>
  <si>
    <t>Biol. Open</t>
  </si>
  <si>
    <t>10.1242/bio.20149837</t>
  </si>
  <si>
    <t>AZ3AF</t>
  </si>
  <si>
    <t>WOS:000348099500004</t>
  </si>
  <si>
    <t>Farmery, A; Gardner, C; Green, BS; Jennings, S; Watson, R</t>
  </si>
  <si>
    <t>Farmery, A.; Gardner, C.; Green, B. S.; Jennings, S.; Watson, R.</t>
  </si>
  <si>
    <t>Life cycle assessment of wild capture prawns: expanding sustainability considerations in the Australian Northern Prawn Fishery</t>
  </si>
  <si>
    <t>Northern prawn fishery; Banana and tiger prawn; Shrimp trawling; Greenhouse gas emissions; Sustainable seafood; LCA</t>
  </si>
  <si>
    <t>ENVIRONMENTAL ASSESSMENT; PENAEID FISHERY; TRAWL BYCATCH; MARINE; IMPACTS; COMMUNITIES; AQUACULTURE; DIVERSITY; HABITATS; PRODUCTS</t>
  </si>
  <si>
    <t>Prawns and shrimp are among the most popular seafood consumed globally and their production is responsible for a range of environmental impacts in wild capture fisheries and associated supply chains. Management of the Australian Northern Prawn Fishery has been promoted as a sustainable model for other countries to emulate, although broader environmental impacts, such as those relating to energy and water use or greenhouse gas emissions are not currently monitored under sustainability assessments. We use life cycle assessment (LCA) to assess the environmental impacts of the white banana prawn (Fenneropenaeus merguiensis). Fishing operations were the main source of impacts for the supply chain examined, contributing 4.3 kg CO(2)e kg(-1) prawn or 63% of the overall global warming potential. This result was lower than emissions reported for other prawn species, including tiger prawns from the same fishery. Processing and storage were key contributors to ecotoxicity while transport made a negligible contribution to any impact category. We discuss how LCA can complement existing fisheries management, and broaden current seafood sustainability assessments including the potential for emerging fishery-specific indicators to improve the efficacy of seafood LCAs. (C) 2014 Elsevier Ltd. All rights reserved.</t>
  </si>
  <si>
    <t>[Farmery, A.; Gardner, C.; Green, B. S.; Watson, R.] Univ Tasmania, Inst Marine &amp; Antarctic Studies, Hobart, Tas 7001, Australia; [Jennings, S.] Univ Tasmania, Tasmanian Sch Business &amp; Econ, Hobart, Tas 7001, Australia</t>
  </si>
  <si>
    <t>Farmery, A (corresponding author), Univ Tasmania, Inst Marine &amp; Antarctic Studies, Hobart, Tas 7001, Australia.</t>
  </si>
  <si>
    <t>Anna.Farmery@utas.edu.au; Caleb.gardner@utas.edu.au; Bridget.green@utas.edu.au; Sarah.jennings@utas.edu.au; R.A.Watson@utas.edu.au</t>
  </si>
  <si>
    <t>Green, Bridget S/G-3368-2014; Farmery, Anna/H-9696-2014; Watson, Reg A/F-4850-2012; Gardner, Caleb/I-7086-2013; Jennings, Sarah/J-7888-2014</t>
  </si>
  <si>
    <t>Farmery, Anna/0000-0002-8938-0040; Watson, Reg A/0000-0001-7201-8865; Gardner, Caleb/0000-0003-0324-4337; Jennings, Sarah/0000-0002-5760-4193</t>
  </si>
  <si>
    <t>Australian National Network in Marine Science (ANNIMS); Fisheries Research and Development Corporation (FRDC) [2008/306]; Marine National Adaptation Research Plan (NARP) - Australian Government [2011/233]</t>
  </si>
  <si>
    <t>Australian National Network in Marine Science (ANNIMS); Fisheries Research and Development Corporation (FRDC)(Fisheries R&amp;D Corp); Marine National Adaptation Research Plan (NARP) - Australian Government</t>
  </si>
  <si>
    <t>Ethics approval was obtained from the Tasmanian Ethics Committee and granted as minimal risk (reference H12188). We greatly appreciate the participation of stakeholders across the Northern Prawn Fishery supply chain. This work was supported by the Australian National Network in Marine Science (ANNIMS), the Fisheries Research and Development Corporation (FRDC) project 2008/306 and Marine National Adaptation Research Plan (NARP) project 2011/233, funded by the Australian Government.</t>
  </si>
  <si>
    <t>10.1016/j.jclepro.2014.10.063</t>
  </si>
  <si>
    <t>WOS:000347493700012</t>
  </si>
  <si>
    <t>Witts, JD; Bowman, VC; Wignall, PB; Crame, JA; Francis, JE; Newton, RJ</t>
  </si>
  <si>
    <t>Witts, James D.; Bowman, Vanessa C.; Wignall, Paul B.; Crame, J. Alistair; Francis, Jane E.; Newton, Robert J.</t>
  </si>
  <si>
    <t>Evolution and extinction of Maastrichtian (Late Cretaceous) cephalopods from the Lopez de Bertodano Formation, Seymour Island, Antarctica</t>
  </si>
  <si>
    <t>Cretaceous; Palaeoenvironments; Ammonite; Extinction; Antarctica; Diversity</t>
  </si>
  <si>
    <t>JAMES-ROSS-ISLAND; SEA-LEVEL CHANGES; MASS EXTINCTION; TERTIARY BOUNDARY; HETEROMORPH AMMONITES; STEVNS KLINT; ISOTOPE STRATIGRAPHY; QUIRIQUINA FORMATION; CHATHAM ISLANDS; MARAMBIO GROUP</t>
  </si>
  <si>
    <t>One of the most expanded records to contain the final fortunes of ammonoid cephalopods is within the Lopez de Bertodano Formation of Seymour Island, James Ross Basin, Antarctica. Located at similar to 65 degrees South now, and during the Cretaceous, this sequence is the highest southern latitude onshore outcrop containing the Cretaceous-Paleogene (K-Pg) transition. We present comprehensive new biostratigraphic range data for 14 ammonite and one nautiloid species based on the collection of &gt;700 macrofossils from high-resolution sampling of parallel sedimentary sections, dated Maastrichtian to earliest Danian in age, across southern Seymour Island. We find evidence for only a single, abrupt pulse of cephalopod extinction at the end of the Cretaceous when the final seven ammonite species disappeared, consistent with most evidence globally. In the lead up to the K-Pg extinction in the James Ross Basin, starting during the Campanian, ammonite diversity decreased overall, but the number of endemic taxa belonging to the family Kossmaticeratidae actually increased. This pattern continued into the Maastrichtian and may be fades controlled, linked to changes in sea level and seawater temperature. During the early Maastrichtian, ammonite diversity dropped significantly with only two species recorded from the basal Lopez de Bertodano Formation on Seymour Island. The subsequent diversification of endemic taxa and reappearance of long-ranging, widespread species into the basin resulted in an increase in ammonite diversity and abundance during the mid-Maastrichtian. This was coincident with an apparent period of warming temperatures and sea level rise interpreted from palynology and sedimentology, perhaps reflecting a high latitude expression of the Mid-Maastrichtian Event. Late Maastrichtian diversity levels remained stable despite reported climatic and environmental variation. Ammonite diversity patterns during the Maastrichtian parallel those of microfossil species such as nannofossil and planktonic foraminifera, suggesting that dynamic climatic and environmental changes affected many planktonic and nektonic organisms during the latest Cretaceous. However, we suggest that these perturbations had a minimal effect on overall diversity prior to the catastrophic extinction event at the K-Pg boundary. (C) 2014 Elsevier B.V. All rights reserved.</t>
  </si>
  <si>
    <t>[Witts, James D.; Wignall, Paul B.; Francis, Jane E.; Newton, Robert J.] Univ Leeds, Sch Earth &amp; Environm, Leeds LS2 9JT, W Yorkshire, England; [Bowman, Vanessa C.; Crame, J. Alistair; Francis, Jane E.] British Antarctic Survey, Cambridge CB3 0ET, England</t>
  </si>
  <si>
    <t>University of Leeds; UK Research &amp; Innovation (UKRI); Natural Environment Research Council (NERC); NERC British Antarctic Survey</t>
  </si>
  <si>
    <t>Witts, JD (corresponding author), Univ Leeds, Sch Earth &amp; Environm, Leeds LS2 9JT, W Yorkshire, England.</t>
  </si>
  <si>
    <t>J.Witts@leeds.ac.uk</t>
  </si>
  <si>
    <t>Wignall, Paul/HPE-6256-2023; Newton, Robert/B-2599-2009</t>
  </si>
  <si>
    <t>Newton, Robert/0000-0003-0144-6867; Witts, James/0000-0002-4002-415X; Bowman, Vanessa/0000-0002-4887-3949</t>
  </si>
  <si>
    <t>University of Leeds; AFI [NE/C506399/1, NE/I005803/1]; NERC [NE/C506399/1, NE/I005803/1]; Natural Environment Research Council [NE/I005803/1, NE/C506399/1, bas0100026, NE/I00582X/2] Funding Source: researchfish; NERC [bas0100026, NE/I00582X/2, NE/I005803/1] Funding Source: UKRI</t>
  </si>
  <si>
    <t>University of Leeds; AFI; NERC(UK Research &amp; Innovation (UKRI)Natural Environment Research Council (NERC)); Natural Environment Research Council(UK Research &amp; Innovation (UKRI)Natural Environment Research Council (NERC)); NERC(UK Research &amp; Innovation (UKRI)Natural Environment Research Council (NERC))</t>
  </si>
  <si>
    <t>This research was funded by a PhD scholarship to J.D. Witts from the University of Leeds. Samples were collected as part of AFI and NERC grants to Francis et al. (NE/C506399/1 'Terminal Cretaceous climate change and biotic response in Antarctica') and to Crame et al. (NE/I005803/1 'PALEOPOLAR: biodiversity change through the early Cenozoic'). Fieldwork for these grants was supported logistically by the British Antarctic Survey. We thank the staff of the Palaeontological Research Institute (Ithaca, NY, USA), Geological and Nuclear Sciences (Lower Hutt, Wellington, New Zealand) and the University of Auckland (Auckland, New Zealand) for access to their fossil collections, and Hilary Blagborough (British Antarctic Survey, Cambridge, UK) for help with access to the BAS collections. Tom Fletcher (University of Leeds, UK), Pete Bucktrout and Rowan Whittle (British Antarctic Survey, Cambridge, UK) are acknowledged for their help with photography and figures. We also thank Dr. James Crampton and an anonymous reviewer for their comments, as well as the comments and editorial assistance provided by Professor Finn Surlyk, all of which greatly improved the manuscript.</t>
  </si>
  <si>
    <t>10.1016/j.palaeo.2014.11.002</t>
  </si>
  <si>
    <t>WOS:000349804100015</t>
  </si>
  <si>
    <t>Little, CTS; Birgel, D; Boyce, AJ; Crame, JA; Francis, JE; Kiel, S; Peckmann, J; Pirrie, D; Rollinson, GK; Witts, JD</t>
  </si>
  <si>
    <t>Little, Crispin T. S.; Birgel, Daniel; Boyce, Adrian J.; Crame, J. Alistair; Francis, Jane E.; Kiel, Steffen; Peckmann, Joern; Pirrie, Duncan; Rollinson, Gavyn K.; Witts, James D.</t>
  </si>
  <si>
    <t>Late Cretaceous (Maastrichtian) shallow water hydrocarbon seeps from Snow Hill and Seymour Islands, James Ross Basin, Antarctica</t>
  </si>
  <si>
    <t>Hydrocarbon seeps; Palaeoecology; Chemosynthetic ecosystems; Bivalves; Cretaceous</t>
  </si>
  <si>
    <t>WESTERN INTERIOR SEAWAY; MESOZOIC CONVERGENT MARGIN; COLD-SEEP; AUTHIGENIC CARBONATES; ANAEROBIC OXIDATION; METHANE SEEPS; MARAMBIO GROUP; HETEROMORPH AMMONITES; MICROBIAL COMMUNITIES; EXTINCTION PATTERNS</t>
  </si>
  <si>
    <t>Fossil hydrocarbon seeps are present in latest Cretaceous (Maastrichtian) volcaniclastic shallow shelf sediments exposed on Snow Hill and Seymour Islands, James Ross Basin, Antarctica. The seeps occur in the Snow Hill Island Formation on Snow Hill Island and are manifest as large-sized, cement-rich carbonate bodies, containing abundant thyasirid bivalves and rarer ammonites and solemyid bivalves. These bodies have typical seep cement phases, with delta C-13 values between - 20.4 and - 10.7 parts per thousand and contain molecular fossils indicative of terrigenous organic material and the micro-organisms involved in the anaerobic oxidation of methane, including methanotrophic archaea and sulphate-reducing bacteria. On Seymour Island the seeps occur as micrite-cemented burrow systems in the Lopez de Bertodano Formation and are associated with thyasirid, solemyid and lucinid bivalves, and background molluscan taxa. The cemented burrows also have typical seep cement phases, with delta C-13 values between - 58.0 and - 24.6 parts per thousand. There is evidence from other data that hydrocarbon seepage was a common feature in the James Ross Basin throughout the Maastrichtian and into the Eocene. The Snow Hill and Seymour Island examples comprise the third known area of Maastrichtian hydrocarbon seepage. But compared to most other ancient and modem seep communities; the James Ross Basin seep fauna is of very low diversity, being dominated by infaunal bivalves, all of which probably had thiotrophic chemosymbionts, but which were unlikely to have been seep obligates. Absent from the James Ross Basin seep fauna are 'typical' obligate seep taxa from the Cretaceous and the Cenozoic. Reasons for this may have been temporal, palaeolatitudinal, palaeobathymetric, or palaeoecological. (C) 2014 Elsevier B.V. All rights reserved.</t>
  </si>
  <si>
    <t>[Little, Crispin T. S.] Univ Leeds, Sch Earth &amp; Environm, Leeds LS2 9JT, W Yorkshire, England; [Birgel, Daniel; Peckmann, Joern] Univ Vienna, Dept Geodynam &amp; Sedimentol, Ctr Earth Sci, A-1090 Vienna, Austria; [Boyce, Adrian J.] SUERC, E Kilbride G75 0QF, Lanark, Scotland; [Crame, J. Alistair; Francis, Jane E.] British Antarctic Survey, Cambridge CB3 0ET, England; [Kiel, Steffen] Univ Gottingen, Geobiol Grp, Geosci Ctr, D-37077 Gottingen, Germany; [Pirrie, Duncan] Helford Geosci LLP, Helston TR2 6AE, Cornwall, England; [Rollinson, Gavyn K.] Univ Exeter, CEMPS, Camborne Sch Mines, Penryn TR10 9FE, Cornwall, England</t>
  </si>
  <si>
    <t>University of Leeds; University of Vienna; Scottish Universities Research &amp; Reactor Center; UK Research &amp; Innovation (UKRI); Natural Environment Research Council (NERC); NERC British Antarctic Survey; University of Gottingen; University of Exeter</t>
  </si>
  <si>
    <t>Little, CTS (corresponding author), Univ Leeds, Sch Earth &amp; Environm, Leeds LS2 9JT, W Yorkshire, England.</t>
  </si>
  <si>
    <t>earctsl@leeds.ac.uk</t>
  </si>
  <si>
    <t>Kiel, Steffen/C-3150-2009; Boyce, Adrian J/D-2263-2010; Boyce, Adrian/AAH-3203-2020</t>
  </si>
  <si>
    <t>Kiel, Steffen/0000-0001-6281-100X; Boyce, Adrian J/0000-0002-9680-0787; Boyce, Adrian/0000-0002-9680-0787; Witts, James/0000-0002-4002-415X; Little, Crispin/0000-0002-1917-4460; Peckmann, Jorn/0000-0002-8572-0060; Pirrie, Duncan/0000-0002-4954-5920</t>
  </si>
  <si>
    <t>Natural Environment Research Council [icsf010001, bas0100026] Funding Source: researchfish; NERC [bas0100026, icsf010001] Funding Source: UKRI</t>
  </si>
  <si>
    <t>10.1016/j.palaeo.2014.11.020</t>
  </si>
  <si>
    <t>WOS:000349804100016</t>
  </si>
  <si>
    <t>Shaheen, R; Niles, PB; Chong, K; Corrigan, CM; Thiemens, MH</t>
  </si>
  <si>
    <t>Shaheen, Robina; Niles, Paul B.; Chong, Kenneth; Corrigan, Catherine M.; Thiemens, Mark H.</t>
  </si>
  <si>
    <t>Carbonate formation events in ALH 84001 trace the evolution of the Martian atmosphere</t>
  </si>
  <si>
    <t>Martian meteorite; oxygen isotope anomaly; aqueous interaction; carbon isotope; photochemistry</t>
  </si>
  <si>
    <t>METEORITE ALH84001; ISOTOPIC COMPOSITION; CLIMATIC CHANGE; LOW-TEMPERATURE; SNC METEORITES; MARS; OXYGEN; ALLAN-HILLS-84001; CO2; CONSTRAINTS</t>
  </si>
  <si>
    <t>Carbonate minerals provide critical information for defining atmosphere-hydrosphere interactions. Carbonate minerals in the Martian meteorite ALH 84001 have been dated to similar to 3.9 Ga, and both C and O-triple isotopes can be used to decipher the planet's climate history. Here we report Delta O-17, delta O-18, and delta C-13 data of ALH 84001 of at least two varieties of carbonates, using a stepped acid dissolution technique paired with ion microprobe analyses to specifically target carbonates from distinct formation events and constrain the Martian atmosphere-hydrosphere-geosphere interactions and surficial aqueous alterations. These results indicate the presence of a Ca-rich carbonate phase enriched in O-18 that formed sometime after the primary aqueous event at 3.9 Ga. The phases showed excess O-17 (0.7 parts per thousand) that captured the atmosphere-regolith chemical reservoir transfer, as well as CO2, O-3, and H2O isotopic interactions at the time of formation of each specific carbonate. The carbon isotopes preserved in the Ca-rich carbonate phase indicate that the Noachian atmosphere of Mars was substantially depleted in C-13 compared with the modern atmosphere.</t>
  </si>
  <si>
    <t>[Shaheen, Robina; Chong, Kenneth; Thiemens, Mark H.] Univ Calif San Diego, Dept Chem &amp; Biochem, La Jolla, CA 92122 USA; [Niles, Paul B.] NASA, Lyndon B Johnson Space Ctr, Houston, TX 77058 USA; [Chong, Kenneth] Calif State Polytech Univ Pomona, Dept Chem, Pomona, CA 91768 USA; [Corrigan, Catherine M.] Smithsonian Inst, Washington, DC 20004 USA</t>
  </si>
  <si>
    <t>University of California System; University of California San Diego; National Aeronautics &amp; Space Administration (NASA); NASA Johnson Space Center; California State University System; California State Polytechnic University Pomona; Smithsonian Institution</t>
  </si>
  <si>
    <t>Niles, PB (corresponding author), NASA, Lyndon B Johnson Space Ctr, Houston, TX 77058 USA.</t>
  </si>
  <si>
    <t>paul.b.niles@nasa.gov</t>
  </si>
  <si>
    <t>Corrigan, Catherine/0000-0002-0151-1457</t>
  </si>
  <si>
    <t>National Aeronautics and Space Administration Mars Fundamental Research; National Science Foundation-Atmospheric Chemistry Division [AGS1259305]; Div Atmospheric &amp; Geospace Sciences; Directorate For Geosciences [1259305] Funding Source: National Science Foundation</t>
  </si>
  <si>
    <t>National Aeronautics and Space Administration Mars Fundamental Research; National Science Foundation-Atmospheric Chemistry Division; Div Atmospheric &amp; Geospace Sciences; Directorate For Geosciences(National Science Foundation (NSF)NSF - Directorate for Geosciences (GEO))</t>
  </si>
  <si>
    <t>We thank the reviewers for their critical evaluation, which helped improve the manuscript. H. Bao from Louisiana State University is greatly acknowledged for providing carbonate crust from Antarctic Dry valley. P.B.N. acknowledges funding from National Aeronautics and Space Administration Mars Fundamental Research. M. H. T. and R. S. thank National Science Foundation-Atmospheric Chemistry Division for the partial support Award no. AGS1259305 (to R. S.). C. M. C. would like to thank Zonta International Foundation and the Ohio Space Grant Consortium.</t>
  </si>
  <si>
    <t>JAN 13</t>
  </si>
  <si>
    <t>10.1073/pnas.1315615112</t>
  </si>
  <si>
    <t>AY7HS</t>
  </si>
  <si>
    <t>WOS:000347732300032</t>
  </si>
  <si>
    <t>Zeidler, W</t>
  </si>
  <si>
    <t>Zeidler, Wolfgang</t>
  </si>
  <si>
    <t>A review of the hyperiidean amphipod genus Hyperoche Bovallius, 1887 (Crustacea: Amphipoda: Hyperiidea: Hyperiidae), with the description of a new genus to accommodate H. shihi Gasca, 2005</t>
  </si>
  <si>
    <t>Amphipoda; Hyperiidea; Hyperoche; review; Prohyperia gen. nov.; taxonomy; new species</t>
  </si>
  <si>
    <t>GELATINOUS-ZOOPLANKTON; NATURAL-HISTORY; SURFACE WATERS; PERACARIDA; ASSOCIATIONS; PACIFIC; DEEP; ASSEMBLAGES; CTENOPHORA; BAY</t>
  </si>
  <si>
    <t>This is the first comprehensive review of the genus Hyperoche since that of Bovallius (1889). This study is based primarily on the extensive collections of the ZMUC but also on more recent collections in other institutions. Seven valid species are recognised in this review, including one described as new to science. Two new characters were discovered; the first two pereonites are partially or wholly fused dorsally and the coxa of pereopod 7 is fused with the pereonite. These two new characters, combined with the knife-shaped carpus of the gnathopoda and the laminate mandibular molar, help to further distinguish this genus amongst the Hyperiidea. Partly as a result of establishing these distinctive characters, a new genus, Prohyperia gen. nov. is proposed for H. shihi Gasca, 2005 because it has characters not consistent with Hyperoche or the closely related genus Hyperia, to which it also bears some resemblance. Hyperoche medusarum and H. luetkenides, although morphologically similar, are considered separate species, with H. medusarum restricted to the colder waters of the northern Hemisphere and H. luetkenides to the Southern Ocean and Antarctic waters. Hyperoche cryptodactylus, still only known from the unique type, is considered a synonym of H. luetkenides because the character distinguishing it, the retractile dactyl of gnathopod 2, also occurs in some specimens of H. luetkenides and has also been found in other species of Hyperoche. Some specimens also have some pereopoda with partly or wholly retracted dactyls, although there is no pattern to the occurrence. In addition to the above the following species are also considered valid, H. martinezii, H. mediterranea and H. picta, found mainly in the tropical and temperate regions of the Atlantic and Pacific Oceans, and H. capucinus, restricted to the region between the Antarctic Polar Front and the Antarctic Continent. One new species, H. macrocephalus sp. nov., is described from the tropical eastern Indian Ocean and the Mediterranean Sea. All species are described and illustrated and a key is provided to facilitate their identification.</t>
  </si>
  <si>
    <t>S Australian Museum, Adelaide, SA 5000, Australia</t>
  </si>
  <si>
    <t>Zeidler, W (corresponding author), S Australian Museum, N Terrace, Adelaide, SA 5000, Australia.</t>
  </si>
  <si>
    <t>wolfgang.zeidler@samuseum.sa.gov.au</t>
  </si>
  <si>
    <t>Carlsberg Foundation</t>
  </si>
  <si>
    <t>Carlsberg Foundation(Carlsberg Foundation)</t>
  </si>
  <si>
    <t>This study would not have been possible without the cooperation and assistance of numerous people in charge of collections in the major institutions of the world. All were exceptionally generous with their time, searching for specimens, arranging loans or making me feel welcome and providing access to collections during personal visits. I am most grateful to all of them. In particular: at the NHM, London, Ms M. Lowe and Mr P. Clark for access to the collections; at the NRS, Ms K. Sindemark for access to the collections to search for types of Bovallius; at the ZMUC, Dr J. Olesen for access to the collections, the loan of specimens and for his expertise in gaining a Carlsberg Foundation grant for me to travel to the ZMUC in 2002, 2003 and 2007.</t>
  </si>
  <si>
    <t>JAN 12</t>
  </si>
  <si>
    <t>AZ1DG</t>
  </si>
  <si>
    <t>WOS:000347979900001</t>
  </si>
  <si>
    <t>Pérez-Cruz, C; Delgado, L; López-Iglesias, C; Mercade, E</t>
  </si>
  <si>
    <t>Perez-Cruz, Carla; Delgado, Lidia; Lopez-Iglesias, Carmen; Mercade, Elena</t>
  </si>
  <si>
    <t>Outer-Inner Membrane Vesicles Naturally Secreted by Gram-Negative Pathogenic Bacteria</t>
  </si>
  <si>
    <t>PSEUDOMONAS-AERUGINOSA; CRYOELECTRON TOMOGRAPHY; PROTEOME ANALYSIS; ESCHERICHIA-COLI; VIRULENCE; DNA; BIOGENESIS; MECHANISM; PROTEINS; RELEASE</t>
  </si>
  <si>
    <t>Outer-inner membrane vesicles (O-IMVs) were recently described as a new type of membrane vesicle secreted by the Antarctic bacterium Shewanella vesiculosa M7T. Their formation is characterized by the protrusion of both outer and plasma membranes, which pulls cytoplasmic components into the vesicles. To demonstrate that this is not a singular phenomenon in a bacterium occurring in an extreme environment, the identification of O-IMVs in pathogenic bacteria was undertaken. With this aim, a structural study by Transmission Electron Microscopy (TEM) and Cryo-transmission electron microscopy (Cryo-TEM) was carried out, confirming that O-IMVs are also secreted by Gram-negative pathogenic bacteria such as Neisseria gonorrhoeae, Pseudomonas aeruginosa PAO1 and Acinetobacter baumannii AB41, in which they represent between 0.23% and 1.2% of total vesicles produced. DNA and ATP, which are components solely found in the cell cytoplasm, were identified within membrane vesicles of these strains. The presence of DNA inside the O-IMVs produced by N. gonorrhoeae was confirmed by gold DNA immunolabeling with a specific monoclonal IgM against double-stranded DNA. A proteomic analysis of N. gonorrhoeae-derived membrane vesicles identified proteins from the cytoplasm and plasma membrane. This confirmation of O-IMV extends the hitherto uniform definition of membrane vesicles in Gram-negative bacteria and explains the presence of components in membrane vesicles such as DNA, cytoplasmic and inner membrane proteins, as well as ATP, detected for the first time. The production of these O-IMVs by pathogenic Gram-negative bacteria opens up new areas of study related to their involvement in lateral gene transfer, the transfer of cytoplasmic proteins, as well as the functionality and role of ATP detected in these new vesicles.</t>
  </si>
  <si>
    <t>[Perez-Cruz, Carla; Mercade, Elena] Univ Barcelona, Fac Farm, Microbiol Lab, E-08028 Barcelona, Spain; [Delgado, Lidia; Lopez-Iglesias, Carmen] Univ Barcelona, Ctr Cient &amp; Tecnol, Barcelona, Spain</t>
  </si>
  <si>
    <t>Mercade, E (corresponding author), Univ Barcelona, Fac Farm, Microbiol Lab, E-08028 Barcelona, Spain.</t>
  </si>
  <si>
    <t>DELGADO, LIDIA/H-7939-2015; Perez-Cruz, Carla/AAB-3540-2020; Mercade, Elena/L-5218-2014</t>
  </si>
  <si>
    <t>Government of Spain (CICYT) [CTQ 2010-21183-C02-01/PPQ]; Autonomous Government of Catalonia [2009SGR1212]; University of Barcelona [FFAR2012.3]</t>
  </si>
  <si>
    <t>Government of Spain (CICYT)(Consejo Interinstitucional de Ciencia y Tecnologia (CICYT)); Autonomous Government of Catalonia(Generalitat de Catalunya); University of Barcelona</t>
  </si>
  <si>
    <t>Funding: This work received funding from the following sources: Government of Spain (CICYT grant CTQ 2010-21183-C02-01/PPQ)EM CP-C, Autonomous Government of Catalonia (grant 2009SGR1212)EM CL-I, and Fellowship FFAR2012.3 from the University of Barcelona (CP-C). The funders had no role in study design, data collection and analysis, decision to publish, or preparation of the manuscript.</t>
  </si>
  <si>
    <t>e0116896</t>
  </si>
  <si>
    <t>10.1371/journal.pone.0116896</t>
  </si>
  <si>
    <t>AZ4CF</t>
  </si>
  <si>
    <t>WOS:000348169100006</t>
  </si>
  <si>
    <t>[Anonymous]</t>
  </si>
  <si>
    <t>Antarctic balloon flight cut short</t>
  </si>
  <si>
    <t>JAN 9</t>
  </si>
  <si>
    <t>AZ0EK</t>
  </si>
  <si>
    <t>WOS:000347918900009</t>
  </si>
  <si>
    <t>Froy, H; Lewis, S; Catry, P; Bishop, CM; Forster, IP; Fukuda, A; Higuchi, H; Phalan, B; Xavier, JC; Nussey, DH; Phillips, RA</t>
  </si>
  <si>
    <t>Froy, Hannah; Lewis, Sue; Catry, Paulo; Bishop, Charles M.; Forster, Isaac P.; Fukuda, Akira; Higuchi, Hiroyoshi; Phalan, Ben; Xavier, Jose C.; Nussey, Daniel H.; Phillips, Richard A.</t>
  </si>
  <si>
    <t>Age-Related Variation in Foraging Behaviour in the Wandering Albatross at South Georgia: No Evidence for Senescence</t>
  </si>
  <si>
    <t>DIOMEDEA-EXULANS; NATURAL-POPULATIONS; BIRD-ISLAND; HABITAT USE; PERFORMANCE; PATTERNS; SUCCESS; LIFE; IMPROVEMENT; EXPERIENCE</t>
  </si>
  <si>
    <t>Age-related variation in demographic rates is now widely documented in wild vertebrate systems, and has significant consequences for population and evolutionary dynamics. However, the mechanisms underpinning such variation, particularly in later life, are less well understood. Foraging efficiency is a key determinant of fitness, with implications for individual life history trade-offs. A variety of faculties known to decline in old age, such as muscular function and visual acuity, are likely to influence foraging performance. We examine age-related variation in the foraging behaviour of a long-lived, wide-ranging oceanic seabird, the wandering albatross Diomedea exulans. Using miniaturised tracking technologies, we compared foraging trip characteristics of birds breeding at Bird Island, South Georgia. Based on movement and immersion data collected during the incubation phase of a single breeding season, and from extensive tracking data collected in previous years from different stages of the breeding cycle, we found limited evidence for age-related variation in commonly reported trip parameters, and failed to detect signs of senescent decline. Our results contrast with the limited number of past studies that have examined foraging behaviour in later life, since these have documented changes in performance consistent with senescence. This highlights the importance of studies across different wild animal populations to gain a broader perspective on the processes driving variation in ageing rates.</t>
  </si>
  <si>
    <t>[Froy, Hannah; Lewis, Sue; Nussey, Daniel H.] Univ Edinburgh, Inst Evolutionary Biol, Edinburgh, Midlothian, Scotland; [Froy, Hannah; Phillips, Richard A.] British Antarctic Survey, Nat Environm Res Council, Cambridge CB3 0ET, England; [Catry, Paulo] ISPA Inst Univ, Marine &amp; Environm Sci Ctr, Lisbon, Portugal; [Bishop, Charles M.] Bangor Univ, Sch Biol Sci, Bangor, Gwynedd, Wales; [Forster, Isaac P.] Univ Tasmania, Australian Antarctic Div, Kingston, Tas, Australia; [Fukuda, Akira] Shizuoka Univ, Shizuoka, Japan; [Higuchi, Hiroyoshi] Keio Univ, Fujisawa, Kanagawa, Japan; [Phalan, Ben] Univ Cambridge, Dept Zool, Cambridge, England; [Xavier, Jose C.] Univ Coimbra, Marine &amp; Environm Sci Ctr, Coimbra, Portugal</t>
  </si>
  <si>
    <t>University of Edinburgh; UK Research &amp; Innovation (UKRI); Natural Environment Research Council (NERC); NERC British Antarctic Survey; Instituto Superior Psicologia Aplicada (ISPA); Bangor University; University of Tasmania; Australian Antarctic Division; Shizuoka University; Keio University; University of Cambridge; Universidade de Coimbra</t>
  </si>
  <si>
    <t>Froy, H (corresponding author), Univ Edinburgh, Inst Evolutionary Biol, Edinburgh, Midlothian, Scotland.</t>
  </si>
  <si>
    <t>hannah.froy@ed.ac.uk</t>
  </si>
  <si>
    <t>Nussey, Daniel H/F-4155-2010; Xavier, José/KFB-6739-2024; Lewis, Sue/D-3380-2012; Phalan, Ben/A-5783-2009; Catry, Paulo/I-5408-2013</t>
  </si>
  <si>
    <t>Lewis, Sue/0000-0003-3511-2259; Phalan, Ben/0000-0001-7876-7226; Froy, Hannah/0000-0003-2965-3526; Catry, Paulo/0000-0003-3000-0522; /0000-0002-9621-6660</t>
  </si>
  <si>
    <t>George Macdougal Mackintosh Scholarship; Natural Environment Research Council; Biotechnology and Biological Sciences Research Council; British Antarctic Survey Polar Science for Planet Earth Programme; Biotechnology and Biological Sciences Research Council [BB/H021868/1] Funding Source: researchfish; Natural Environment Research Council [NE/E012906/1, bas0100025] Funding Source: researchfish; BBSRC [BB/H021868/1] Funding Source: UKRI; NERC [bas0100025, NE/E012906/1] Funding Source: UKRI</t>
  </si>
  <si>
    <t>George Macdougal Mackintosh Scholarship; Natural Environment Research Council(UK Research &amp; Innovation (UKRI)Natural Environment Research Council (NERC)); Biotechnology and Biological Sciences Research Council(UK Research &amp; Innovation (UKRI)Biotechnology and Biological Sciences Research Council (BBSRC)); British Antarctic Survey Polar Science for Planet Earth Programme; Biotechnology and Biological Sciences Research Council(UK Research &amp; Innovation (UKRI)Biotechnology and Biological Sciences Research Council (BBSRC)); Natural Environment Research Council(UK Research &amp; Innovation (UKRI)Natural Environment Research Council (NERC)); BBSRC(UK Research &amp; Innovation (UKRI)Biotechnology and Biological Sciences Research Council (BBSRC)); NERC(UK Research &amp; Innovation (UKRI)Natural Environment Research Council (NERC))</t>
  </si>
  <si>
    <t>HF was funded by a George Macdougal Mackintosh Scholarship. SL was supported by a Natural Environment Research Council postdoctoral fellowship (www.nerc.ac.uk) and DHN was supported by a Biotechnology and Biological Sciences Research Council David Phillips fellowship (www.bbsrc.ac.uk). The fieldwork in 2012 was funded by the Natural Environment Research Council Collaborative Gearing Scheme, and the British Antarctic Survey Polar Science for Planet Earth Programme (www.antarctica.ac.uk). The funders had no role in study design, data collection and analysis, decision to publish, or preparation of the manuscript.</t>
  </si>
  <si>
    <t>e0116415</t>
  </si>
  <si>
    <t>10.1371/journal.pone.0116415</t>
  </si>
  <si>
    <t>AZ4BU</t>
  </si>
  <si>
    <t>WOS:000348168100005</t>
  </si>
  <si>
    <t>Bennetts, LG; Williams, TD</t>
  </si>
  <si>
    <t>Bennetts, L. G.; Williams, T. D.</t>
  </si>
  <si>
    <t>Water wave transmission by an array of floating discs</t>
  </si>
  <si>
    <t>water waves; wave scattering; wave-structure interactions</t>
  </si>
  <si>
    <t>ICE INTERACTIONS; HYDROELASTIC RESPONSE; ELASTIC DISCS; OCEAN WAVES; ATTENUATION; SEA; SCATTERING; TRANSECTS; FLOE</t>
  </si>
  <si>
    <t>An experimental validation of theoretical models of regular-water-wave transmission through arrays of floating discs is presented. The experiments were conducted in a wave basin. The models are based on combined potential-flow and thin-plate theories, and the assumption of linear motions. A low-concentration array, in which discs are separated by approximately a disc diameter in equilibrium, and a high-concentration array, in which adjacent discs are almost touching in equilibrium, were used for the experiments. The proportion of incident-wave energy transmitted by the discs is presented as a function of wave period, and for different wave amplitudes. Results indicate the models predict wave-energy transmission accurately for small-amplitude waves and low-concentration arrays. Discrepancies for large-amplitude waves and high-concentration arrays are attributed to wave overwash of the discs and collisions between discs. Validation of model predictions of a solitary disc's rigid-body motions are also presented.</t>
  </si>
  <si>
    <t>[Bennetts, L. G.] Univ Adelaide, Sch Math Sci, Adelaide, SA 5005, Australia; [Williams, T. D.] Nansen Environm &amp; Remote Sensing Ctr, N-5006 Bergen, Norway</t>
  </si>
  <si>
    <t>University of Adelaide; Nansen Environmental &amp; Remote Sensing Center (NERSC)</t>
  </si>
  <si>
    <t>Bennetts, Luke/0000-0001-9386-7882; Williams, Timothy/0000-0001-6375-5396</t>
  </si>
  <si>
    <t>Collaborative &amp; Innovative Technology Program in Exploration and Production of Hydrocarbons; Total; Saipem; Doris Engineering; Australian Research Council [DE130101571]; Australian Antarctic Science Grant Program [4123]; Norwegian Research Council; Total E&amp;P (WIFAR project); US Office of Naval Research [N62909-14-1-N010]; European Commission (FP7 project SWARP)</t>
  </si>
  <si>
    <t>Collaborative &amp; Innovative Technology Program in Exploration and Production of Hydrocarbons; Total(Total SA); Saipem; Doris Engineering; Australian Research Council(Australian Research Council); Australian Antarctic Science Grant Program; Norwegian Research Council(Research Council of Norway); Total E&amp;P (WIFAR project)(Total SA); US Office of Naval Research(Office of Naval Research); European Commission (FP7 project SWARP)</t>
  </si>
  <si>
    <t>The Collaborative &amp; Innovative Technology Program in Exploration and Production of Hydrocarbons funded the experimental campaign, with major sponsors Total, Saipem and Doris Engineering. L.G.B. acknowledges funding support from the Australian Research Council (DE130101571) and the Australian Antarctic Science Grant Program (Project 4123). T.D.W. acknowledges funding support from the Norwegian Research Council and Total E&amp;P (WIFAR project), the US Office of Naval Research (award no: N62909-14-1-N010) and the European Commission (FP7 project SWARP).</t>
  </si>
  <si>
    <t>JAN 8</t>
  </si>
  <si>
    <t>10.1098/rspa.2014.0698</t>
  </si>
  <si>
    <t>AU5BU</t>
  </si>
  <si>
    <t>WOS:000345623000020</t>
  </si>
  <si>
    <t>Suprenand, PM; Ombres, EH; Torres, JJ</t>
  </si>
  <si>
    <t>Suprenand, Paul M.; Ombres, Erica H.; Torres, Joseph J.</t>
  </si>
  <si>
    <t>Metabolism of gymnosomatous pteropods in waters of the western Antarctic Peninsula shelf during austral fall</t>
  </si>
  <si>
    <t>Pteropod; Zooplankton; Western Antarctic Peninsula; Oxygen consumption rate; Starvation</t>
  </si>
  <si>
    <t>ICE-EDGE BLOOM; CLIONE-LIMACINA; CLIMATE-CHANGE; TEMPERATURE COMPENSATION; PROXIMATE COMPOSITION; CHEMICAL-COMPOSITION; ENZYMATIC-ACTIVITIES; AEROBIC CAPACITY; COLD ADAPTATION; WEDDELL SEA</t>
  </si>
  <si>
    <t>Two species of Southern Ocean gymnosomatous pteropods with dissimilar distributional ranges were collected from western Antarctic Peninsula (WAP) shelf waters in the vicinity of Anvers, Lavoisier, Adelaide and Charcot Islands from March to April 2010 and between 0 and 500 m. The sub-Antarctic gymnosome species, Spongiobranchaea australis, typically occupies regions north of the Polar Front, whereas the true Antarctic gymnosome species, Clione antarctica, inhabits colder waters and higher latitudes. Oxygen consumption rates, ammonia excretion rates, proximate body compositions and the activities of 3 metabolic enzymes-lactate dehydrogenase, malate dehydrogenase, and citrate synthase (CS) - were determined in both gymnosome species. Oxygen consumption rates of S. australis and C. antarctica were found to be similar; however, the mean ratio of oxygen consumed to ammonia excreted (O:N, 61.26 +/- 18.68:1) indicated that S. australis was oxidizing primarily lipids while C. antarctica was oxidizing a mixture of proteins and lipids (26.41 +/- 14.82:1). Proximate body compositions based on percent protein, percent lipid, and carbon to nitrogen ratios, suggested larger lipid storage in C. antarctica (similar to 5%) than in S. australis (similar to 3%). CS activities among gymnosomes were dissimilar, and comparisons of enzyme activities were made to other Antarctic organisms. Observed differences in S. australis' physiological indicators may be related to prolonged starvation, whereas C. antarctica appears ready to survive overwintering in Antarctica. Water mass advection from the Antarctic Circumpolar Current is thought to be transporting S. australis onto the WAP shelf, and away from its typical sub-Antarctic habitat.</t>
  </si>
  <si>
    <t>[Suprenand, Paul M.] Univ Florida, NMFS RTR Program, Gainesville, FL 32611 USA; [Suprenand, Paul M.; Ombres, Erica H.; Torres, Joseph J.] Univ S Florida, Coll Marine Sci, St Petersburg, FL 33701 USA</t>
  </si>
  <si>
    <t>State University System of Florida; University of Florida; State University System of Florida; University of South Florida</t>
  </si>
  <si>
    <t>Suprenand, PM (corresponding author), Univ Florida, NMFS RTR Program, POB 110240, Gainesville, FL 32611 USA.</t>
  </si>
  <si>
    <t>psuprena@mail.usf.edu</t>
  </si>
  <si>
    <t>United States National Science Foundation (NSF) [ANT 0741348]</t>
  </si>
  <si>
    <t>United States National Science Foundation (NSF)(National Science Foundation (NSF))</t>
  </si>
  <si>
    <t>The United States National Science Foundation supported this research (NSF ANT 0741348 to J.J.T.). Thank you to the University of South Florida science team aboard the R.V.I.B. 'Nathaniel B. Palmer cruise', 10-02, for their help collecting MOCNESS samples (Christine Cass, Tammy Cullins, Nicole Dunham, Eloy Martinez, Christin Murphy, and Melanie Parker), and the vessel's crew. Thank you to Brad Seibel and Eloy Martinez for their insights into methods to determine indicators of pteropod physiology.</t>
  </si>
  <si>
    <t>JAN 7</t>
  </si>
  <si>
    <t>10.3354/meps11050</t>
  </si>
  <si>
    <t>AY7CY</t>
  </si>
  <si>
    <t>WOS:000347720100005</t>
  </si>
  <si>
    <t>Wild, S; McLagan, D; Schlabach, M; Bossi, R; Hawker, D; Cropp, R; King, CK; Stark, JS; Mondon, J; Nash, SB</t>
  </si>
  <si>
    <t>Wild, Seanan; McLagan, David; Schlabach, Martin; Bossi, Rossana; Hawker, Darryl; Cropp, Roger; King, Catherine K.; Stark, Jonathan S.; Mondon, Julie; Nash, Susan Bengtson</t>
  </si>
  <si>
    <t>An Antarctic Research Station as a Source of Brominated and Perfluorinated Persistent Organic Pollutants to the Local Environment</t>
  </si>
  <si>
    <t>POLYBROMINATED DIPHENYL ETHERS; PERFLUOROOCTANE SULFONATE PFOS; KING GEORGE ISLAND; FLAME RETARDANTS; PERFLUOROALKYL COMPOUNDS; INDOOR DUST; EAST ANTARCTICA; CASEY STATION; ATMOSPHERE; TRENDS</t>
  </si>
  <si>
    <t>This study investigated the role of a permanently manned Australian Antarctic research station (Casey Station) as a source of contemporary persistent organic pollutants (POPs) to the local environment. Polybrominated diphenyl ethers (PBDEs) and poly- and perfluoroalkylated substances (PFASs) were found in indoor dust and treated wastewater effluent of the station. PBDE (e.g., BDE-209 26-820 ng g(-1) dry weight (dw) and PFAS levels (e.g., PFOS 3.8-2400 ng g(-1) (dw)) in dust were consistent with those previously reported in homes and offices from Australia, reflecting consumer products and materials of the host nation. The levels of PBDEs and PFASs in wastewater (e.g., BDE-209 71-400 ng L-1) were in the upper range of concentrations reported for secondary treatment plants in other parts of the world. The chemical profiles of some PFAS samples were, however, different from domestic profiles. Dispersal of chemicals into the immediate marine and terrestrial environments was investigated by analysis of abiotic and biotic matrices. Analytes showed decreasing concentrations with increasing distance from the station. This study provides the first evidence of PFAS input to Polar regions via local research stations and demonstrates the introduction of POPs recently listed under the Stockholm Convention into the Antarctic environment through local human activities.</t>
  </si>
  <si>
    <t>[Wild, Seanan; Nash, Susan Bengtson] Griffith Univ, Griffith Sch Environm, Environm Futures Res Inst, Nathan, Qld 4111, Australia; [McLagan, David; Hawker, Darryl; Cropp, Roger] Griffith Univ, Griffith Sch Environm, Nathan, Qld 4111, Australia; [Schlabach, Martin] Norwegian Inst Air Res NILU, NO-2027 Kjeller, Norway; [Bossi, Rossana] Aarhus Univ, DK-4000 Roskilde, Denmark; [King, Catherine K.; Stark, Jonathan S.] Australian Antarctic Div, Kingston, Tas 7050, Australia; [Mondon, Julie] Deakin Univ, Warrnambool, Vic 3280, Australia</t>
  </si>
  <si>
    <t>Griffith University; Griffith University; NILU; Aarhus University; Australian Antarctic Division; Deakin University</t>
  </si>
  <si>
    <t>Wild, S (corresponding author), Griffith Univ, Griffith Sch Environm, Environm Futures Res Inst, 170 Kessels Rd, Nathan, Qld 4111, Australia.</t>
  </si>
  <si>
    <t>s.wild@griffith.edu.au</t>
  </si>
  <si>
    <t>Stark, Jonathan/ABF-4025-2020; Bengtson Nash, Susan/GMX-4611-2022; McLagan, David/ABD-5397-2021; King, Catherine K/G-7059-2017; Schlabach, Martin/J-3348-2013; Bengtson Nash, Susan/I-3942-2015; Cropp, Roger/C-1019-2008</t>
  </si>
  <si>
    <t>Stark, Jonathan/0000-0002-4268-8072; Bengtson Nash, Susan/0000-0001-5928-0850; McLagan, David/0000-0003-2586-625X; King, Catherine K/0000-0003-3356-0381; Schlabach, Martin/0000-0003-3705-7943; Bengtson Nash, Susan/0000-0001-5928-0850; Cropp, Roger/0000-0001-9582-857X</t>
  </si>
  <si>
    <t>Australian Antarctic Science Grant [3115]</t>
  </si>
  <si>
    <t>This work was partially funded by an Australian Antarctic Science Grant (3115). The authors thank Michael Packer, Emily Shaw and Chris Shaw for assistance in sample collection and Inga Jensen for assistance in analysis. David Smith and the Australian Antarctic Division Data Centre are acknowledged for provision of local area maps. We also thank the anonymous reviewers for their contribution to the publication of this work.</t>
  </si>
  <si>
    <t>JAN 6</t>
  </si>
  <si>
    <t>10.1021/es5048232</t>
  </si>
  <si>
    <t>AY5BW</t>
  </si>
  <si>
    <t>WOS:000347589300012</t>
  </si>
  <si>
    <t>Wilson, SE; Swalethorp, R; Kjellerup, S; Wolverton, MA; Ducklow, HW; Yager, PL</t>
  </si>
  <si>
    <t>Wilson, Stephanie E.; Swalethorp, Rasmus; Kjellerup, Sanne; Wolverton, Megan A.; Ducklow, Hugh W.; Yager, Patricia L.</t>
  </si>
  <si>
    <t>Meso- and macro-zooplankton community structure of the Amundsen Sea Polynya, Antarctica (Summer 2010-2011)</t>
  </si>
  <si>
    <t>NORTHEAST WATER POLYNYA; SOUTHERN-OCEAN; VERTICAL MIGRATION; ROSS SEA; EUPHAUSIA-CRYSTALLOROPHIAS; COLONY SIZE; SCOTIA SEA; PHYTOPLANKTON; RATES; PATTERNS</t>
  </si>
  <si>
    <t>The Amundsen Sea Polynya (ASP) has, on average, the highest productivity per unit area in Antarctic waters. To investigate community structure and the role that zooplankton may play in utilizing this productivity, animals were collected at six stations inside and outside the ASP using paired day-night tows with a 1 m(2) MOCNESS. Stations were selected according to productivity based on satellite imagery, distance from the ice edge, and depth of the water column. Depths sampled were stratified from the surface to similar to 50-100 m above the seafloor. Macrozooplankton were also collected at four stations located in different parts of the ASP using a 2 m2 Metro Net for krill surface trawls (0-120 m). The most abundant groups of zooplankton were copepods, ostracods, and euphausiids. Zooplankton biovolume (0.001 to 1.22 ml m(-3)) and abundance (0.21 to 97.5 individuals m(-3)) varied throughout all depth levels, with a midsurface maximum trend at similar to 60-100 m. A segregation of increasing zooplankton trophic position with depth was observed in the MOCNESS tows. In general, zooplankton abundance was low above the mixed layer depth, a result attributed to a thick layer of the unpalatable colonial haptophyte, Phaeocystis antarctica. Abundances of the ice krill, Euphausia crystallarophias, however, were highest near the edge of the ice sheet within the ASP and larvae: adult ratios correlated with temperature above a depth of 60 m. Total zooplankton abundance correlated positively with chlorophyll a above 150 m, but negative correlations observed for biovolume vs. the proportion of P. antarctica in the phyto-plankton estimated from pigment ratios (19'hexanoyloxyfucoxanthin: fucoxanthin) again pointed to avoidance of P. antarctica. Quantifying zooplankton community structure, abundance, and biovolume (biomass) in this highly productive polynya helps shed light on how carbon may be transferred to higher trophic levels and to depth in a region undergoing rapid warming.</t>
  </si>
  <si>
    <t>[Wilson, Stephanie E.] Bangor Univ, Sch Ocean Sci, Menai Bridge, Gwynedd, Wales; [Swalethorp, Rasmus; Kjellerup, Sanne] Univ Gothenburg, Dept Biol &amp; Environm Sci, Gothenburg, Sweden; [Swalethorp, Rasmus; Kjellerup, Sanne] Tech Univ Denmark, DTU Aqua, Charlottenlund, Denmark; [Kjellerup, Sanne] Greenland Climate &amp; Res Ctr, Greenland Inst Nat Resources, Nuuk, Greenland; [Wolverton, Megan A.] Arizona State Univ, Tempe, AZ USA; [Ducklow, Hugh W.] Columbia Univ, Lamont Doherty Earth Observ, Palisades, NY USA; [Yager, Patricia L.] Univ Georgia, Athens, GA 30602 USA</t>
  </si>
  <si>
    <t>Bangor University; University of Gothenburg; Technical University of Denmark; Greenland Institute of Natural Resources; Arizona State University; Arizona State University-Tempe; Columbia University; University System of Georgia; University of Georgia</t>
  </si>
  <si>
    <t>Wilson, SE (corresponding author), Bangor Univ, Sch Ocean Sci, Menai Bridge, Gwynedd, Wales.</t>
  </si>
  <si>
    <t>stephanie.wilson@bangor.ac.uk</t>
  </si>
  <si>
    <t>Swalethorp, Rasmus/0000-0003-0065-4381; Wilson, Stephanie/0000-0002-1280-5506; Yager, Patricia/0000-0002-8462-6427</t>
  </si>
  <si>
    <t>Directorate For Geosciences; Office of Polar Programs (OPP) [0839069] Funding Source: National Science Foundation</t>
  </si>
  <si>
    <t>Directorate For Geosciences; Office of Polar Programs (OPP)(National Science Foundation (NSF)NSF - Directorate for Geosciences (GEO))</t>
  </si>
  <si>
    <t>10.12952/journal.elementa.000033</t>
  </si>
  <si>
    <t>CS5HB</t>
  </si>
  <si>
    <t>WOS:000362107500001</t>
  </si>
  <si>
    <t>Brierley, AS; Cox, MJ</t>
  </si>
  <si>
    <t>Brierley, Andrew S.; Cox, Martin J.</t>
  </si>
  <si>
    <t>Fewer but Not Smaller Schools in Declining Fish and Krill Populations</t>
  </si>
  <si>
    <t>CURRENT BIOLOGY</t>
  </si>
  <si>
    <t>EUPHAUSIA-SUPERBA; ANTARCTIC KRILL; DENSITY; DISTRIBUTIONS; AGGREGATIONS; VARIABILITY; ABUNDANCE; FISHERIES; ECOSYSTEMS; BIOMASS</t>
  </si>
  <si>
    <t>Many pelagic species (species that live in the water column), including herring and krill, aggregate to form schools, shoals, or swarms (hereafter simply schools,'' although the words are not synonyms). Schools provide benefits to individual members, including locomotory economy [1] and protection from predators that prey on individuals [2], but paradoxically make schooling species energetically viable and commercially attractive targets for predators of groups [3] and for fishers. Large schools are easier to find and yield greater prey/catch than small schools, and there is a requirement from fields as diverse as theoretical ecology and fisheries management to understand whether and how aggregation sizes change with changing population size. We collated data from vertical echosounder surveys of taxonomically diverse pelagic stocks from geographically diverse ecosystems [4-6]. The data contain common significant positive linear stock-biomass to school-number relationships. They show that the numbers of schools in the stocks change with changing stock biomass and suggest that the distributions of school sizes do not change with stock biomass. New data that we collected using a multibeam sonar [7], which can image entire schools, contained the same stock-biomass to school-number relationship and confirm that the distribution of school sizes is not related to changing stock size: put simply, as stocks decline, individuals are distributed among fewer schools, not smaller schools. Since school characteristics affect catchability (the ease or difficulty with which fishers can capture target species) [8] and availability of prey to predators [3], our findings have commercial and ecological implications, particularly within the aspirational framework of ecosystem-based management of marine systems [9, 10].</t>
  </si>
  <si>
    <t>[Brierley, Andrew S.] Univ St Andrews, Scottish Oceans Inst, Pelag Ecol Res Grp, St Andrews KY16 8LB, Fife, Scotland; [Cox, Martin J.] Australian Antarctic Div, Kingston, Tas 7050, Australia</t>
  </si>
  <si>
    <t>University of St Andrews; Australian Antarctic Division</t>
  </si>
  <si>
    <t>Brierley, AS (corresponding author), Univ St Andrews, Scottish Oceans Inst, Pelag Ecol Res Grp, St Andrews KY16 8LB, Fife, Scotland.</t>
  </si>
  <si>
    <t>asb4@st-and.ac.uk</t>
  </si>
  <si>
    <t>Brierley, Andrew/G-8019-2011</t>
  </si>
  <si>
    <t>Brierley, Andrew/0000-0002-6438-6892</t>
  </si>
  <si>
    <t>CELL PRESS</t>
  </si>
  <si>
    <t>600 TECHNOLOGY SQUARE, 5TH FLOOR, CAMBRIDGE, MA 02139 USA</t>
  </si>
  <si>
    <t>0960-9822</t>
  </si>
  <si>
    <t>1879-0445</t>
  </si>
  <si>
    <t>CURR BIOL</t>
  </si>
  <si>
    <t>Curr. Biol.</t>
  </si>
  <si>
    <t>JAN 5</t>
  </si>
  <si>
    <t>10.1016/j.cub.2014.10.062</t>
  </si>
  <si>
    <t>Biochemistry &amp; Molecular Biology; Biology; Cell Biology</t>
  </si>
  <si>
    <t>Biochemistry &amp; Molecular Biology; Life Sciences &amp; Biomedicine - Other Topics; Cell Biology</t>
  </si>
  <si>
    <t>AY2HP</t>
  </si>
  <si>
    <t>WOS:000347409900029</t>
  </si>
  <si>
    <t>Conversi, A; Dakos, V; Gårdmark, A; Ling, S; Folke, C; Mumby, PJ; Greene, C; Edwards, M; Blenckner, T; Casini, M; Pershing, A; Möllmann, C</t>
  </si>
  <si>
    <t>Conversi, Alessandra; Dakos, Vasilis; Gardmark, Anna; Ling, Scott; Folke, Carl; Mumby, Peter J.; Greene, Charles; Edwards, Martin; Blenckner, Thorsten; Casini, Michele; Pershing, Andrew; Moellmann, Christian</t>
  </si>
  <si>
    <t>A holistic view of marine regime shifts</t>
  </si>
  <si>
    <t>PHILOSOPHICAL TRANSACTIONS OF THE ROYAL SOCIETY B-BIOLOGICAL SCIENCES</t>
  </si>
  <si>
    <t>regime shift; phase shift; marine; ecology; management; global change</t>
  </si>
  <si>
    <t>ARCTIC CLIMATE-CHANGE; TROPHIC CASCADES; CALANUS-FINMARCHICUS; TIME-SERIES; NORTH-SEA; TOP-DOWN; ECOSYSTEM; ZOOPLANKTON; OCEAN; RESILIENCE</t>
  </si>
  <si>
    <t>Understanding marine regime shifts is important not only for ecology but also for developing marine management that assures the provision of ecosystem services to humanity. While regime shift theory is well developed, there is still no common understanding on drivers, mechanisms and characteristic of abrupt changes in real marine ecosystems. Based on contributions to the present theme issue, we highlight some general issues that need to be overcome for developing a more comprehensive understanding of marine ecosystem regime shifts. We find a great divide between benthic reef and pelagic ocean systems in how regime shift theory is linked to observed abrupt changes. Furthermore, we suggest that the long-lasting discussion on the prevalence of top-down trophic or bottom-up physical drivers in inducing regime shifts may be overcome by taking into consideration the synergistic interactions of multiple stressors, and the special characteristics of different ecosystem types. We present a framework for the holistic investigation of marine regime shifts that considers multiple exogenous drivers that interact with endogenous mechanisms to cause abrupt, catastrophic change. This framework takes into account the time-delayed synergies of these stressors, which erode the resilience of the ecosystem and eventually enable the crossing of ecological thresholds. Finally, considering that increased pressures in the marine environment are predicted by the current climate change assessments, in order to avoid major losses of ecosystem services, we suggest that marine management approaches should incorporate knowledge on environmental thresholds and develop tools that consider regime shift dynamics and characteristics. This grand challenge can only be achieved through a holistic view of marine ecosystem dynamics as evidenced by this theme issue.</t>
  </si>
  <si>
    <t>[Conversi, Alessandra] Natl Res Council Italy, Inst Marine Sci, I-19032 Lerici, La Spezia, Italy; [Conversi, Alessandra] Univ Plymouth, Inst Marine, Ctr Marine &amp; Coastal Policy, Plymouth PL4 8AA, Devon, England; [Conversi, Alessandra; Edwards, Martin] Sir Alister Hardy Fdn Ocean Sci, Plymouth PL1 2PB, Devon, England; [Dakos, Vasilis] CSIC, Integrat Ecol Grp, Estn Biol Donana, Seville 41092, Spain; [Gardmark, Anna] Swedish Univ Agr Sci, Inst Coastal Res, Dept Aquat Resources, S-74242 Oregrund, Sweden; [Ling, Scott] Univ Tasmania, Inst Marine &amp; Antarctic Studies, Hobart, Tas 7001, Australia; [Folke, Carl] Royal Swedish Acad Sci, Beijer Inst, S-10405 Stockholm, Sweden; [Folke, Carl; Blenckner, Thorsten] Stockholm Univ, Stockholm Resilience Ctr, S-10691 Stockholm, Sweden; [Mumby, Peter J.] Univ Queensland, Sch Biol Sci, Marine Spatial Ecol Lab, St Lucia, Qld 4072, Australia; [Mumby, Peter J.] Univ Queensland, ARC Ctr Excellence Coral Reef Studies, St Lucia, Qld 4072, Australia; [Greene, Charles] Cornell Univ, Ocean Resources &amp; Ecosyst Program, Ithaca, NY USA; [Casini, Michele] Swedish Univ Agr Sci, Inst Marine Res, Dept Aquat Resources, S-45330 Lysekil, Sweden; [Pershing, Andrew] Gulf Maine Res Inst, Portland, ME 04101 USA; [Moellmann, Christian] Univ Hamburg, Inst Hydrobiol &amp; Fisheries Sci, D-22767 Hamburg, Germany</t>
  </si>
  <si>
    <t>Consiglio Nazionale delle Ricerche (CNR); Istituto di Scienze Marine (ISMAR-CNR); University of Plymouth; Consejo Superior de Investigaciones Cientificas (CSIC); CSIC - Estacion Biologica de Donana (EBD); Swedish University of Agricultural Sciences; University of Tasmania; Royal Swedish Academy of Sciences; Beijer Institute of Ecological Economics; Stockholm University; University of Queensland; University of Queensland; Cornell University; Swedish University of Agricultural Sciences; Gulf of Maine Research Institute; University of Hamburg</t>
  </si>
  <si>
    <t>Conversi, A (corresponding author), Natl Res Council Italy, Inst Marine Sci, I-19032 Lerici, La Spezia, Italy.</t>
  </si>
  <si>
    <t>a.conversi@ismar.cnr.it</t>
  </si>
  <si>
    <t>Folke, Carl/Z-1545-2019; Dakos, Vasilis/D-6488-2012; Möllmann, Christian/M-8006-2019; Möllmann, Christian/C-4788-2011; Gårdmark, Anna/AAC-3909-2021; Mumby, Peter/F-9914-2010; Conversi, Alessandra/G-3899-2011; Ling, Scott/J-7161-2014</t>
  </si>
  <si>
    <t>Dakos, Vasilis/0000-0001-8862-718X; Möllmann, Christian/0000-0001-9161-6342; Mumby, Peter/0000-0002-6297-9053; Conversi, Alessandra/0000-0002-8566-8282; Folke, Carl/0000-0002-4050-3281; Blenckner, Thorsten/0000-0002-6991-7680; Ling, Scott/0000-0002-5544-8174; Casini, Michele/0000-0003-4910-5236</t>
  </si>
  <si>
    <t>European Union [PIEF-GA-2010-275790]; Swedish Research Council Formas; Stockholm University; Norden Top-level Research Initiative; Netherlands Science Foundation (NWO); EU Marie Curie grant; Directorate For Geosciences; Division Of Ocean Sciences [1154661] Funding Source: National Science Foundation</t>
  </si>
  <si>
    <t>European Union(European Union (EU)); Swedish Research Council Formas(Swedish Research Council Formas); Stockholm University; Norden Top-level Research Initiative; Netherlands Science Foundation (NWO)(Netherlands Organization for Scientific Research (NWO)); EU Marie Curie grant(European Union (EU)Marie Curie Actions); Directorate For Geosciences; Division Of Ocean Sciences(National Science Foundation (NSF)NSF - Directorate for Geosciences (GEO))</t>
  </si>
  <si>
    <t>A.C. has received partial funding from the European Union Seventh Framework Programme (FP7/2007-2013) under grant agreement no. PIEF-GA-2010-275790, Marie Curie project SYNRESH. This work reflects only the author's views and the Union is not liable for any use that may be made of the information contained therein. T.B. was funded by grants from the Swedish Research Council Formas Project 'Regime Shifts in the Baltic Sea Ecosystem' and the strategic programme at Stockholm University 'Baltic Ecosystem Adaptive Management Program'. Research presented in this paper contributes to the Nordic Centre for Research on Marine Ecosystems and Resources under Climate Change (NorMER), which is funded by the Norden Top-level Research Initiative sub-programme 'Effect Studies and Adaptation to Climate Change'. V.D. has been partly supported by a Rubicon fellowship from the Netherlands Science Foundation (NWO) and by an EU Marie Curie grant.</t>
  </si>
  <si>
    <t>0962-8436</t>
  </si>
  <si>
    <t>1471-2970</t>
  </si>
  <si>
    <t>PHILOS T R SOC B</t>
  </si>
  <si>
    <t>Philos. Trans. R. Soc. B-Biol. Sci.</t>
  </si>
  <si>
    <t>10.1098/rstb.2013.0279</t>
  </si>
  <si>
    <t>AW2WK</t>
  </si>
  <si>
    <t>WOS:000346147200016</t>
  </si>
  <si>
    <t>Luporini, P; Alimenti, C; Vallesi, A</t>
  </si>
  <si>
    <t>Luporini, P.; Alimenti, C.; Vallesi, A.</t>
  </si>
  <si>
    <t>Ciliate pheromone structures and activity: a review</t>
  </si>
  <si>
    <t>ITALIAN JOURNAL OF ZOOLOGY</t>
  </si>
  <si>
    <t>protist ciliates; signal proteins; Blepharisma; Water-borne pheromones; Euplotes</t>
  </si>
  <si>
    <t>NMR SOLUTION STRUCTURE; CONJUGATION-INDUCING GLYCOPROTEIN; SOLUBLE FACTORS GAMONES; EUPLOTES-RAIKOVI; ANTARCTIC CILIATE; PROTOZOAN CILIATE; MATING TYPES; PROTEIN PHEROMONE; SIGNAL PROTEINS; CELL-INTERACTION</t>
  </si>
  <si>
    <t>As in animals and other multicellular organisms, protozoan ciliates communicate via diffusible signalling pheromones. These pheromones have been identified in the culture supernatant of various species. However, their isolation and definitive structural characterization have been achieved only in species of Blepharisma and Euplotes. With the exception of the two B. japonicum pheromones represented by a tryptophan-related molecule and a glycoprotein, all the other pheromones isolated from Euplotes species are proteins that vary in extension between 38 and 109 amino acids. They form species-specific families of structurally homologous members, in full accord with their multi-allelic determination at an apparently single genetic locus. The determination of the Nuclear Magnetic Resonance (NMR) solution structures of E. raikovi and E. nobilii pheromones has provided direct evidence that, although structurally unique, Euplotes pheromones adopt a common, species-specific three-helix folding. This close structural homology among members of the same family well accounts for the pheromone capacity to compete with one another in cell receptor binding reactions and elicit context-dependent, autocrine (growth-promoting) or paracrine (mating-inducing) cell responses.</t>
  </si>
  <si>
    <t>[Luporini, P.; Alimenti, C.; Vallesi, A.] Univ Camerino, Lab Eukaryot Microbiol &amp; Anim Biol, I-62032 Camerino, MC, Italy</t>
  </si>
  <si>
    <t>University of Camerino</t>
  </si>
  <si>
    <t>Luporini, P (corresponding author), Univ Camerino, Lab Eukaryot Microbiol &amp; Anim Biol, I-62032 Camerino, MC, Italy.</t>
  </si>
  <si>
    <t>piero.luporini@unicam.it</t>
  </si>
  <si>
    <t>Vallesi, Adriana/I-9933-2016</t>
  </si>
  <si>
    <t>Vallesi, Adriana/0000-0002-4127-090X; Alimenti, Claudio/0000-0003-2231-2948</t>
  </si>
  <si>
    <t>Ministero dell'Istruzione, dell'Universita e della Ricerca (MIUR); Programma Nazionale di Ricerche in Antartide (PNRA)</t>
  </si>
  <si>
    <t>Ministero dell'Istruzione, dell'Universita e della Ricerca (MIUR)(Ministry of Education, Universities and Research (MIUR)); Programma Nazionale di Ricerche in Antartide (PNRA)</t>
  </si>
  <si>
    <t>Grants from the Ministero dell'Istruzione, dell'Universita e della Ricerca (MIUR) and Programma Nazionale di Ricerche in Antartide (PNRA) provided financial support for the research carried out in the authors' laboratory. Advice from Mrs. Sheila Beatty in editing the English usage was greatly appreciated.</t>
  </si>
  <si>
    <t>1125-0003</t>
  </si>
  <si>
    <t>1748-5851</t>
  </si>
  <si>
    <t>ITAL J ZOOL</t>
  </si>
  <si>
    <t>Ital. J. Zoolog.</t>
  </si>
  <si>
    <t>JAN 2</t>
  </si>
  <si>
    <t>10.1080/11250003.2014.976282</t>
  </si>
  <si>
    <t>CD3JM</t>
  </si>
  <si>
    <t>WOS:000350974500002</t>
  </si>
  <si>
    <t>Ohneiser, C; Wilson, GS; Cox, SC</t>
  </si>
  <si>
    <t>Ohneiser, C.; Wilson, G. S.; Cox, S. C.</t>
  </si>
  <si>
    <t>Characterisation of magnetic minerals from southern Victoria Land, Antarctica</t>
  </si>
  <si>
    <t>magnetic mineralogy; environmental magnetism; Antarctica; southern Victoria Land; geology; sedimentology</t>
  </si>
  <si>
    <t>REVERSAL CURVE DIAGRAMS; FLOOD-BASALT VOLCANISM; LARGE IGNEOUS PROVINCE; DRY VALLEYS REGION; GROUNDED ICE-SHEET; TRANSANTARCTIC MOUNTAINS; ROSS SEA; GLACIOMARINE SEDIMENTS; BEACON SUPERGROUP; PARTICLE-SYSTEMS</t>
  </si>
  <si>
    <t>Magnetic properties of sedimentary strata recovered in Antarctic drill-cores from southern McMurdo Sound have been used to deduce climatic processes, but interpretation is limited by lack of information regarding the magnetic mineralogy of potential source rocks. Here we assess the magnetic mineralogy, concentration and grain size of magnetic remanence carriers in exposed rocks of southern Victoria Land and evaluate their potential contribution to Holocene-modern sediments. Modern sediments contain high concentrations of Ti-magnetite likely derived from the McMurdo Volcanic Group and minor concentrations of high-coercivity minerals, possibly derived from the Skelton Group and Beacon Supergroup. Significant quantities of superparamagnetic grains are present in all cover sediments, which were probably generated through glacial (grinding) processes or during sediment transport. We suggest that modern, hyper-arid conditions in southern Victoria Land prevent alteration of superparamagnetic grains and that they may be a useful proxy for the modern climate state.</t>
  </si>
  <si>
    <t>[Ohneiser, C.] Univ Otago, Dept Geol, Dunedin, New Zealand; [Wilson, G. S.] Univ Otago, Dept Marine Sci, Dunedin, New Zealand; [Cox, S. C.] GNS Sci, Dunedin, New Zealand</t>
  </si>
  <si>
    <t>University of Otago; University of Otago; GNS Science - New Zealand</t>
  </si>
  <si>
    <t>Ohneiser, C (corresponding author), Univ Otago, Dept Geol, Dunedin, New Zealand.</t>
  </si>
  <si>
    <t>christian.ohneiser@otago.ac.nz</t>
  </si>
  <si>
    <t>Ohneiser, Christian/B-5797-2018; Wilson, Gary S/B-3803-2010</t>
  </si>
  <si>
    <t>Ohneiser, Christian/0000-0002-2781-2522; Cox, Simon C./0000-0001-5899-8035; Wilson, Gary/0000-0003-0025-3641</t>
  </si>
  <si>
    <t>New Zealand Foundation for Research, Science and Technology as part of the New Zealand PACAFI grant [C05X1001]</t>
  </si>
  <si>
    <t>New Zealand Foundation for Research, Science and Technology as part of the New Zealand PACAFI grant</t>
  </si>
  <si>
    <t>We thank Andrew Roberts and an anonymous reviewer for their constructive and rigorous reviews. We thank Pontus Lurcock for assistance with FORC analyses, and Gavin Dunbar and Cliff Atkins for providing modern sediment samples. Logistical support was provided by Ian Turnbull, the GNS Science Department of Regional Geology, Antarctica New Zealand, staff at Scott Base, and R McPhail (Helicopters New Zealand). This work was supported by the New Zealand Foundation for Research, Science and Technology as part of the New Zealand PACAFI grant (contract C05X1001).</t>
  </si>
  <si>
    <t>10.1080/00288306.2014.990044</t>
  </si>
  <si>
    <t>CC4QY</t>
  </si>
  <si>
    <t>WOS:000350339300001</t>
  </si>
  <si>
    <t>Anilkumar, N; George, JV; Chacko, R; Nuncio, N; Sabu, P</t>
  </si>
  <si>
    <t>Anilkumar, N.; George, J. V.; Chacko, R.; Nuncio, N.; Sabu, P.</t>
  </si>
  <si>
    <t>Variability of fronts, fresh water input and chlorophyll in the Indian Ocean sector of the Southern Ocean</t>
  </si>
  <si>
    <t>water masses; Argo floats; oceanic fronts; Indian sector of Southern Ocean; geostrophic currents</t>
  </si>
  <si>
    <t>ANTARCTIC CIRCUMPOLAR CURRENT; THERMOHALINE STRUCTURE; PHYTOPLANKTON BIOMASS; HYDROGRAPHIC SECTION; POLAR FRONT; SEA; CIRCULATION; ICE; IRON; PRODUCTIVITY</t>
  </si>
  <si>
    <t>The aim of this study was to understand the variability in the fronts and water masses, and the effect of melt water on the concentration of chlorophyll (Chl a) in the Indian Ocean sector of the Southern Ocean using hydrographic data collected during the austral summer (February 2010 and 2011). The Southern Subtropical Front (SSTF) and Northern Sub Antarctic Front (SAF1) were found to be further south at 57 degrees 30 ' E than at 47-48 degrees E. This southward shift of the fronts was consistent with the southward meandering (c. 2 degrees) of the Antarctic Circumpolar Current (ACC) core from the western section to the eastern section, which could have been caused by the bottom topography. The intrusion of water masses also differed between the western and eastern transects of the study region as a result of the meandering of the ACC core. Fresh water layer thickness relative to the winter water in 2011 was more compared to that during 2010. This could have been due to the larger amount of sea ice that was present in the winter of 2010, which subsequently melted, resulting in the advection of melt water from the south and west of the study region. In situ observations and satellite data detected a high Chl a concentration (c. 0.38 mg m(-3)) south of the Northern Polar Front (PF1) in 2011, which was caused by this melt water.</t>
  </si>
  <si>
    <t>[Anilkumar, N.; George, J. V.; Chacko, R.; Nuncio, N.; Sabu, P.] Natl Ctr Antarctic &amp; Ocean Res, Vasco Da Gama, India</t>
  </si>
  <si>
    <t>Anilkumar, N (corresponding author), Natl Ctr Antarctic &amp; Ocean Res, Vasco Da Gama, India.</t>
  </si>
  <si>
    <t>anil@ncaor.gov.in</t>
  </si>
  <si>
    <t>George, Jenson/GXH-1342-2022</t>
  </si>
  <si>
    <t>Chacko, Racheal/0000-0002-0205-776X</t>
  </si>
  <si>
    <t>10.1080/00288330.2014.924972</t>
  </si>
  <si>
    <t>CB7DV</t>
  </si>
  <si>
    <t>WOS:000349787500003</t>
  </si>
  <si>
    <t>Hinz, F; Crawford, RM; Fenner, J; Beszteri, B</t>
  </si>
  <si>
    <t>Hinz, Friedel; Crawford, Richard M.; Fenner, Juliane; Beszteri, Bank</t>
  </si>
  <si>
    <t>Scanning electron microscopic investigation of Vanhoeffenus antarcticus Heiden from type material</t>
  </si>
  <si>
    <t>Vanhoeffenus; marine; Antarctic; scanning electron microscopy; Heiden; diatom</t>
  </si>
  <si>
    <t>BUNGER HILLS; GENUS; ELLERBECKIA; DIATOMS</t>
  </si>
  <si>
    <t>Vanhoeffenus antarcticus was described by Heinrich Heiden from a net sample taken from 385 m depth by the Gauss expedition (First German Antarctic Expedition) while frozen in pack ice near the Antarctic continent in the austral summer of 1902-3. Valves of this peculiar diatom have only ever been observed in preparations from this locality and only using light microscopy, but an electron microscopy study of this taxon has become possible now that some surviving material from the Gauss expedition has been recovered. Our scanning electron microscopy observations show the presence of a radially arranged system of marginal chambers, connected to hollow radial rays and continuing through unusually long processes to the inside of the cell. Another unique characteristic of this taxon is a marginal ring of pillars bearing hooks rising from the valve mantle-valve face boundary, previously interpreted (based on light microscopy) as a ring of T-shaped spines. However, despite the improved understanding of its valve structure, the systematic position of this taxon and its biology remain enigmatic.</t>
  </si>
  <si>
    <t>[Hinz, Friedel; Beszteri, Bank] Alfred Wegener Inst Polar &amp; Meeresforsch Helmholt, Hustedt Diatom Study Ctr, Bremerhaven, Germany; [Crawford, Richard M.] Aberteifi, Cardigan, Wales; [Fenner, Juliane] Bundesanstalt Geowissensch &amp; Rohstoffe, Hannover, Germany</t>
  </si>
  <si>
    <t>Beszteri, B (corresponding author), Alfred Wegener Inst Polar &amp; Meeresforsch Helmholt, Hustedt Diatom Study Ctr, Bremerhaven, Germany.</t>
  </si>
  <si>
    <t>bank.beszteri@awi.de</t>
  </si>
  <si>
    <t>Beszteri, Bank/D-1961-2010</t>
  </si>
  <si>
    <t>Beszteri, Bank/0000-0002-6852-1588</t>
  </si>
  <si>
    <t>10.1080/0269249X.2014.966859</t>
  </si>
  <si>
    <t>AY6RQ</t>
  </si>
  <si>
    <t>WOS:000347693700005</t>
  </si>
  <si>
    <t>Tian, YX; Scaioni, M; Tong, XH; Li, RX</t>
  </si>
  <si>
    <t>Tian, Yixiang; Scaioni, Marco; Tong, Xiaohua; Li, Rongxing</t>
  </si>
  <si>
    <t>On the Conversion of Antarctic Ice-Mass Change to Sea Level Equivalent</t>
  </si>
  <si>
    <t>MARINE GEODESY</t>
  </si>
  <si>
    <t>conversion computation; Antarctic; sea level equivalent (SLE); mass balance</t>
  </si>
  <si>
    <t>BALANCE</t>
  </si>
  <si>
    <t>This technical note aims to provide a quick reference and some computational examples for the conversion between Antarctic ice-mass changes and global sea level equivalent (SLE) changes using a few assumptions that computationally simplify this complex problem and that acknowledge gaps in our knowledge of the Antarctic environment. A number of factors involved in the conversion process are discussed, and the sensitivity of the conversion result to certain aspects is analyzed. It was found that the global ocean area calculated from a recently improved global shoreline dataset has little impact on the uncertainty of the SLE estimation. SLE estimation using satellite gravity observations, such as those by GRACE, are sensitive to glacial isostatic adjustment (GIA) models. One more important result from the computation is that the effective density of the volume that is gained or lost during mass change may greatly affect the outcome of the conversion if it differs greatly from the actual density of the firn/ice layers. Finally, a table of computational examples is provided for reference under some assumptions for simplifying the computation.</t>
  </si>
  <si>
    <t>[Tian, Yixiang; Scaioni, Marco; Tong, Xiaohua; Li, Rongxing] Tongji Univ, Ctr Spatial Informat Sci &amp; Sustainable Dev Applic, Coll Surveying &amp; Geoinformat, Shanghai 200092, Peoples R China</t>
  </si>
  <si>
    <t>Tongji University</t>
  </si>
  <si>
    <t>Tian, YX (corresponding author), Tongji Univ, Ctr Spatial Informat Sci &amp; Sustainable Dev Applic, Coll Surveying &amp; Geoinformat, 1239 Siping Rd, Shanghai 200092, Peoples R China.</t>
  </si>
  <si>
    <t>tianyixiang@tongji.edu.cn</t>
  </si>
  <si>
    <t>Wang, Jin/GYA-2019-2022; Scaioni, Marco/Y-4398-2018; SUN, YANLING/JTT-9082-2023</t>
  </si>
  <si>
    <t>National High Technology Research and Development Program of China-863 program [2012AA12A305]; National Basic Research Program of China-973 program [2012CB957701]; National Natural Science Foundation of China [41201471]</t>
  </si>
  <si>
    <t>National High Technology Research and Development Program of China-863 program(National High Technology Research and Development Program of China); National Basic Research Program of China-973 program(National Basic Research Program of China); National Natural Science Foundation of China(National Natural Science Foundation of China (NSFC))</t>
  </si>
  <si>
    <t>This research was supported by the National High Technology Research and Development Program of China-863 program (2012AA12A305), National Basic Research Program of China-973 program (2012CB957701), and National Natural Science Foundation of China (41201471).</t>
  </si>
  <si>
    <t>0149-0419</t>
  </si>
  <si>
    <t>1521-060X</t>
  </si>
  <si>
    <t>MAR GEOD</t>
  </si>
  <si>
    <t>Mar. Geod.</t>
  </si>
  <si>
    <t>10.1080/01490419.2014.969458</t>
  </si>
  <si>
    <t>Geochemistry &amp; Geophysics; Oceanography; Remote Sensing</t>
  </si>
  <si>
    <t>AU1FH</t>
  </si>
  <si>
    <t>WOS:000345365900006</t>
  </si>
  <si>
    <t>Martin, AP; Cooper, AF; Price, RC; Turnbull, RE; Roberts, NMW</t>
  </si>
  <si>
    <t>Martin, A. P.; Cooper, A. F.; Price, R. C.; Turnbull, R. E.; Roberts, N. M. W.</t>
  </si>
  <si>
    <t>The petrology, geochronology and significance of Granite Harbour Intrusive Complex xenoliths and outcrop sampled in western McMurdo Sound, Southern Victoria Land, Antarctica</t>
  </si>
  <si>
    <t>Mount Morning; Ross Orogen; U-Pb geochronology; Transantarctic Mountains; Koettlitz Glacier Alkaline Suite; Granite Harbour Intrusive Complex</t>
  </si>
  <si>
    <t>TI-IN-ZIRCON; U-PB GEOCHRONOLOGY; DRY VALLEYS AREA; ROSS SEA REGION; TRANSANTARCTIC MOUNTAINS; GLACIER AREA; GONDWANA-MARGIN; ICP-MS; EVOLUTION; ROCK</t>
  </si>
  <si>
    <t>Granite Harbour Intrusive Complex xenoliths in McMurdo Volcanic Group rocks and in situ outcrops have been studied from Mount Morning, western McMurdo Sound, Antarctica. Calc-alkalic samples have whole rock signatures and normative compositions similar to the Dry Valleys 1b suite, and zircon grains in one specimen yield a 545.2 +/- 4.4 Ma crystallisation age. This supports subduction-related magmatism initiating in Southern Victoria Land by 545 Ma. A second group of xenoliths is alkalic, with titanite grains in one xenolith from this group dated at 538 +/- 8 Ma. Whole rock chemistry, normative compositions and geochronology of the alkalic group are comparable to the Koettlitz Glacier Alkaline Suite (KGAS). The position of a proposed lower crustal discontinuity that may form a significant basement suture in the McMurdo Sound region is newly constrained to the east of Mount Morning, perhaps along the trace of the Discovery Glacier. The boundary between East and West Antarctica may also pass along the trace of the Discovery Glacier if, as previously hypothesised, its location is controlled by the basement suture. A significant basement suture may also have provided the necessary egress for the (regionally) early and sustained magmatic activity observed at Mount Morning over the last 24 million years.</t>
  </si>
  <si>
    <t>[Martin, A. P.; Cooper, A. F.] Univ Otago, Dept Geol, Dunedin, New Zealand; [Price, R. C.] Univ Waikato, Hamilton, New Zealand; [Turnbull, R. E.] GNS Sci, Dunedin, New Zealand; [Roberts, N. M. W.] British Geol Survey, NERC Isotope Geosci Lab, Nottingham NG12 5GG, England</t>
  </si>
  <si>
    <t>University of Otago; University of Waikato; GNS Science - New Zealand; UK Research &amp; Innovation (UKRI); Natural Environment Research Council (NERC); NERC British Geological Survey</t>
  </si>
  <si>
    <t>Martin, AP (corresponding author), GNS Sci, Dunedin, New Zealand.</t>
  </si>
  <si>
    <t>adammartin2000@yahoo.com</t>
  </si>
  <si>
    <t>Roberts, Nick M W/C-2694-2008</t>
  </si>
  <si>
    <t>Roberts, Nick M W/0000-0001-8272-5432; Martin, A. P./0000-0002-4676-8344</t>
  </si>
  <si>
    <t>Antarctica New Zealand (New Zealand Post) Antarctic scholarship; University of Otago award from the Department of Geology; NERC [nigl010001] Funding Source: UKRI; Natural Environment Research Council [nigl010001] Funding Source: researchfish</t>
  </si>
  <si>
    <t>Antarctica New Zealand (New Zealand Post) Antarctic scholarship; University of Otago award from the Department of Geology; NERC(UK Research &amp; Innovation (UKRI)Natural Environment Research Council (NERC)); Natural Environment Research Council(UK Research &amp; Innovation (UKRI)Natural Environment Research Council (NERC))</t>
  </si>
  <si>
    <t>Adam Martin was supported by an Antarctica New Zealand (New Zealand Post) Antarctic scholarship and a University of Otago award from the Department of Geology. Antarctica New Zealand is thanked for logistic support. Brent Pooley and Damion Walls are thanked for help with sample preparation and analysis. JM Palin is thanked for his assistance. Andrew Allibone and an anonymous reviewer are thanked for their helpful reviews and Richard Jongens for editorial handling.</t>
  </si>
  <si>
    <t>10.1080/00288306.2014.982660</t>
  </si>
  <si>
    <t>CC4RC</t>
  </si>
  <si>
    <t>WOS:000350339700001</t>
  </si>
  <si>
    <t>C</t>
  </si>
  <si>
    <t>Burton, M; Ashley, M; Braiding, C; Freeman, M; Kulesa, C; Wolfire, M; Hollenbach, D; Rowell, G; Lau, J</t>
  </si>
  <si>
    <t>Jablonka, P; Andre, P; VanDerTak, F</t>
  </si>
  <si>
    <t>Burton, M.; Ashley, M.; Braiding, C.; Freeman, M.; Kulesa, C.; Wolfire, M.; Hollenbach, D.; Rowell, G.; Lau, J.</t>
  </si>
  <si>
    <t>Extended Carbon Emission in the Galaxy: Dark Gas along the G328 Sightline</t>
  </si>
  <si>
    <t>FROM INTERSTELLAR CLOUDS TO STAR-FORMING GALAXIES: UNIVERSAL PROCESSES?</t>
  </si>
  <si>
    <t>IAU Symposium Proceedings Series</t>
  </si>
  <si>
    <t>Proceedings Paper</t>
  </si>
  <si>
    <t>315th Symposium of the International-Astronomical-Union</t>
  </si>
  <si>
    <t>AUG 03-07, 2015</t>
  </si>
  <si>
    <t>Honolulu, HI</t>
  </si>
  <si>
    <t>We present spectral data cubes of the [CI] 809 GHz, (CO)-C-12 115 GHz, (CO)-C-13 110 GHz and HI 1.4 GHz line emission from a similar to 1 degrees region along the l = 328 degrees (G328) sightline in the Galactic Plane. The [CI] data comes from the High Elevation Antarctic Terahertz telescope at Ridge A on the summit of the Antarctic plateau, where the extremely low levels of precipitable water vapour open atmospheric windows for THz observations. The CO data comes from the Southern Galactic Plane Survey being conducted with the Mopra telescope. Emission arises principally from gas in three spiral arm crossings along the sight line. The distribution of the emission in the CO and [CI] lines is found to be similar, with the [CI] slightly more extended, and both are enveloped in extensive HI. Spectral line ratios are similar across the entire extent of the Galaxy. However, towards the edges of the molecular clouds the [CI]/(CO)-C-13 and (CO)-C-12/(CO)-C-13 line ratios rise by similar to 50%, and the [CI]/HI ratio falls by similar to 10%. We attribute this to sightlines passing predominantly through the surfaces of photodissociation regions (PDRs), where the carbon is found mainly as C or C+ rather than CO, while the gas is mostly molecular. This is the signature of dark molecular gas.</t>
  </si>
  <si>
    <t>[Burton, M.; Ashley, M.; Braiding, C.; Freeman, M.] Univ New South Wales, Sch Phys, Sydney, NSW 2052, Australia; [Kulesa, C.] Univ Arizona, Steward Observ, Tucson, AZ 85721 USA; [Wolfire, M.] Univ Maryland, Dept Astron, College Pk, MD USA; [Hollenbach, D.] SETI Inst, Carl Sagan Ctr, Mountain View, CA USA; [Rowell, G.; Lau, J.] Univ Adelaide, Sch Chem &amp; Phys, Adelaide, SA 5005, Australia</t>
  </si>
  <si>
    <t>University of New South Wales Sydney; University of Arizona; University System of Maryland; University of Maryland College Park; University of Adelaide</t>
  </si>
  <si>
    <t>Burton, M (corresponding author), Univ New South Wales, Sch Phys, Sydney, NSW 2052, Australia.</t>
  </si>
  <si>
    <t>Burton, Michael/0000-0001-7289-1998; Braiding, Catherine/0000-0002-6475-0797</t>
  </si>
  <si>
    <t>THE PITT BUILDING, TRUMPINGTON ST, CAMBRIDGE CB2 1RP, CAMBS, ENGLAND</t>
  </si>
  <si>
    <t>1743-9213</t>
  </si>
  <si>
    <t>1743-9221</t>
  </si>
  <si>
    <t>978-1-107-13520-8</t>
  </si>
  <si>
    <t>IAU SYMP P SERIES</t>
  </si>
  <si>
    <t>IAU Symposium Proc. Series</t>
  </si>
  <si>
    <t>10.1017/S1743921316007717</t>
  </si>
  <si>
    <t>Conference Proceedings Citation Index - Science (CPCI-S)</t>
  </si>
  <si>
    <t>BG2ZL</t>
  </si>
  <si>
    <t>WOS:000387795900010</t>
  </si>
  <si>
    <t>B</t>
  </si>
  <si>
    <t>Tsuji, M; Yokota, Y; Shimohara, K; Kudoh, S; Hoshino, T</t>
  </si>
  <si>
    <t>Sanchez, O</t>
  </si>
  <si>
    <t>Tsuji, Masaharu; Yokota, Yuji; Shimohara, Kodai; Kudoh, Sakae; Hoshino, Tamotsu</t>
  </si>
  <si>
    <t>An Application of Wastewater Treatment in a Cold Environment and Stable Lipase Production of Antarctic Basidiomycetous Yeast Mrakia blollopis (Reprinted from PLoS ONE, vol 8, doi 10.1371/journal.pone.0059376)</t>
  </si>
  <si>
    <t>BIOREMEDIATION OF WASTEWATER: FACTORS AND TREATMENT</t>
  </si>
  <si>
    <t>Reprint; Book Chapter</t>
  </si>
  <si>
    <t>SP NOV.; PURIFICATION; TEMPERATURE</t>
  </si>
  <si>
    <t>[Tsuji, Masaharu; Hoshino, Tamotsu] Natl Inst Adv Ind Sci &amp; Technol, Biomass Refinery Res Ctr BRRC, Hiroshima, Japan; [Yokota, Yuji] Natl Inst Adv Ind Sci &amp; Technol, Bioprod Res Inst, Toyohira Ku, Sapporo, Hokkaido, Japan; [Shimohara, Kodai] Hokkaido High Technol Coll HHT, Eniwa, Hokkaido, Japan; [Kudoh, Sakae] Natl Inst Polar Res NIPR, Tachikawa, Tokyo, Japan; [Hoshino, Tamotsu] Hokkaido Univ, Grad Sch Life Sci, Kita Ku, Sapporo, Hokkaido, Japan</t>
  </si>
  <si>
    <t>National Institute of Advanced Industrial Science &amp; Technology (AIST); National Institute of Advanced Industrial Science &amp; Technology (AIST); Research Organization of Information &amp; Systems (ROIS); National Institute of Polar Research (NIPR) - Japan; Hokkaido University</t>
  </si>
  <si>
    <t>Tsuji, M (corresponding author), Natl Inst Adv Ind Sci &amp; Technol, Biomass Refinery Res Ctr BRRC, Hiroshima, Japan.</t>
  </si>
  <si>
    <t>Hoshino, Tamotsu/F-3357-2017; Tsuji, Masaharu/M-6609-2019; HOSHINO, Tamotsu/R-2959-2019</t>
  </si>
  <si>
    <t>Tsuji, Masaharu/0000-0002-9375-7998;</t>
  </si>
  <si>
    <t>CRC PRESS-TAYLOR &amp; FRANCIS GROUP</t>
  </si>
  <si>
    <t>BOCA RATON</t>
  </si>
  <si>
    <t>6000 BROKEN SOUND PARKWAY NW, STE 300, BOCA RATON, FL 33487-2742 USA</t>
  </si>
  <si>
    <t>978-1-77188-163-0; 978-1-77188-162-3</t>
  </si>
  <si>
    <t>10.1371/journal.pone.0059376</t>
  </si>
  <si>
    <t>10.1201/b18618</t>
  </si>
  <si>
    <t>Biochemical Research Methods; Biotechnology &amp; Applied Microbiology; Water Resources</t>
  </si>
  <si>
    <t>Book Citation Index – Science (BKCI-S)</t>
  </si>
  <si>
    <t>Biochemistry &amp; Molecular Biology; Biotechnology &amp; Applied Microbiology; Water Resources</t>
  </si>
  <si>
    <t>BG3XI</t>
  </si>
  <si>
    <t>WOS:000388352500011</t>
  </si>
  <si>
    <t>Bajuri, NKBK; Alias, N</t>
  </si>
  <si>
    <t>Ariff, MIM; Abdullah, MN; Rahim, SKNA; Arshad, NI; Jaafar, J; Aziz, IA</t>
  </si>
  <si>
    <t>Bajuri, Nor Kamariah Binti Kasmin; Alias, Norma</t>
  </si>
  <si>
    <t>Implementation of finite difference method based on explicit and Crank-Nicolson method to the thermomechanical ice sheet model</t>
  </si>
  <si>
    <t>2015 INTERNATIONAL SYMPOSIUM ON MATHEMATICAL SCIENCES AND COMPUTING RESEARCH (ISMSC)</t>
  </si>
  <si>
    <t>International Symposium on Mathematical Sciences and Computing Research (iSMSC)</t>
  </si>
  <si>
    <t>MAY 19-20, 2015</t>
  </si>
  <si>
    <t>Ipoh, MALAYSIA</t>
  </si>
  <si>
    <t>partial differential equation; finite difference method; thermomechanical ice sheet model</t>
  </si>
  <si>
    <t>Thermomechanical ice sheet model is applied to simulate ice sheet behavior in the Antarctic region. The parameters involved are ice thickness, ice temperature and ice velocity. This model is proposed by Bueler ( 2012)[ 1]. It corresponding roughly to the two-dimensional European Ice Sheet Modeling Initiative ( EISMENT) experiment and the thermomechanical coupling equation. Thus, the expression of thermomechanical coupling equations is quite simplified. The numerical discretization scheme for the model is explicit and Crank-Nicholson methods. The efficiency of the finite difference methods such as implicit, explicit and Crank-Nicholson methods for solving the partial differential equation ( PDE) of thermomechanical ice sheet modeling is also determined. MATLAB has been choosing as the development platform for the implementations since it is well suited for the kind of computations required.</t>
  </si>
  <si>
    <t>[Bajuri, Nor Kamariah Binti Kasmin] Univ Teknol Mara, Fac Comp Sci &amp; Math, Johor Baharu, Malaysia; [Alias, Norma] Univ Teknol Malaysia, Ibnu Sina Inst Fundamental Sci Studies, Johor Baharu, Malaysia</t>
  </si>
  <si>
    <t>Universiti Teknologi MARA; Universiti Teknologi Malaysia</t>
  </si>
  <si>
    <t>Bajuri, NKBK (corresponding author), Univ Teknol Mara, Fac Comp Sci &amp; Math, Johor Baharu, Malaysia.</t>
  </si>
  <si>
    <t>kamariah0305@johor.uitm.edu.my; norma@ibnusina.utm.my</t>
  </si>
  <si>
    <t>Alias, Norma/ABF-7364-2020</t>
  </si>
  <si>
    <t>IEEE</t>
  </si>
  <si>
    <t>345 E 47TH ST, NEW YORK, NY 10017 USA</t>
  </si>
  <si>
    <t>978-1-4799-7894-6</t>
  </si>
  <si>
    <t>Engineering, Electrical &amp; Electronic; Mathematics, Applied</t>
  </si>
  <si>
    <t>Engineering; Mathematics</t>
  </si>
  <si>
    <t>BG1MW</t>
  </si>
  <si>
    <t>WOS:000386903700066</t>
  </si>
  <si>
    <t>Pedrana, J; Pon, JPS; Isacch, JP; Leiss, A; Rojas, PO; Castresana, G; Calvo, J; Bernad, L; Muñoz, SD; Maceira, NO; Pütz, K</t>
  </si>
  <si>
    <t>Pedrana, Julieta; Seco Pon, Juan Pablo; Pablo Isacch, Juan; Leiss, Alejandro; Rojas, Pablo O.; Castresana, Gabriel; Calvo, Jose; Bernad, Lucia; Munoz, Sebastian D.; Maceira, Nestor O.; Puetz, Klemens</t>
  </si>
  <si>
    <t>FIRST INSIGHTS INTO THE MIGRATION PATTERN OF AN UPLAND GOOSE (CHLOEPHAGA PICTA) BASED ON SATELLITE TRACKING</t>
  </si>
  <si>
    <t>ORNITOLOGIA NEOTROPICAL</t>
  </si>
  <si>
    <t>Argentina; Chloephaga picta; migration strategy; Patagonia; satellite transmitter; Upland Goose</t>
  </si>
  <si>
    <t>RUBIDICEPS; ATTACHMENT; ARGENTINA; BEHAVIOR</t>
  </si>
  <si>
    <t>Detailed knowledge of the migratory strategies is important to understand the ecology and evolution of migration and the conservation of migratory birds The Argentinean federal government declared sheldgeese (Chloephaga spp.) pests in 1930, claiming that they reduce crop yield. Currently sheldgeese have suffered severe reductions in their populations and are the focus of serious conservation concern. From September to April they breed in southern Patagonia (Argentina and Chile) while from May to September they winter mainly in the southern Pampas (central east Argentina). The precise knowledge of their migratory routes is essential to ensure protection of necessary resources and sites needed on their annual journeys. Here, by using a satellite transmitter for the first time we unravel the migration route of an Upland Goose (Chloephaga picta), a species endemic to southern South America with an unknown migration strategy. We received data for 121 days (from September 2014 to January 2015). During this time, the bird migrated 1485 km from the wintering grounds in Buenos Aires Province to the breeding area in Santa Cruz province, Patagonia. Part of the migration route was over the sea. The largest displacement was 817 km in 19 hours, representing a minimum mean speed of 43 km h(-1).</t>
  </si>
  <si>
    <t>[Pedrana, Julieta] Consejo Nacl Invest Cient &amp; Tecn, Recursos Nat &amp; Gest Ambiental, INTA, Ruta 226 Km 73-5, RA-7620 Balcarce, Argentina; [Seco Pon, Juan Pablo; Pablo Isacch, Juan] Univ Nacl Mar del Plata, CONICET, IIMyC, Funes 3250, RA-7600 Mar Del Plata, Buenos Aires, Argentina; [Leiss, Alejandro; Rojas, Pablo O.; Castresana, Gabriel] OPDS, Calle 12 &amp; 53 Torre 2 Piso 14, RA-1900 La Plata, Buenos Aires, Argentina; [Calvo, Jose; Bernad, Lucia; Munoz, Sebastian D.; Maceira, Nestor O.] INTA, Recursos Nat &amp; Gest Ambiental, Balcarce, Argentina; [Puetz, Klemens] Antarctic Res Trust, Oste Hamme Kanal 10, D-27432 Bremervorde, Germany</t>
  </si>
  <si>
    <t>Consejo Nacional de Investigaciones Cientificas y Tecnicas (CONICET); Instituto Nacional de Tecnologia Agropecuaria (INTA); National University of Mar del Plata; Consejo Nacional de Investigaciones Cientificas y Tecnicas (CONICET); Instituto Nacional de Tecnologia Agropecuaria (INTA)</t>
  </si>
  <si>
    <t>Pedrana, J (corresponding author), Consejo Nacl Invest Cient &amp; Tecn, Recursos Nat &amp; Gest Ambiental, INTA, Ruta 226 Km 73-5, RA-7620 Balcarce, Argentina.</t>
  </si>
  <si>
    <t>pedrana.julieta@inta.gob.ar</t>
  </si>
  <si>
    <t>Bernad, Lucia/0000-0002-4715-2816; Puetz, Klemens/0000-0003-1375-2669</t>
  </si>
  <si>
    <t>Antarctic Research Trust; INTA; National Agency for Scientific and Technology, Argentina (PICT) [2012-0192]</t>
  </si>
  <si>
    <t>Antarctic Research Trust; INTA; National Agency for Scientific and Technology, Argentina (PICT)</t>
  </si>
  <si>
    <t>This work was funded by the Antarctic Research Trust, INTA and the National Agency for Scientific and Technology, Argentina (PICT No 2012-0192). We are grateful to all who have contributed to this project: V. Caballero, N. Martinez Cursi, A.L. Maceira, and P. Lertora. The authors wish to acknowledge use of the Maptool program, a product of SEATURTLE.ORG, for analysis and the reviewers provided highly valuable comments that have been essential for improving the text, tables, and figures.</t>
  </si>
  <si>
    <t>NEOTROPICAL ORNITHOLOGICAL SOC, USGS PATUXENT WILDLIFE RESEARCH CTR</t>
  </si>
  <si>
    <t>ATHENS</t>
  </si>
  <si>
    <t>UNIV GEORGIA, WARNELL SCH FOREST RESOURCES, ATHENS, GA 30602-2152 USA</t>
  </si>
  <si>
    <t>1075-4377</t>
  </si>
  <si>
    <t>ORNITOL NEOTROP</t>
  </si>
  <si>
    <t>ORNITOL. NEOTROP.</t>
  </si>
  <si>
    <t>DZ1UE</t>
  </si>
  <si>
    <t>WOS:000385625600003</t>
  </si>
  <si>
    <t>Österblom, H; Bodin, Ö; Press, AJ; Sumaila, UR</t>
  </si>
  <si>
    <t>Smith, HD; DeVivero, JLS; Agardy, TS</t>
  </si>
  <si>
    <t>Osterblom, Henrik; Bodin, Orjan; Press, Anthony J.; Sumaila, U. Rashid</t>
  </si>
  <si>
    <t>THE HIGH SEAS AND IUU FISHING</t>
  </si>
  <si>
    <t>ROUTLEDGE HANDBOOK OF OCEAN RESOURCES AND MANAGEMENT</t>
  </si>
  <si>
    <t>Article; Book Chapter</t>
  </si>
  <si>
    <t>ILLEGAL; FISHERIES; SUSTAINABILITY; TOOTHFISH; EMERGENCE</t>
  </si>
  <si>
    <t>[Osterblom, Henrik] Stockholm Univ, Environm Sci, Stockholm, Sweden; [Osterblom, Henrik] Stockholm Univ, Stockholm Resilience Ctr, Stockholm, Sweden; [Bodin, Orjan] Stockholm Resilience Ctr, Stewardship Res, Stockholm, Sweden; [Press, Anthony J.] Univ Tasmania, Antarctic Climate &amp; Ecosyst Cooperat Res Ctr, Hobart, Tas, Australia; [Sumaila, U. Rashid] Univ British Columbia, Fisheries Ctr, Fisheries Econ Res Unit, Vancouver, BC, Canada</t>
  </si>
  <si>
    <t>Stockholm University; Stockholm University; Stockholm University; Antarctic Climate &amp; Ecosystems Cooperative Research Centre (ACE CRC); University of Tasmania; University of British Columbia</t>
  </si>
  <si>
    <t>Österblom, H (corresponding author), Stockholm Univ, Environm Sci, Stockholm, Sweden.</t>
  </si>
  <si>
    <t>Sumaila, U. Rashid/ABE-6475-2020; Osterblom, Henrik G/D-4249-2012; Bodin, Örjan/A-5098-2010</t>
  </si>
  <si>
    <t>Bodin, Örjan/0000-0002-8218-1153; Osterblom, Henrik/0000-0002-1913-5197; Press, Anthony/0000-0002-3233-8933</t>
  </si>
  <si>
    <t>ROUTLEDGE</t>
  </si>
  <si>
    <t>2 PARK SQ, MILTON PARK, ABINGDON OX14 4RN, OXFORD, ENGLAND</t>
  </si>
  <si>
    <t>978-0-203-11539-8; 978-0-415-53175-7</t>
  </si>
  <si>
    <t>Water Resources</t>
  </si>
  <si>
    <t>BF6JD</t>
  </si>
  <si>
    <t>WOS:000383152900016</t>
  </si>
  <si>
    <t>Carter, L; Burnett, DR</t>
  </si>
  <si>
    <t>Carter, Lionel; Burnett, Douglas R.</t>
  </si>
  <si>
    <t>SUBSEA TELECOMMUNICATIONS</t>
  </si>
  <si>
    <t>SEA-FLOOR; TURBIDITY CURRENTS; CABLE; EARTHQUAKE; TRANSPORT; SYSTEM; IMPACT; OCEANS</t>
  </si>
  <si>
    <t>[Carter, Lionel] Victoria Univ Wellington, Antarctic Res Ctr, Wellington, New Zealand; [Burnett, Douglas R.] Squire Sanders US LLP, New York, NY USA</t>
  </si>
  <si>
    <t>Victoria University Wellington</t>
  </si>
  <si>
    <t>Carter, L (corresponding author), Victoria Univ Wellington, Antarctic Res Ctr, Wellington, New Zealand.</t>
  </si>
  <si>
    <t>WOS:000383152900024</t>
  </si>
  <si>
    <t>Haskins, C; Schofield, O</t>
  </si>
  <si>
    <t>Haskins, Christina; Schofield, Oscar</t>
  </si>
  <si>
    <t>Glider Measurements of Phytoplankton Physiology in Penguin Foraging Zones Along the Western Antarctic Peninsula.</t>
  </si>
  <si>
    <t>OCEANS 2015 - MTS/IEEE WASHINGTON</t>
  </si>
  <si>
    <t>OCEANS-IEEE</t>
  </si>
  <si>
    <t>OCEANS MTS/IEEE Conference</t>
  </si>
  <si>
    <t>OCT 19-22, 2015</t>
  </si>
  <si>
    <t>Washington, DC</t>
  </si>
  <si>
    <t>PHOTOSYNTHETIC PARAMETERS; CLIMATE-CHANGE; FOOD-WEB; ECOSYSTEMS</t>
  </si>
  <si>
    <t>[Haskins, Christina; Schofield, Oscar] Rutgers State Univ, Dept Marine &amp; Coastal Sci, New Brunswick, NJ 08901 USA</t>
  </si>
  <si>
    <t>Haskins, C (corresponding author), Rutgers State Univ, Dept Marine &amp; Coastal Sci, New Brunswick, NJ 08901 USA.</t>
  </si>
  <si>
    <t>tina.haskins@gmail.com</t>
  </si>
  <si>
    <t>0197-7385</t>
  </si>
  <si>
    <t>978-0-933957-43-5</t>
  </si>
  <si>
    <t>Engineering, Marine; Engineering, Electrical &amp; Electronic; Oceanography</t>
  </si>
  <si>
    <t>BF3JW</t>
  </si>
  <si>
    <t>WOS:000380550000217</t>
  </si>
  <si>
    <t>McFarlane, JR; Mackay, L</t>
  </si>
  <si>
    <t>McFarlane, James R.; Mackay, Linda</t>
  </si>
  <si>
    <t>Autonomous Underwater Vehicle Operations in the Arctic</t>
  </si>
  <si>
    <t>There is an increasing interest in Arctic and Antarctic studies, both from a scientific and from a commercial point of view. Due to the unpredictable climate conditions and the ice cover, as well as the difficulty conducting AUV operations with support ships due to the cost and scarcity of icebreakers and the presence of thick ice, AUVs are an ever-increasing option due to their ability to survey underneath the ice at long intervals. With the increasing use of AUVs in unsupervised under-ice operations, users are becoming more receptive to the idea of these types of AUV missions, and the capability to do this is advancing. International Submarine Engineering Ltd is the only subsea AUV developer with the Arctic experience behind it, specifically in operational hours under the ice. There is no doubt that the basis for ISE's successes lies in using a reliable, robust AUV and the underlying twenty years of work contributed to its development. For ISE, research deployments in the 1980's and 1990's and subsequent AUV deployments also provided background experience that was invaluable. From there, pulling off a successful under-ice deployment was essentially a matter of planning and testing. An example of the capability of current AUVs to operate unsupervised is the high Arctic field work by two Arctic Explorer Autonomous Underwater Vehicles (AUVs) built by ISE for Natural Resources Canada (NRCan). They were deployed in 2010 and 2011 to conduct under-ice bathymetric surveys in support of Canada's sovereignty claim under the United Nations Convention on the Law of the Sea (UNCLOS). These were the first long range AUV missions to have been undertaken at high latitude, and the first in which seabed survey data was successfully gathered over long distances working from both ice camps and icebreakers. As Autonomous Underwater Vehicles (AUVs) are now exploring more challenging terrain than ever, the need for an obstacle avoidance system has become apparent. Obstacle avoidance systems (OAS) in unmanned systems are far from new. However, adapting existing methodologies to AUVs presents a new set of challenges. Last year, International Submarine Engineering Ltd (ISE) tackled the task of adding an OAS to its line of Explorer AUVs. ISE's experience with obstacle avoidance strategies started in 1985 when the technology was added to ARCS, ISE's first AUV. ISE is the only company in the world with proven under the ice capability using AUVs.</t>
  </si>
  <si>
    <t>[McFarlane, James R.; Mackay, Linda] Int Submarine Engn Ltd, Mkt &amp; Commun, Port Coquitlam, BC, Canada</t>
  </si>
  <si>
    <t>McFarlane, JR (corresponding author), Int Submarine Engn Ltd, Mkt &amp; Commun, Port Coquitlam, BC, Canada.</t>
  </si>
  <si>
    <t>WOS:000380550000344</t>
  </si>
  <si>
    <t>Spears, A; Howard, A; West, M; Meister, M; Schmidt, B; Walker, C; Buffo, J; Collins, T</t>
  </si>
  <si>
    <t>Spears, Anthony; Howard, Ayanna; West, Michael; Meister, Matthew; Schmidt, Britney; Walker, Catherine; Buffo, Jacob; Collins, Thomas</t>
  </si>
  <si>
    <t>Design and Antarctic Testing of the Icefin Vehicle</t>
  </si>
  <si>
    <t>under-ice; underwater; vehicle; UUV; AUV; Antarctica; polar; arctic</t>
  </si>
  <si>
    <t>The Icefin vehicle is a novel, custom under-ice unmanned underwater vehicle. This vehicle was designed for polar sub-ice deployment and was deployed to McMurdo, Antarctica in November of 2014. An overview of the unique vehicle design is presented here, along with a summary of the deployment testing in Antarctica. Lessons learned from this deployment provided an opportunity for design improvements to the vehicle. An updated vehicle design is presented including the changes resulting from polar sub-ice field testing.</t>
  </si>
  <si>
    <t>[Spears, Anthony; Howard, Ayanna] Georgia Inst Technol, Elect &amp; Comp Engn Dept, Atlanta, GA 30332 USA; [West, Michael] Georgia Tech Res Inst, Elect Syst Lab, Atlanta, GA 30332 USA; [Meister, Matthew] Georgia Inst Technol, Dept Mech Engn, Atlanta, GA 30332 USA; [Schmidt, Britney; Walker, Catherine; Buffo, Jacob] Georgia Inst Technol, Earth &amp; Atmospher Sci Dept, Atlanta, GA 30332 USA; [Collins, Thomas] Georgia Tech Res Inst, Aerosp Transportat &amp; Adv Syst Lab, Atlanta, GA 30332 USA</t>
  </si>
  <si>
    <t>University System of Georgia; Georgia Institute of Technology; University System of Georgia; Georgia Institute of Technology; University System of Georgia; Georgia Institute of Technology; University System of Georgia; Georgia Institute of Technology; University System of Georgia; Georgia Institute of Technology</t>
  </si>
  <si>
    <t>Spears, A (corresponding author), Georgia Inst Technol, Elect &amp; Comp Engn Dept, Atlanta, GA 30332 USA.</t>
  </si>
  <si>
    <t>Walker, Catherine Colello/HSG-9526-2023</t>
  </si>
  <si>
    <t>Walker, Catherine Colello/0000-0003-4019-1000</t>
  </si>
  <si>
    <t>WOS:000380550000084</t>
  </si>
  <si>
    <t>Spears, A; Howard, A; West, M; Collins, T</t>
  </si>
  <si>
    <t>Spears, Anthony; Howard, Ayanna; West, Michael; Collins, Thomas</t>
  </si>
  <si>
    <t>Automatic Texture and Anomaly Mapping in Under-ice Video Datasets</t>
  </si>
  <si>
    <t>under-ice; underwater; AUV; mapping; texture; video</t>
  </si>
  <si>
    <t>The exploration of under-ice environments has seen increased interest over the past few years due to advances in technological capabilities, such as autonomous underwater vehicles (AUVs), as well as interest in exploration of polar regions and Jupiter's ice-covered moon Europa. Searching for interesting features under the ice, including animals capable of sustaining life in such harsh environments, is of great interest in both polar (Antarctica) and planetary (Europa) domains. Underice environments, such as those encountered beneath the Antarctic ice shelves, are largely devoid of such features and tend to be monochromatic centered on the blues of the ice. Post-processing of under-ice datasets can be very tedious for human analysts. Presented here are algorithms to aid in the post-processing of such large and mostly featureless datasets. Two novel algorithms are presented here which use point-feature detections in video frames to estimate texture (number and spread of features) and anomaly locations (dense groupings of features). Two additional algorithms are proposed which use hue-based methods to estimate the percentage of non-ice pixels present in the video frames and to detect anomalous colored pixel groups corresponding to candidate anomalies against the background of the ice. These algorithms are presented herein along with results from testing with both simulated and realworld under-ice video datasets.</t>
  </si>
  <si>
    <t>[Spears, Anthony; Howard, Ayanna] Georgia Inst Technol, Elect &amp; Comp Engn Dept, Atlanta, GA 30332 USA; [West, Michael; Collins, Thomas] Georgia Tech Res Inst, Atlanta, GA 30332 USA</t>
  </si>
  <si>
    <t>University System of Georgia; Georgia Institute of Technology; University System of Georgia; Georgia Institute of Technology</t>
  </si>
  <si>
    <t>WOS:000380550000083</t>
  </si>
  <si>
    <t>Todoroff, K; Kohut, J; Winsor, P; Statscewich, H</t>
  </si>
  <si>
    <t>Todoroff, Katherine; Kohut, Josh; Winsor, Peter; Statscewich, Hank</t>
  </si>
  <si>
    <t>Spatial Circulation Patterns Over Palmer Deep Canyon and the Effects on Adelie Penguin Foraging</t>
  </si>
  <si>
    <t>High Frequency Radar; Foraging ecology; Ocean Observing</t>
  </si>
  <si>
    <t>ANTARCTIC PENINSULA; ECOSYSTEMS</t>
  </si>
  <si>
    <t>Project CONVERGE, funded by the National Science Foundation Office of Polar Programs, is deploying a coordinated ocean observing network to better understand ecological connections along the Western Antarctic Peninsula (WAP). Partners from Rutgers University, the University of Alaska, Fairbanks (UAF), Oregon State University, the University of Delaware, and the Polar Oceans Research Group deployed a multiplatform-observing network that includes gliders, animal telemetry, active acoustics for zooplankton distributions, and CODAR High Frequency Radar (HFR). The three-site network was deployed in November of 2014 and provided hourly surface current maps through the following austral summer. This study targets data collected between January and February 2015. Here we focus on Palmer Deep eddy and the tidal currents as they transition from diurnal to semi-diurnal regimes throughout the study period. These data are helping us better understand the links between alternating tidal regimes and the foraging behavior of the local Adelie penguin populations. This analysis has further implications for future research as the region goes through dramatic climate change.</t>
  </si>
  <si>
    <t>[Todoroff, Katherine; Kohut, Josh] Rutgers State Univ, Ctr Ocean Observing Leadership, New Brunswick, NJ 08903 USA; [Winsor, Peter; Statscewich, Hank] Univ Alaska, Sch Fisheries &amp; Ocean Sci, Fairbanks, AK 99701 USA</t>
  </si>
  <si>
    <t>Rutgers University System; Rutgers University New Brunswick; University of Alaska System; University of Alaska Fairbanks</t>
  </si>
  <si>
    <t>Todoroff, K (corresponding author), Rutgers State Univ, Ctr Ocean Observing Leadership, New Brunswick, NJ 08903 USA.</t>
  </si>
  <si>
    <t>WOS:000380550000274</t>
  </si>
  <si>
    <t>Pharaoh, M</t>
  </si>
  <si>
    <t>Hince, B; Summerson, R; Wiesel, A</t>
  </si>
  <si>
    <t>Pharaoh, Mark</t>
  </si>
  <si>
    <t>Mawson's musings and Morse code: Antarctic silence at the end of the 'Heroic Era', and how it was lost</t>
  </si>
  <si>
    <t>ANTARCTICA: MUSIC, SOUNDS AND CULTURAL CONNECTIONS</t>
  </si>
  <si>
    <t>Conference on Antarctica - Music, Sounds and Cultural Connections</t>
  </si>
  <si>
    <t>JUN 25-29, 2011</t>
  </si>
  <si>
    <t>Australian Natl Univ Sch, AUSTRALIA</t>
  </si>
  <si>
    <t>Australian Natl Univ Sch</t>
  </si>
  <si>
    <t>[Pharaoh, Mark] South Australian Museum, Australian Polar Collect, GPO Box 234, Adelaide, SA 5001, Australia</t>
  </si>
  <si>
    <t>South Australian Museum</t>
  </si>
  <si>
    <t>Pharaoh, M (corresponding author), South Australian Museum, Australian Polar Collect, GPO Box 234, Adelaide, SA 5001, Australia.</t>
  </si>
  <si>
    <t>mark.pharaoh@samuseum.sa.gov.au</t>
  </si>
  <si>
    <t>AUSTRALIAN NATL UNIV</t>
  </si>
  <si>
    <t>CANBERRA ACT</t>
  </si>
  <si>
    <t>P O BOX 4, 2600 CANBERRA ACT, AUSTRALIA</t>
  </si>
  <si>
    <t>978-1-925022-28-5; 978-1-925022-29-2</t>
  </si>
  <si>
    <t>Conference Proceedings Citation Index - Social Science &amp; Humanities (CPCI-SSH)</t>
  </si>
  <si>
    <t>BF4BH</t>
  </si>
  <si>
    <t>WOS:000380614300002</t>
  </si>
  <si>
    <t>Truswell, E</t>
  </si>
  <si>
    <t>Truswell, Elizabeth</t>
  </si>
  <si>
    <t>Thulia: a Tale of the Antarctic (1843): The earliest Antarctic poem and its musical setting</t>
  </si>
  <si>
    <t>Truswell, E (corresponding author), Australian Natl Univ, Res Sch Earth Sci, Canberra, ACT 0200, Australia.</t>
  </si>
  <si>
    <t>etruswell@aapt.net.au</t>
  </si>
  <si>
    <t>WOS:000380614300003</t>
  </si>
  <si>
    <t>Summerson, R</t>
  </si>
  <si>
    <t>Summerson, Rupert</t>
  </si>
  <si>
    <t>Nankyoku no kyoku: The cultural life of the Shirase Antarctic Expedition 1910-12</t>
  </si>
  <si>
    <t>Summerson, R (corresponding author), POB 3853, Manuka, ACT 2603, Australia.</t>
  </si>
  <si>
    <t>rupert.summerson@bigpond.com</t>
  </si>
  <si>
    <t>WOS:000380614300004</t>
  </si>
  <si>
    <t>Wiesel, A</t>
  </si>
  <si>
    <t>Wiesel, Arnan</t>
  </si>
  <si>
    <t>Mentions of music in the Antarctic diaries of Cecil T Madigan</t>
  </si>
  <si>
    <t>[Wiesel, Arnan] ANU Sch Mus, Keyboard, Canberra, ACT, Australia</t>
  </si>
  <si>
    <t>WOS:000380614300008</t>
  </si>
  <si>
    <t>Evans, C</t>
  </si>
  <si>
    <t>Evans, Christina</t>
  </si>
  <si>
    <t>Body of ice: The movement of Antarctic ice through dance</t>
  </si>
  <si>
    <t>Evans, C (corresponding author), 10 Birks St, Parkside, SA 5063, Australia.</t>
  </si>
  <si>
    <t>christina.evans@outlook.com</t>
  </si>
  <si>
    <t>WOS:000380614300009</t>
  </si>
  <si>
    <t>Leane, E</t>
  </si>
  <si>
    <t>Leane, Elizabeth</t>
  </si>
  <si>
    <t>The poetry of Antarctic sound and the sound of Antarctic poetry</t>
  </si>
  <si>
    <t>[Leane, Elizabeth] Univ Tasmania, Sch Humanities, Private Bag 41, Hobart, Tas 7000, Australia</t>
  </si>
  <si>
    <t>Leane, E (corresponding author), Univ Tasmania, Sch Humanities, Private Bag 41, Hobart, Tas 7000, Australia.</t>
  </si>
  <si>
    <t>Elizabeth.Leane@utas.edu.au</t>
  </si>
  <si>
    <t>Leane, Elizabeth M/J-7138-2014</t>
  </si>
  <si>
    <t>Leane, Elizabeth/0000-0002-7954-6529</t>
  </si>
  <si>
    <t>WOS:000380614300010</t>
  </si>
  <si>
    <t>Leonard, CE</t>
  </si>
  <si>
    <t>Leonard, Cheryl E.</t>
  </si>
  <si>
    <t>Playing Antarctica: Making music with natural objects and sounds from the Antarctic Peninsula</t>
  </si>
  <si>
    <t>Leonard, CE (corresponding author), 2352 Fulton St, San Francisco, CA 94118 USA.</t>
  </si>
  <si>
    <t>cheryleleonard@gmail.com</t>
  </si>
  <si>
    <t>WOS:000380614300011</t>
  </si>
  <si>
    <t>Shepherd, P</t>
  </si>
  <si>
    <t>Shepherd, Patrick</t>
  </si>
  <si>
    <t>Kiwis on ice: Defining the ways in which the New Zealand identity is reflected in the Antarctic-inspired works of four New Zealand composers</t>
  </si>
  <si>
    <t>[Shepherd, Patrick] Univ Canterbury, Coll Educ, Private Bag 4800, Christchurch, New Zealand</t>
  </si>
  <si>
    <t>Shepherd, P (corresponding author), Univ Canterbury, Coll Educ, Private Bag 4800, Christchurch, New Zealand.</t>
  </si>
  <si>
    <t>patrick.shepherd@canterbury.ac.nz</t>
  </si>
  <si>
    <t>WOS:000380614300014</t>
  </si>
  <si>
    <t>Nicol, S</t>
  </si>
  <si>
    <t>Nicol, Stephen</t>
  </si>
  <si>
    <t>Antarctica: 'Surround Sound'</t>
  </si>
  <si>
    <t>[Nicol, Stephen] Univ Tasmania, Inst Marine &amp; Antarctic Studies, Hobart, Tas 7001, Australia; [Nicol, Stephen] Australian Antarctic Div, Southern Ocean Ecosyst, Kingston, Tas, Australia</t>
  </si>
  <si>
    <t>Nicol, S (corresponding author), Univ Tasmania, Inst Marine &amp; Antarctic Studies, Hobart, Tas 7001, Australia.</t>
  </si>
  <si>
    <t>steve.nicol@bigpond.com</t>
  </si>
  <si>
    <t>WOS:000380614300015</t>
  </si>
  <si>
    <t>Shah, RM; Husin, ZH; Abdullah, NC; Abd Rahman, H</t>
  </si>
  <si>
    <t>Abbas, MY; Bajunid, AFI; Thani, SKM</t>
  </si>
  <si>
    <t>Shah, Rohani Mohd; Husin, Zaliha Hj; Abdullah, Nuraisyah Chua; Abd Rahman, Hamisah</t>
  </si>
  <si>
    <t>Malaysia Strategies in Sustaining its Antarctic Endeavours</t>
  </si>
  <si>
    <t>ASLI QOL2014: ANNUAL SERIAL LANDMARK INTERNATIONAL CONFERENCE ON QUALITY OF LIFE / AQOL 2014 ISTANBUL: ABRA INTERNATIONAL CONFERENCE ON QUALITY OF LIFE</t>
  </si>
  <si>
    <t>Procedia Social and Behavioral Sciences</t>
  </si>
  <si>
    <t>Annual Serial Landmark International Conference on Quality of Life(ASLI QoL) / ABRA International Conference on Quality of Life (AQoL)</t>
  </si>
  <si>
    <t>DEC 26-28, 2014</t>
  </si>
  <si>
    <t>Istanbul Tech Univ, Istanbul, TURKEY</t>
  </si>
  <si>
    <t>Istanbul Tech Univ</t>
  </si>
  <si>
    <t>Antarctica Treaty Consultative members; Antarctica Policy; Malaysia; human capital; Polar Governance</t>
  </si>
  <si>
    <t>CHALLENGES; POLICY</t>
  </si>
  <si>
    <t>This article evaluates the ways Malaysia strategies its Antarctic's path in assuring the sustainability of its scientific works, as well as its diplomatic linkages with the Governors of Antarctica Region. The main concerns for Malaysia is to be able to maintain the efforts to tackle the human capital shortage in order to compete and maintain constantly scientific activities in the cold region as evident that Malaysia qualifies to be the Consultative Member State's status. This paper clarifies the strategies activated by Malaysia at local level and at international endeavours in sustaining its interests in the Antarctica Science. (C) 2015 The Authors. Published by Elsevier Ltd.</t>
  </si>
  <si>
    <t>[Shah, Rohani Mohd; Abdullah, Nuraisyah Chua] Univ Teknol MARA UiTM, Fac Law, Shah Alam 40450, Selangor, Malaysia; [Husin, Zaliha Hj] Univ Teknol MARA UiTM, Fac Adm Sci &amp; Policy Studies, Shah Alam 40450, Selangor, Malaysia; [Abd Rahman, Hamisah] Univ Teknol MARA UiTM, Fac Business, Shah Alam 40450, Selangor, Malaysia</t>
  </si>
  <si>
    <t>Universiti Teknologi MARA; Universiti Teknologi MARA; Universiti Teknologi MARA</t>
  </si>
  <si>
    <t>Shah, RM (corresponding author), Univ Teknol MARA UiTM, Fac Law, Shah Alam 40450, Selangor, Malaysia.</t>
  </si>
  <si>
    <t>rohanimohdshah@salam.uitm.edu.my</t>
  </si>
  <si>
    <t>Abdullah, Nuraisyah Chua/0000-0001-8587-3764</t>
  </si>
  <si>
    <t>SARA BURGERHARTSTRAAT 25, PO BOX 211, 1000 AE AMSTERDAM, NETHERLANDS</t>
  </si>
  <si>
    <t>1877-0428</t>
  </si>
  <si>
    <t>PROCD SOC BEHV</t>
  </si>
  <si>
    <t>10.1016/j.sbspro.2015.08.214</t>
  </si>
  <si>
    <t>Social Sciences, Interdisciplinary</t>
  </si>
  <si>
    <t>Social Sciences - Other Topics</t>
  </si>
  <si>
    <t>BF4JX</t>
  </si>
  <si>
    <t>WOS:000381109000012</t>
  </si>
  <si>
    <t>Abdullah, NC; Shah, RM; Husin, ZH; Rahman, HA</t>
  </si>
  <si>
    <t>Abdullah, Nuraisyah Chua; Shah, Rohani Mohd; Husin, Zaliha Hj; Rahman, Hamisah Abd</t>
  </si>
  <si>
    <t>Antarctic Tourism: The responsibilities and liabilities of tour operators and state parties</t>
  </si>
  <si>
    <t>Antarctic Tourism; tour operators; state parties; guidelines</t>
  </si>
  <si>
    <t>History recorded that environmental emergencies had occurred several times; as a result, of Antarctic tourism. The rules of the Antarctic Treaty System, apart from the Liability Annex, set out some reasonable rules. Using the qualitative method, this paper argues that the Liability Annex, which is yet to be enforced, is far from perfect in preserving the environment of Antarctic. Therefore, this paper recommends guidelines to be formed where possible approaches can be adopted in the guidelines in relation to the issue of responsibilities of tour operators and state parties to facilitate environment concerns in favoring Antarctic tourism. (C) 2015 Published by Elsevier Ltd.</t>
  </si>
  <si>
    <t>[Abdullah, Nuraisyah Chua; Shah, Rohani Mohd] Univ Teknol MARA, Fac Law, Shah Alam 40450, Selangor, Malaysia; [Husin, Zaliha Hj] Univ Teknol MARA, Fac Adm Sci &amp; Policy Studie, Shah Alam 40450, Selangor, Malaysia; [Rahman, Hamisah Abd] Univ Teknol MARA, Fac Busines, Shah Alam 40450, Selangor, Malaysia</t>
  </si>
  <si>
    <t>Abdullah, NC (corresponding author), Univ Teknol MARA, Fac Law, Shah Alam 40450, Selangor, Malaysia.</t>
  </si>
  <si>
    <t>nuraisyah@salam.uitm.edu.my</t>
  </si>
  <si>
    <t>10.1016/j.sbspro.2015.08.226</t>
  </si>
  <si>
    <t>WOS:000381109000024</t>
  </si>
  <si>
    <t>Abd Rahman, H; Shah, RM; Husin, ZH; Abdullah, NC</t>
  </si>
  <si>
    <t>Abd Rahman, Hamisah; Shah, Rohani Mohd; Husin, Zaliha Hj; Abdullah, Nuraisyah Chua</t>
  </si>
  <si>
    <t>Strategic Interest of Malaysia's in Matters Concerning Policy on Antarctica</t>
  </si>
  <si>
    <t>Antarctica Treaty; national Antarctic policy; scientific knowledge; Polar Governance</t>
  </si>
  <si>
    <t>As members of the Antarctica Treaty 1959, Malaysia is aware of the stringent requirements in the Treaty Protocol on Environmental Protection 1991 (The Madrid protocol 1991). Malaysia is also aware of the weight on the economic factor as huge budgetary allocations needed to fund Malaysia's scientific research expeditions. Nevertheless, the membership resulted in the need to reconciliation local environmental policy to the Madrid Protocol 1991. This paper traces the development of Malaysian environmental policy pre and posts the signing of Antarctica Treaty, emphasizing the concept that affects the Malaysian policy in its attempt to compliment the Antarctica Environmental Protection Policy. (C) 2015 The Authors. Published by Elsevier Ltd.</t>
  </si>
  <si>
    <t>[Abd Rahman, Hamisah] Univ Teknol MARA UiTM, Fac Business Management, Shah Alam 40450, Selangor, Malaysia; [Shah, Rohani Mohd; Abdullah, Nuraisyah Chua] Univ Teknol MARA UiTM, Fac Law, Shah Alam 40450, Selangor, Malaysia; [Husin, Zaliha Hj] Univ Teknol MARA UiTM, Fac Adm Sci &amp; Policy Studies, Shah Alam 40450, Selangor, Malaysia</t>
  </si>
  <si>
    <t>10.1016/j.sbspro.2015.08.234</t>
  </si>
  <si>
    <t>WOS:000381109000032</t>
  </si>
  <si>
    <t>Swain, D; Jena, B</t>
  </si>
  <si>
    <t>Swain, Debadatta; Jena, Babula</t>
  </si>
  <si>
    <t>Trends in Sea Ice Extent as observed from Microwave Remote Sensing</t>
  </si>
  <si>
    <t>2015 1st URSI Atlantic Radio Science Conference (URSI AT-RASC)</t>
  </si>
  <si>
    <t>1st URSI Atlantic Radio Science Conference (URSI AT-RASC)</t>
  </si>
  <si>
    <t>MAY 16-24, 2015</t>
  </si>
  <si>
    <t>Gran Canaria, SPAIN</t>
  </si>
  <si>
    <t>[Swain, Debadatta] IIT Bhubaneswar, Sch Earth Ocean &amp; Climate, Bhubaneswar 751007, Odisha, India; [Jena, Babula] Minist Earth Sci MoES, Natl Ctr Antarctic &amp; Ocean Res, Headland Sada 403804, Goa, India</t>
  </si>
  <si>
    <t>Indian Institute of Technology System (IIT System); Indian Institute of Technology (IIT) - Bhubaneswar; Ministry of Earth Sciences (MoES) - India; National Centre for Polar and Ocean Research (NCPOR)</t>
  </si>
  <si>
    <t>Swain, D (corresponding author), IIT Bhubaneswar, Sch Earth Ocean &amp; Climate, Bhubaneswar 751007, Odisha, India.</t>
  </si>
  <si>
    <t>978-9-0900-8628-6</t>
  </si>
  <si>
    <t>Engineering, Electrical &amp; Electronic; Remote Sensing</t>
  </si>
  <si>
    <t>Engineering; Remote Sensing</t>
  </si>
  <si>
    <t>BF3OZ</t>
  </si>
  <si>
    <t>WOS:000380563800262</t>
  </si>
  <si>
    <t>Zaalov, NY; Zernov, NN; Moskaleva, EV; Rogov, DD</t>
  </si>
  <si>
    <t>Zaalov, N. Y.; Zernov, N. N.; Moskaleva, E. V.; Rogov, D. D.</t>
  </si>
  <si>
    <t>Modeling of High Frequency Radio Wave Absorption During Solar Events.</t>
  </si>
  <si>
    <t>[Zaalov, N. Y.; Zernov, N. N.; Moskaleva, E. V.; Rogov, D. D.] Univ St Petersburg, St Petersburg, Russia; [Rogov, D. D.] Arctic &amp; Antarctic Res Inst, St Petersburg, Russia</t>
  </si>
  <si>
    <t>Saint Petersburg State University; Arctic &amp; Antarctic Research Institute</t>
  </si>
  <si>
    <t>Zaalov, NY (corresponding author), Univ St Petersburg, St Petersburg, Russia.</t>
  </si>
  <si>
    <t>nzaalov@gmail.com</t>
  </si>
  <si>
    <t>Zaalov, Nikolay/HKF-2082-2023; Zernov, Nikolay N/M-7566-2013; Zaalov, Nikolay/M-9174-2013; Moskaleva, Elena/N-9386-2013</t>
  </si>
  <si>
    <t>WOS:000380563800289</t>
  </si>
  <si>
    <t>Bocconcelli, A; Hickmott, L; Briones, RL; Howes, G; Sayigh, L</t>
  </si>
  <si>
    <t>Bocconcelli, Alessandro; Hickmott, Leigh; Landea Briones, Rafaela; Howes, Gloria; Sayigh, Laela</t>
  </si>
  <si>
    <t>Blue whales (Balenoptera musculus) in the Canal Moraleda and Golfo Corcovado, Chile</t>
  </si>
  <si>
    <t>OCEANS 2015 - GENOVA</t>
  </si>
  <si>
    <t>Oceans 2015 Genova</t>
  </si>
  <si>
    <t>MAY 18-21, 2015</t>
  </si>
  <si>
    <t>Ctr Congressi Genova, Genova, ITALY</t>
  </si>
  <si>
    <t>Ctr Congressi Genova</t>
  </si>
  <si>
    <t>POPULATION; DOLPHINS</t>
  </si>
  <si>
    <t>Blue whales are known principally by two contrasting accolades, firstly, as being the largest animal to have ever lived on Earth, and secondly, as having been hunted to near extinction during twentieth century whaling. During the whaling era over four thousand animals were caught in Chilean waters alone. The species has been slow to recover from almost total decimation and hence a valuable discovery was made in 1993, when a small blue whale population of approximately 230 individuals was found in the Gulf of Corcovado in the Chiloense Ecoregion of Southern Chile. Genetic, acoustic and morphometric studies indicate that these blue whales are part of a wider Southeast Pacific population that is distinct from both the Antarctic (B. musculus intermedia) and pygmy (B. musculus brevicauda) blue whale subspecies. Further investigations are required to establish the degree of isolation of the population and the health and viability of the individuals within it; this was the goal of the work described here, which was a joint effort between WHOI and the Melimoyu Ecosystem Research Institute (MERI). A thirteen day cruise (15-27 March 2014), departing the port of Dalcahue on Chiloe Island, Chile, resulted in the deployment on blue whales of 5 digital acoustic tags (DTAGs), which are miniature sound and orientation recording tags that are attached via suction cups. A total of 21 hr 11 min of blue whale DTAG data were collected, consisting of five tag deployments on four individual blue whales. One simultaneous deployment was achieved, of a presumed mother and juvenile pair. The mean deployment duration was 4.5 hr (S.D. 4.3), with the longest at 10 hr 08 min. Tag data revealed dives to be generally shallow, predominantly between 10 and 50 meters in depth, with a maximum depth of 139 m. Sloughed skin was found on the suction cups of all recovered tags, and fecal samples were collected on three occasions; these samples were preserved and will be used for genetic (e.g. sexing, relatedness and population studies), dietary and pollutant analyses. Acoustic data on the tags revealed numerous faint (non-focal) blue whale calls, characteristic of those described previously in this area by other researchers. In addition, in the one simultaneous tag deployment of a presumed mother (bm082a) and juvenile (bm082b), an apparent call exchange was observed between the juvenile whale and a more distant animal. Photo-identification images (12,605) were collected of seven marine mammal species during 30 encounters. Ten blue whale groups and 10 humpback whale groups were photo documented, and a total of five and 11 different individuals were photo-identified respectively. Acoustic recordings were made opportunistically when other marine mammal species were encountered. These included Peale's dolphins (Lagenorhynchus australis), Chilean dolphins (Cephalorhynchus eutropia), and bottlenose dolphins (Tursiops truncatus), for a total of 3.2 hours of recordings. All recordings contained sounds produced by the species of interest. Overall, this newly established relationship between MERI and WHOI has the potential to greatly increase knowledge of the biology, ecology and behavior of blue whales, as well as of several other marine mammal species, in the Canal Moraleda and Gulf of Corcovado. This work will also yield insights into how blue whales utilize the study area, and will provide information for policy makers regarding how best to protect the unique habitats that exist within the Canal Moraleda and Gulf of Corcovado.</t>
  </si>
  <si>
    <t>[Bocconcelli, Alessandro; Sayigh, Laela] Woods Hole Oceanog Inst, 266 Woods Hole Rd, Woods Hole, MA 02543 USA; [Hickmott, Leigh] Open Ocean Consulting, Petersfield GU32 3LF, Hants, England; [Hickmott, Leigh] Univ St Andrews, East Sands, Scottish Oceans Inst, St Andrews KY16 8LB, Fife, Scotland; [Landea Briones, Rafaela; Howes, Gloria] Ctr MERI, Santiago, Chile</t>
  </si>
  <si>
    <t>Woods Hole Oceanographic Institution; University of St Andrews</t>
  </si>
  <si>
    <t>Bocconcelli, A (corresponding author), Woods Hole Oceanog Inst, 266 Woods Hole Rd, Woods Hole, MA 02543 USA.</t>
  </si>
  <si>
    <t>abocconcelli@whoi.edu; leighhickmott@theopenocean.co.uk; rafaela@centromeri.cl; gloria@centromeri.cl; lsayigh@whoi.edu</t>
  </si>
  <si>
    <t>978-1-4799-8737-5</t>
  </si>
  <si>
    <t>10.1109/OCEANS-Genova.2015.7271519</t>
  </si>
  <si>
    <t>BF2OL</t>
  </si>
  <si>
    <t>WOS:000380485500201</t>
  </si>
  <si>
    <t>Lok, LB; Brennan, PV; Ash, M; Nicholls, KW</t>
  </si>
  <si>
    <t>Lok, L. B.; Brennan, P. V.; Ash, M.; Nicholls, K. W.</t>
  </si>
  <si>
    <t>Autonomous Phase-sensitive Radio Echo Sounder for Monitoring and Imaging Antarctic Ice Shelves</t>
  </si>
  <si>
    <t>2015 8TH INTERNATIONAL WORKSHOP ON ADVANCED GROUND PENETRATING RADAR (IWAGPR)</t>
  </si>
  <si>
    <t>8th International Workshop on Advanced Ground Penetrating Radar (IWAGPR)</t>
  </si>
  <si>
    <t>JUL 07-10, 2015</t>
  </si>
  <si>
    <t>Firenze, ITALY</t>
  </si>
  <si>
    <t>glaciology; ice shelves; ground penetrating radar; imaging</t>
  </si>
  <si>
    <t>A low-power, autonomous phase-sensitive radioecho sounder (ApRES) radar system has been developed at University College London, in collaboration with the British Antarctic Survey, for monitoring and imaging Antarctic ice shelves. The system is ground-based and uses a direct digital synthesizer to implement a frequency modulated continuous wave radar architecture. The system operates between 200 MHz to 400 MHz with a dc power consumption of 4.8 W. Since January 2014, three ApRES systems have been deployed on the ice shelf of Pine Island Glacier, West Antarctica. One system is configured in monostatic point ranging mode, while two systems are configured in an orthogonal 8x8 multiple input multiple output (MIMO) arrangement that enables two-dimensional through ice imaging.</t>
  </si>
  <si>
    <t>[Lok, L. B.; Brennan, P. V.; Ash, M.] UCL, Dept Elect &amp; Elect Engn, London, England; [Nicholls, K. W.] British Antarctic Survey, Cambridge, England</t>
  </si>
  <si>
    <t>University of London; University College London; UK Research &amp; Innovation (UKRI); Natural Environment Research Council (NERC); NERC British Antarctic Survey</t>
  </si>
  <si>
    <t>Lok, LB (corresponding author), UCL, Dept Elect &amp; Elect Engn, London, England.</t>
  </si>
  <si>
    <t>Lok, Lai Bun/0000-0002-0033-9173</t>
  </si>
  <si>
    <t>978-1-4799-6495-6</t>
  </si>
  <si>
    <t>Engineering, Electrical &amp; Electronic; Telecommunications</t>
  </si>
  <si>
    <t>Engineering; Telecommunications</t>
  </si>
  <si>
    <t>BF1KD</t>
  </si>
  <si>
    <t>WOS:000380404100026</t>
  </si>
  <si>
    <t>Harakal'ová, D</t>
  </si>
  <si>
    <t>Wallner, J</t>
  </si>
  <si>
    <t>Harakal'ova, Dorota</t>
  </si>
  <si>
    <t>Relation between the Antarctic Treaty System and the United Nations Convention on Law of the Sea (UNCLOS)</t>
  </si>
  <si>
    <t>ERA OF SCIENCE DIPLOMACY: IMPLICATIONS FOR ECONOMICS, BUSINESS, MANAGEMENT AND RELATED DISCIPLINES (EDAMBA 2015)</t>
  </si>
  <si>
    <t>Era of Science Diplomacy: Implications for Economics, Business, Management and Related Disciplines (EDAMBA 2015)</t>
  </si>
  <si>
    <t>OCT 21-23, 2015</t>
  </si>
  <si>
    <t>Bratislava, SLOVAKIA</t>
  </si>
  <si>
    <t>Antarctic Treaty; UNCLOS; ATS; Law of the Sea</t>
  </si>
  <si>
    <t>The Antarctic Treaty and following legal instruments known as the Antarctic Treaty System ( ATS) are not applied only to the Antarctic continent. The territory which is governed by the ATS exceeds the boundaries of Antarctica and ranges up to parallel 60 degrees of South latitude. Practical problem may arise from permanent glaciers because it is difficult to distinguish where the continent ice ends and where the permanent sea ice begins. Permanent glaciers could be considered a new element and they cannot be considered land, air nor water, but they can be used e. g. for building research stations. The law of the sea is particularly important among the numerous legal systems that could be in interaction with the ATS. Despite the application of provisions of the Antarctic Treaty, the freedoms of the sea are not affected, but the territorial force of the Antarctic Treaty is limited. The relation between the Antarctic Treaty and Law of the Sea is expressed in article VI of the Antarctic Treaty. Nevertheless, the formulation of the abovementioned article does not clearly express if the law of the sea has priority over the Antarctic Treaty provisions concerning the management of marine areas and resources or they can coexist as separate legal regimes.</t>
  </si>
  <si>
    <t>[Harakal'ova, Dorota] Univ Econ Bratislava, Fac Int Relat, Dept Int Law, Dolnozemska Cesta 1, Bratislava 85235, Slovakia</t>
  </si>
  <si>
    <t>University of Economics Bratislava</t>
  </si>
  <si>
    <t>Harakal'ová, D (corresponding author), Univ Econ Bratislava, Fac Int Relat, Dept Int Law, Dolnozemska Cesta 1, Bratislava 85235, Slovakia.</t>
  </si>
  <si>
    <t>dorota.harakalova@gmail.com</t>
  </si>
  <si>
    <t>VYDAVATELSTVO EKONOM</t>
  </si>
  <si>
    <t>BRATISLAVA</t>
  </si>
  <si>
    <t>DOLNOZENSKA CESTA 1-B, BRATISLAVA, 852 35, SLOVAKIA</t>
  </si>
  <si>
    <t>978-80-225-4200-5</t>
  </si>
  <si>
    <t>Business; Economics; Management</t>
  </si>
  <si>
    <t>Business &amp; Economics</t>
  </si>
  <si>
    <t>BF1SG</t>
  </si>
  <si>
    <t>WOS:000380432500029</t>
  </si>
  <si>
    <t>Gayen, B; Griffiths, RW; Kerr, RC</t>
  </si>
  <si>
    <t>Sahu, KC</t>
  </si>
  <si>
    <t>Gayen, Bishakhdatta; Griffiths, Ross W.; Kerr, Ross C.</t>
  </si>
  <si>
    <t>Melting driven convection at the ice-seawater interface</t>
  </si>
  <si>
    <t>IUTAM SYMPOSIUM ON MULTIPHASE FLOWS WITH PHASE CHANGE: CHALLENGES AND OPPORTUNITIES</t>
  </si>
  <si>
    <t>Procedia IUTAM</t>
  </si>
  <si>
    <t>IUTAM Symposium on Multiphase Flows with Phase Change Challenges and Opportunities</t>
  </si>
  <si>
    <t>DEC 08-11, 2014</t>
  </si>
  <si>
    <t>Indian Inst Technol, Hyderabad, INDIA</t>
  </si>
  <si>
    <t>Indian Inst Technol</t>
  </si>
  <si>
    <t>melting; convection; double-diffusive layers</t>
  </si>
  <si>
    <t>SHELF</t>
  </si>
  <si>
    <t>We performed direct numerical simulations to investigate the interaction of a vertical ice interface with seawater, and particularly the small-scale convection generated when a wall of Antarctic ice melts in the salty and warmer seawater. The three coupled interface equations are used, along with the Boussinesq and non-hydrostatic governing equations of motion and equation of state for seawater, to solve for interface temperature, salinity and melt rate. Fluxes of both heat and salt to the interface play significant roles in rate of ice melting. The main focus is on the dissolving of ice (at ambient water temperatures between -1 degrees C and 6 degrees C and salinity around 35 parts per thousand) as characterizes many sites around Antarctica. Under these conditions the diffusion of salt to the ice-water interface depresses the freezing point and further enhances heat diffusion to the ice. (C) 2015 The Authors. Published by Elsevier B.V.</t>
  </si>
  <si>
    <t>[Gayen, Bishakhdatta; Griffiths, Ross W.; Kerr, Ross C.] Australian Natl Univ, Res Sch Earth Sci, Canberra, ACT 0200, Australia</t>
  </si>
  <si>
    <t>Gayen, B (corresponding author), Australian Natl Univ, Res Sch Earth Sci, Canberra, ACT 0200, Australia.</t>
  </si>
  <si>
    <t>Bishakhdatta.gayen@anu.edu.au</t>
  </si>
  <si>
    <t>Gayen, Bishakhdatta/Y-4300-2019; Kerr, Ross/H-8315-2014; griffiths, ross/E-6121-2010</t>
  </si>
  <si>
    <t>Gayen, Bishakhdatta/0000-0001-6543-2590; Kerr, Ross/0000-0002-8022-1326; griffiths, ross/0000-0002-5291-1178</t>
  </si>
  <si>
    <t>2210-9838</t>
  </si>
  <si>
    <t>PROC IUTAM</t>
  </si>
  <si>
    <t>10.1016/j.piutam.2015.04.012</t>
  </si>
  <si>
    <t>Mechanics; Physics, Applied</t>
  </si>
  <si>
    <t>BF2WX</t>
  </si>
  <si>
    <t>WOS:000380506000011</t>
  </si>
  <si>
    <t>Xavier, JC; Hill, SL; Belchier, M; Bracegirdle, TJ; Murphy, EJ; Dias, JL</t>
  </si>
  <si>
    <t>Bourguignon, JP; Jeltsch, R; Pinto, AA; Viana, M</t>
  </si>
  <si>
    <t>Xavier, Jose C.; Hill, S. L.; Belchier, M.; Bracegirdle, T. J.; Murphy, E. J.; Lopes Dias, J.</t>
  </si>
  <si>
    <t>From Ice to Penguins: The Role of Mathematics in Antarctic Research</t>
  </si>
  <si>
    <t>MATHEMATICS OF ENERGY AND CLIMATE CHANGE</t>
  </si>
  <si>
    <t>CIM Series in Mathematical Sciences</t>
  </si>
  <si>
    <t>International Conference on and Advanced School Planet Earth, Mathematics of Energy and Climate Change (MECC)</t>
  </si>
  <si>
    <t>MAR 21-28, 2013</t>
  </si>
  <si>
    <t>PORTUGAL</t>
  </si>
  <si>
    <t>TOOTHFISH DISSOSTICHUS-ELEGINOIDES; CLIMATE-CHANGE; FOOD-WEB; WANDERING ALBATROSS; SATELLITE TRACKING; OCEAN ECOSYSTEMS; STABLE-ISOTOPES; KRILL FISHERY; SOUTH GEORGIA; ROSS SEA</t>
  </si>
  <si>
    <t>Mathematics underpins all modern Antarctic science as illustrated by numerous activities carried out during the international year Mathematics for Planet Earth. Here, we provide examples of some ongoing applications of mathematics in a wide range of Antarctic science disciplines: (1) Feeding and foraging of marine predators; (2) Fisheries management and ecosystem modelling; and (3) Climate change research. Mathematics has allowed the development of diverse models of physical and ecological processes in the Antarctic. It has provided insights into the past dynamics of these systems and allows projections of potential future conditions, which are essential for understanding and managing the effects of fishing and climate change. Highly specific methods and models have been developed to address particular questions in each discipline, from the detailed analyses of remote-sensed predator tracking data to the assessment of the outputs from multiple global climate models. A key issue, that is common to all disciplines, is how to deal with the inherent uncertainty that arises from limited data availability and the assumptions or simplifications that are necessary in the analysis and modeling of interacting processes. With the continued rapid development of satellite-based and remote observation systems (e.g. ocean drifters and automatic weather stations), and of new methods for genetic analyses of biological systems, a step-change is occurring in the magnitude of data available on all components of Antarctic systems. These changes in data availability have already led to the development of new methods and algorithms for their efficient collection, validation, storage and analysis. Further progress will require the development of a wide range of new and innovative mathematical approaches, continuing the trend of world science becoming increasingly international and interdisciplinary.</t>
  </si>
  <si>
    <t>[Xavier, Jose C.] Univ Coimbra, Dept Life Sci, Marine &amp; Environm Res Ctr MARE, P-3001401 Coimbra, Portugal; [Xavier, Jose C.; Hill, S. L.; Belchier, M.; Bracegirdle, T. J.; Murphy, E. J.] British Antarctic Survey, Nat Environm Res Council, Cambridge CB3 0ET, England; [Lopes Dias, J.] Univ Tecn Lisboa, Lisbon Sch Econ &amp; Management ISEG, P-1200781 Lisbon, Portugal</t>
  </si>
  <si>
    <t>Universidade de Coimbra; UK Research &amp; Innovation (UKRI); Natural Environment Research Council (NERC); NERC British Antarctic Survey; Universidade de Lisboa</t>
  </si>
  <si>
    <t>Xavier, JC (corresponding author), Univ Coimbra, Dept Life Sci, Marine &amp; Environm Res Ctr MARE, P-3001401 Coimbra, Portugal.</t>
  </si>
  <si>
    <t>jxavier@zoo.uc.pt; jldias@iseg.utl.pt</t>
  </si>
  <si>
    <t>Simeon, Hill L/B-2307-2008; Xavier, José/KFB-6739-2024; murphy, eugene/GZL-1620-2022; Bracegirdle, Tom/AAD-6060-2020</t>
  </si>
  <si>
    <t>/0000-0002-9621-6660</t>
  </si>
  <si>
    <t>NERC [bas0100032, bas0100035] Funding Source: UKRI</t>
  </si>
  <si>
    <t>NERC(UK Research &amp; Innovation (UKRI)Natural Environment Research Council (NERC))</t>
  </si>
  <si>
    <t>SPRINGER INTERNATIONAL PUBLISHING AG</t>
  </si>
  <si>
    <t>CHAM</t>
  </si>
  <si>
    <t>GEWERBESTRASSE 11, CHAM, CH-6330, SWITZERLAND</t>
  </si>
  <si>
    <t>2364-950X</t>
  </si>
  <si>
    <t>978-3-319-16121-1; 978-3-319-16120-4</t>
  </si>
  <si>
    <t>CIM SER MATH SCI</t>
  </si>
  <si>
    <t>10.1007/978-3-319-16121-1_20</t>
  </si>
  <si>
    <t>Environmental Sciences; Mathematics, Interdisciplinary Applications</t>
  </si>
  <si>
    <t>Environmental Sciences &amp; Ecology; Mathematics</t>
  </si>
  <si>
    <t>BF2RN</t>
  </si>
  <si>
    <t>WOS:000380493400020</t>
  </si>
  <si>
    <t>Suominen, M; Kujala, P; Kotilainen, M</t>
  </si>
  <si>
    <t>ASME</t>
  </si>
  <si>
    <t>Suominen, Mikko; Kujala, Pentti; Kotilainen, Mikko</t>
  </si>
  <si>
    <t>THE ENCOUNTERED EXTREME EVENTS AND PREDICTED MAXIMUM ICE-INDUCED LOADS ON THE SHIP HULL IN THE SOUTHERN OCEAN</t>
  </si>
  <si>
    <t>PROCEEDINGS OF THE ASME 34TH INTERNATIONAL CONFERENCE ON OCEAN, OFFSHORE AND ARCTIC ENGINEERING, 2015, VOL 8</t>
  </si>
  <si>
    <t>34th ASME International Conference on Ocean, Offshore and Arctic Engineering (OMAE2015)</t>
  </si>
  <si>
    <t>MAY 31-JUN 05, 2015</t>
  </si>
  <si>
    <t>St John's, CANADA</t>
  </si>
  <si>
    <t>This paper studies the causes (ship operations and ice conditions) for the maximum ice-induced loads on the ship hull. Furthermore, the extreme loads are predicted with the Gumbel I asymptotic distribution. The study utilizes the full-scale measurement data collected in the Antarctic waters onboard S.A. Agulhas II between Dec 2013 and Feb 2014. The ice induced loads were measured at the bow, bow shoulder and stern shoulder. The ice conditions were observed visually and the machinery control and navigational data were recorded continuously. The study showed that the turning of the ship has a major effect on the loading at the stern shoulder. The maximum loads also showed an increasing trend as a function of the observed ice concentration and maximum ice thickness in all three areas of the hull. In addition, the maximum loads at the bow showed a decreasing trend as a function of an increasing ice floe diameter. Furthermore, the study with the return period of the ice-induced loads showed that the return period of the loads was at the same level at the bow and stern shoulder. However, the extreme values exceeded with a probability of 1 % or 0.1 % are clearly higher for the bow.</t>
  </si>
  <si>
    <t>[Suominen, Mikko; Kujala, Pentti; Kotilainen, Mikko] Aalto Univ, Dept Appl Mech, Espoo, Finland</t>
  </si>
  <si>
    <t>Aalto University</t>
  </si>
  <si>
    <t>Suominen, M (corresponding author), Aalto Univ, Dept Appl Mech, Espoo, Finland.</t>
  </si>
  <si>
    <t>mikko.suominen@aalto.fi</t>
  </si>
  <si>
    <t>Suominen, Mikko/D-6571-2012; Kujala, Pentti JS/B-3780-2011</t>
  </si>
  <si>
    <t>Suominen, Mikko/0000-0001-9758-9365;</t>
  </si>
  <si>
    <t>AMER SOC MECHANICAL ENGINEERS</t>
  </si>
  <si>
    <t>THREE PARK AVENUE, NEW YORK, NY 10016-5990 USA</t>
  </si>
  <si>
    <t>978-0-7918-5656-7</t>
  </si>
  <si>
    <t>V008T07A040</t>
  </si>
  <si>
    <t>Engineering, Marine; Engineering, Ocean; Engineering, Mechanical</t>
  </si>
  <si>
    <t>BF0XL</t>
  </si>
  <si>
    <t>WOS:000379793700040</t>
  </si>
  <si>
    <t>Mahapatro, D; Behera, DP; Naik, S; Mishra, RK; Mishra, BN</t>
  </si>
  <si>
    <t>Mahapatro, Debasish; Behera, Durga Prasad; Naik, Subrat; Mishra, Rajani Kanta; Mishra, B. N.</t>
  </si>
  <si>
    <t>First record of Halophila ovalis in the Haripur creek, East Coast of India</t>
  </si>
  <si>
    <t>First record; Halophila ovalis; Haripur creek; East coast of India</t>
  </si>
  <si>
    <t>Present study reports the first record of occurrence of a seagrass Halophila oval is, family-Hydrocharitaceae and class-Liliopsida in the Haripur creek of the southern coast of Odisha. It was suggested that the shallow water region of this tidal creek provided a conducive environment for colonization of this particular sea grass species. This study also describes the morphological and habitat characteristics of the sea grass.</t>
  </si>
  <si>
    <t>[Mahapatro, Debasish; Behera, Durga Prasad; Naik, Subrat] Berhampur Univ, Dept Marine Sci, Odisha, India; [Mishra, Rajani Kanta] Natl Ctr Antarctic &amp; Ocean Res, Vasco Da Gama, Goa, India; [Mishra, B. N.] OSDMA, Bhubaneswar, Odisha, India</t>
  </si>
  <si>
    <t>Berhampur University; Ministry of Earth Sciences (MoES) - India; National Centre for Polar and Ocean Research (NCPOR)</t>
  </si>
  <si>
    <t>Mishra, RK (corresponding author), Natl Ctr Antarctic &amp; Ocean Res, Vasco Da Gama, Goa, India.</t>
  </si>
  <si>
    <t>rajanimishra@yahoo.com</t>
  </si>
  <si>
    <t>JAN</t>
  </si>
  <si>
    <t>DQ1RL</t>
  </si>
  <si>
    <t>WOS:000378978000018</t>
  </si>
  <si>
    <t>Ogienko, O; Tymchenko, Y</t>
  </si>
  <si>
    <t>Ogienko, O.; Tymchenko, Yu.</t>
  </si>
  <si>
    <t>THE LATE HOLOCENE CLIMATE CHANGE EFFECT ON SEDIMENTATION ENVIRONMENTS NEAR THE ANTARCTIC PENINSULA</t>
  </si>
  <si>
    <t>VISNYK OF TARAS SHEVCHENKO NATIONAL UNIVERSITY OF KYIV-GEOLOGY</t>
  </si>
  <si>
    <t>Ukrainian</t>
  </si>
  <si>
    <t>sedimentation; bottom deposits; diatoms; paleoclimate; Holocene; Antarctic</t>
  </si>
  <si>
    <t>MAJOR DIATOM TAXA; SOUTHERN-OCEAN SEDIMENTS; SURFACE SEDIMENTS; SCOTIA SEA; BIOGEOGRAPHY</t>
  </si>
  <si>
    <t>The paper is devoted to the Late Holocene sedimentary paleoenvironments in the open northern part of the Antarctic Peninsula basin that is particularly sensitive to rapid contemporary climate change. The main goal is to trace the successive environmental transformation of hydrological and climatic conditions which affected the Core K98-08 (floor depth 1227 m) deposits formation recorded in proxy diatom data. On the basis of taxonomic composition and ecological structure of fossil diatom assemblages and horizons' lithology, the Late Quaternary paleoenvironmental conditions were defined. The surface sediments were formed in deep ocean basin under the influence of different-temperature water mixture, this basin being characterized by sea ice cover in winter and surface water's average temperatures of -1 - +1,5 degrees C in summer. The taxonomic composition of diatom assemblages suggests that the surface sediments were formed at the Late Holocene. The comparison of new data with paleoclimatic records [7, 9-10] indicates that the beginning of core deposit accumulation is broadly synchronous with the Neoglacial interval (&lt;= 2400 yr BP). According to our rough estimates the average Late Holocene deposition rate was ca. 18-19 cm per 1000 years in the place where the station was located. The present-day rapid warming began about 450-500 yr ago in the Northern Antarctic Peninsula. This study focuses on new data of the Late Holocene sedimentation rate and environments in the north area of the Antarctic Peninsula basin for a climate and paleoceanological reconstructions in the Southern Ocean.</t>
  </si>
  <si>
    <t>[Ogienko, O.; Tymchenko, Yu.] Taras Schevchenko Natl Univ Kyiv, Inst Geol, 90 Vasylkivska Str, UA-03022 Kiev, Ukraine</t>
  </si>
  <si>
    <t>Ministry of Education &amp; Science of Ukraine; Taras Shevchenko National University of Kyiv; National Academy of Sciences Ukraine; Institute of Geological Sciences, National Academy of Sciences of Ukraine</t>
  </si>
  <si>
    <t>Ogienko, O (corresponding author), Taras Schevchenko Natl Univ Kyiv, Inst Geol, 90 Vasylkivska Str, UA-03022 Kiev, Ukraine.</t>
  </si>
  <si>
    <t>ogienko@univ.kiev.ua; maeotica@ukr.net</t>
  </si>
  <si>
    <t>Ogienko, Oleg S/H-9997-2018; Tymchenko, Yuliya/H-9801-2018</t>
  </si>
  <si>
    <t>Tymchenko, Yuliya/0000-0001-9840-6583</t>
  </si>
  <si>
    <t>NATL TARAS SHEVCHENKO UNIV KYIV</t>
  </si>
  <si>
    <t>KYIV</t>
  </si>
  <si>
    <t>BULVAR TARASA SHEVCHENKO, 14, OFIS 43, KYIV, 01601, UKRAINE</t>
  </si>
  <si>
    <t>2079-9063</t>
  </si>
  <si>
    <t>VISNYK TARAS SHEVCHE</t>
  </si>
  <si>
    <t>Visnyk Taras Shevchenko Natl. Univ. Kyiv-Geol.</t>
  </si>
  <si>
    <t>10.17721/1728-2713.69.02.11-16</t>
  </si>
  <si>
    <t>DP1JB</t>
  </si>
  <si>
    <t>WOS:000378245200002</t>
  </si>
  <si>
    <t>Ogienko, O</t>
  </si>
  <si>
    <t>Ogienko, O.</t>
  </si>
  <si>
    <t>DIATOM ASSEMBLAGES IN THE UPPER LAYER OF BOTTOM DEPOSITS: DISTRIBUTION OVER MORPHOSTRUCTURAL SHELF ZONES OF THE NORTH-WESTERN ANTARCTIC PENINSULA</t>
  </si>
  <si>
    <t>diatoms; marine bottom deposits; morphostructural shelf zones; Antarctic Peninsula</t>
  </si>
  <si>
    <t>SOUTHERN-OCEAN SEDIMENTS; SURFACE SEDIMENTS; BIOGEOGRAPHY; TAXA; SEA</t>
  </si>
  <si>
    <t>This paper presents the results of research into marine diatom assemblages in surface shelf deposits of the North-Western Antarctic Peninsula area. Five clusters of diatom assemblages have been identified, according to their taxonomic composition, ecological structure, and distribution in different morphostructural shelf zones. We have considered the factors that affect the assemblage composition and distribution. In the study area, the dominant diatom species are the antarctic marine planktonic and cryophilic ones, their number increasing considerably in the inner shelf zone due to a natural barrier of big islands. The share of oceanic subantarctic species grows toward the open ocean (in the external shelf). The number of semibenthic and benthic diatoms is substantially larger in the shallow near island waters. The originality of the investigation is in identifying regular patterns in the diatom taxonomy and ecology depending on their distribution in the surface deposits associated with different morphostructural shelf zones of the North-Western Antarctic Peninsula. The new data on the diatoms may be of use in backstripping analysis of the Antarctic area.</t>
  </si>
  <si>
    <t>[Ogienko, O.] Taras Schevchenko Natl Univ Kyiv, Inst Geol, 90 Vasylkivska Str, UA-03022 Kiev, Ukraine</t>
  </si>
  <si>
    <t>ogienko@univ.kiev.ua</t>
  </si>
  <si>
    <t>Ogienko, Oleg S/H-9997-2018</t>
  </si>
  <si>
    <t>10.17721/1728-2713.68.03.14-20</t>
  </si>
  <si>
    <t>DP1IW</t>
  </si>
  <si>
    <t>WOS:000378244700003</t>
  </si>
  <si>
    <t>McGee, J</t>
  </si>
  <si>
    <t>Backstrand, K; Lovbrand, E</t>
  </si>
  <si>
    <t>McGee, Jeffrey</t>
  </si>
  <si>
    <t>Minilateralism</t>
  </si>
  <si>
    <t>RESEARCH HANDBOOK ON CLIMATE GOVERNANCE</t>
  </si>
  <si>
    <t>ASIA-PACIFIC PARTNERSHIP; CLIMATE GOVERNANCE</t>
  </si>
  <si>
    <t>[McGee, Jeffrey] Univ Tasmania, Climate Change Marine &amp; Antarct Law, Fac Law, Hobart, Tas 7001, Australia; [McGee, Jeffrey] Univ Tasmania, Inst Marine &amp; Antarctic Studies, Hobart, Tas 7001, Australia</t>
  </si>
  <si>
    <t>McGee, J (corresponding author), Univ Tasmania, Climate Change Marine &amp; Antarct Law, Fac Law, Hobart, Tas 7001, Australia.</t>
  </si>
  <si>
    <t>McGee, Jeffrey/0000-0002-2093-5896</t>
  </si>
  <si>
    <t>EDWARD ELGAR PUBLISHING LTD</t>
  </si>
  <si>
    <t>CHELTENHAM</t>
  </si>
  <si>
    <t>THE LYPIATTS, 15 LANSDOWN RD, CHELTENHAM GL50 2JA, GLOS, ENGLAND</t>
  </si>
  <si>
    <t>978-1-78347-060-0; 978-1-78347-059-4</t>
  </si>
  <si>
    <t>10.4337/9781783470600</t>
  </si>
  <si>
    <t>Environmental Studies; Public Administration</t>
  </si>
  <si>
    <t>Book Citation Index – Social Sciences &amp; Humanities (BKCI-SSH)</t>
  </si>
  <si>
    <t>Environmental Sciences &amp; Ecology; Public Administration</t>
  </si>
  <si>
    <t>BE7WF</t>
  </si>
  <si>
    <t>WOS:000375954200013</t>
  </si>
  <si>
    <t>S</t>
  </si>
  <si>
    <t>Bockheim, JG; McLeod, M</t>
  </si>
  <si>
    <t>Bockheim, JG</t>
  </si>
  <si>
    <t>Bockheim, James G.; McLeod, Malcolm</t>
  </si>
  <si>
    <t>Soils of Central Victoria Land, the McMurdo Dry Valleys</t>
  </si>
  <si>
    <t>SOILS OF ANTARCTICA</t>
  </si>
  <si>
    <t>World Soils Book Series</t>
  </si>
  <si>
    <t>EASTERN WRIGHT VALLEY; LEVEL ANTARCTIC LAKE; UPPER TAYLOR GLACIER; TRANSANTARCTIC MOUNTAINS; DEVELOPMENT RATES; DESERT SOILS; ICE-SHEET; ROSS SEA; PERMAFROST; GEOMORPHOLOGY</t>
  </si>
  <si>
    <t>[Bockheim, James G.] Univ Wisconsin, Madison, WI 53706 USA; [McLeod, Malcolm] Landcare Res, Hamilton, New Zealand</t>
  </si>
  <si>
    <t>University of Wisconsin System; University of Wisconsin Madison; Landcare Research - New Zealand</t>
  </si>
  <si>
    <t>Bockheim, JG (corresponding author), Univ Wisconsin, Madison, WI 53706 USA.</t>
  </si>
  <si>
    <t>bockheim@wisc.edu; mcleodm@landcareresearch.co.nz</t>
  </si>
  <si>
    <t>PO BOX 17, 3300 AA DORDRECHT, NETHERLANDS</t>
  </si>
  <si>
    <t>2211-1255</t>
  </si>
  <si>
    <t>2211-1263</t>
  </si>
  <si>
    <t>978-3-319-05497-1; 978-3-319-05496-4</t>
  </si>
  <si>
    <t>WOR SOIL BOOK SER</t>
  </si>
  <si>
    <t>10.1007/978-3-319-05497-1_8</t>
  </si>
  <si>
    <t>10.1007/978-3-319-05497-1</t>
  </si>
  <si>
    <t>Geography, Physical; Soil Science</t>
  </si>
  <si>
    <t>Physical Geography; Agriculture</t>
  </si>
  <si>
    <t>BE7FA</t>
  </si>
  <si>
    <t>WOS:000375189500009</t>
  </si>
  <si>
    <t>O'Neill, TA; Aislabie, J; Balks, MR</t>
  </si>
  <si>
    <t>O'Neill, T. A.; Aislabie, J.; Balks, M. R.</t>
  </si>
  <si>
    <t>Human Impacts on Soils</t>
  </si>
  <si>
    <t>ROSS SEA REGION; HEAVY-METAL CONTAMINATION; MCMURDO SOUND REGION; BACTERIAL DIVERSITY; ANTARCTIC SOILS; HYDROCARBON CONTAMINATION; INDIGENOUS MICROORGANISMS; MICROBIAL COMMUNITIES; NEMATODE COMMUNITIES; DESERT PAVEMENTS</t>
  </si>
  <si>
    <t>[O'Neill, T. A.; Aislabie, J.] Landcare Res, Hamilton, New Zealand; [Balks, M. R.] Univ Waikato, Sch Sci, Fac Sci &amp; Engn, Hamilton, New Zealand</t>
  </si>
  <si>
    <t>Landcare Research - New Zealand; University of Waikato</t>
  </si>
  <si>
    <t>O'Neill, TA (corresponding author), Landcare Res, Hamilton, New Zealand.</t>
  </si>
  <si>
    <t>oneilltanya@hotmail.com; aislabiej@landcareresearch.co.nz; m.balks@waikato.ac.nz</t>
  </si>
  <si>
    <t>O'Neill, Tanya/AAD-3240-2020</t>
  </si>
  <si>
    <t>10.1007/978-3-319-05497-1_15</t>
  </si>
  <si>
    <t>WOS:000375189500016</t>
  </si>
  <si>
    <t>Bockheim, James G.</t>
  </si>
  <si>
    <t>Antarctic Soils and Climate Change</t>
  </si>
  <si>
    <t>TAYLOR VALLEY; PENINSULA; PERMAFROST; ECOSYSTEM; DESERT</t>
  </si>
  <si>
    <t>[Bockheim, James G.] Univ Wisconsin, Dept Soil Sci, Madison, WI 53706 USA</t>
  </si>
  <si>
    <t>Bockheim, JG (corresponding author), Univ Wisconsin, Dept Soil Sci, Madison, WI 53706 USA.</t>
  </si>
  <si>
    <t>10.1007/978-3-319-05497-1_16</t>
  </si>
  <si>
    <t>WOS:000375189500017</t>
  </si>
  <si>
    <t>Rose, G</t>
  </si>
  <si>
    <t>Martin, P; Kennedy, A</t>
  </si>
  <si>
    <t>Rose, Gregory</t>
  </si>
  <si>
    <t>Marine protection treaties in Antarctic Waters: fragmentation or coordination in international treaty implementation</t>
  </si>
  <si>
    <t>IMPLEMENTING ENVIRONMENTAL LAW</t>
  </si>
  <si>
    <t>IUCN Academy of Environmental Law Series</t>
  </si>
  <si>
    <t>ENVIRONMENTAL-PROTECTION; PROTOCOL</t>
  </si>
  <si>
    <t>[Rose, Gregory] Univ Wollongong, Wollongong, NSW 2522, Australia</t>
  </si>
  <si>
    <t>University of Wollongong</t>
  </si>
  <si>
    <t>Rose, G (corresponding author), Univ Wollongong, Wollongong, NSW 2522, Australia.</t>
  </si>
  <si>
    <t>Rose, Gregory L/P-4929-2016</t>
  </si>
  <si>
    <t>Rose, Gregory L/0000-0002-2898-8618</t>
  </si>
  <si>
    <t>978-1-78347-931-3; 978-1-78347-929-0</t>
  </si>
  <si>
    <t>IUCN ACAD ENVIR LAW</t>
  </si>
  <si>
    <t>10.4337/9781783479313</t>
  </si>
  <si>
    <t>BE5DZ</t>
  </si>
  <si>
    <t>WOS:000372628400010</t>
  </si>
  <si>
    <t>Hansen, FV</t>
  </si>
  <si>
    <t>Valdes Hansen, Felipe</t>
  </si>
  <si>
    <t>THE OTHER NORWEGIANS OF CANELINAS: THE WHALING SEASON OF 1929</t>
  </si>
  <si>
    <t>CUADERNOS DE ESTUDIOS GALLEGOS</t>
  </si>
  <si>
    <t>Norwegian whalers; whales; Galicia; Canelinas</t>
  </si>
  <si>
    <t>A previously unknown document from the Compania Ballenera Espanola (Spanish Whaling Company), ceded to the author of this article, reveals new facts about the Norwegian whalers' activity in Galicia in the 20th. century. Therefore an updating of what we know about their activity at the Canelinas factory becomes unavoidable. This activity was interrupted in the year 1927 due to the decreasing number of captures, especially in the Straits of Gibraltar, with a decrease in the Company's benefits and an increase in production costs, and the interest shown by the Norwegian management to relocate their activity in the Antarctic area. The 1928 failure on the part of the International Whaling Company to keep the factory open sealed the short term destiny of the Canelinias factory. However, in 1929 the factory was briefly reopened again for a short period, when the newly acquired fleet that same year by S. Foyn Bruun and A. von der Lippe anchored there before joining their new floating factory, the Pontos, in their course to the Antarctic Ocean. This new documental source-the salaries register of CBE for the year 1929- provides a most valuable and previously unavailable information such as the work organization, a list of the company's payroll, specifying salaries and production and capture bonuses, and many other facts. These are he other Norwegian whalers, of whom nothing was known up to this moment, as the present article is going to show.</t>
  </si>
  <si>
    <t>CONSEJO SUPERIOR INVESTIGACIONES CIENTIFICAS-CSIC</t>
  </si>
  <si>
    <t>MADRID</t>
  </si>
  <si>
    <t>VITRUVIO 8, 28006 MADRID, SPAIN</t>
  </si>
  <si>
    <t>0210-847X</t>
  </si>
  <si>
    <t>1988-8333</t>
  </si>
  <si>
    <t>CUAD ESTUD GALLEGOS</t>
  </si>
  <si>
    <t>Cuad. Estud. Gallegos</t>
  </si>
  <si>
    <t>JAN-DEC</t>
  </si>
  <si>
    <t>10.3989/ceg.2015.128.11</t>
  </si>
  <si>
    <t>DK4IQ</t>
  </si>
  <si>
    <t>WOS:000374881600011</t>
  </si>
  <si>
    <t>Machuca, A; Cuba-Díaz, M; Córdova, C</t>
  </si>
  <si>
    <t>Machuca, A.; Cuba-Diaz, M.; Cordova, C.</t>
  </si>
  <si>
    <t>Enzymes in the rhizosphere of plants growing in the vicinity of the Polish Arctowski Antarctic Station.</t>
  </si>
  <si>
    <t>JOURNAL OF SOIL SCIENCE AND PLANT NUTRITION</t>
  </si>
  <si>
    <t>Acid phosphatase; beta-glucosidase; urease; Colobanthus quitensis; Deschampsia antarctica</t>
  </si>
  <si>
    <t>MICROBIAL COMMUNITIES; SEASONAL-VARIATION; SOIL; TEMPERATURE; RESPONSES; BIOMASS</t>
  </si>
  <si>
    <t>In maritime Antarctica soil enzymes have been little researched, mainly in the rhizosphere of the only two vascular plants that grow there: Colobanthus quitensis and Deschampsia antarctica. This study evaluated the activities of hydrolytic enzymes beta-glucosidase, phosphatase and urease in the rhizospheric soils of C. quitensis and D. antarctica from three different sites in the Polish Arctowski Station in Antarctica. The sensitivity to temperature changes of the enzymes was also evaluated using two incubation temperatures (37 and 12 degrees C). The highest activities related to the C and P cycles, beta-glucosidase and acid phosphatase, respectively, were detected in the rhizospheric soils at the site with the greatest variety of plant cover. Urease activity, related to the N cycle, was high in two of the three sites, and the lowest activity was detected at the site where only D. antarctica was found. The activity of the enzymes decreased when the temperature of incubation was reduced, but the magnitude of the decrease depended on the enzyme. beta-glucosidase was the most sensitive to temperature change, whereas urease was least affected. Therefore, temperature changes in rhizospheric soils could lead to changes in substrate degradation rates and consequently in the availability of nutrients (C, N and P) for C. quitensis and D. antartica in maritime Antarctica.</t>
  </si>
  <si>
    <t>[Machuca, A.; Cuba-Diaz, M.] Univ Concepcion, Dept Plant Sci &amp; Technol, Campus Los Angeles, Concepcion, Chile; [Cordova, C.] Univ Concepcion, Dept Soils &amp; Nat Resources, Concepcion, Chile</t>
  </si>
  <si>
    <t>Universidad de Concepcion; Universidad de Concepcion</t>
  </si>
  <si>
    <t>Machuca, A (corresponding author), Univ Concepcion, Dept Plant Sci &amp; Technol, Campus Los Angeles, Concepcion, Chile.</t>
  </si>
  <si>
    <t>angmachu@udec.cl</t>
  </si>
  <si>
    <t>Machuca, Angela/S-6694-2019; Cuba-Diaz, Marely/V-3109-2019; Cordova, Carolin/AAS-3365-2021</t>
  </si>
  <si>
    <t>Cordova, Carolin/0000-0003-3726-2023; Cuba-Diaz, Marely/0000-0002-2981-0328</t>
  </si>
  <si>
    <t>INACH [T_03-09]</t>
  </si>
  <si>
    <t>INACH</t>
  </si>
  <si>
    <t>We wish to thank Ms. I. Cid and Mr. D. Chavez for technical support, and the Instituto Antartico Chileno (INACH) and Arctowski Polish Station for their logistical support. This research was granted by INACH (Project T_03-09).</t>
  </si>
  <si>
    <t>0718-9508</t>
  </si>
  <si>
    <t>0718-9516</t>
  </si>
  <si>
    <t>J SOIL SCI PLANT NUT</t>
  </si>
  <si>
    <t>J. Soil Sci. Plant Nutr.</t>
  </si>
  <si>
    <t>Plant Sciences; Environmental Sciences; Soil Science</t>
  </si>
  <si>
    <t>Plant Sciences; Environmental Sciences &amp; Ecology; Agriculture</t>
  </si>
  <si>
    <t>DK2TR</t>
  </si>
  <si>
    <t>WOS:000374767800002</t>
  </si>
  <si>
    <t>Jordan, RW; Abe, K; Cruz, J; Eriksen, R; Guerreiro, C; Hagino, K; Heldal, M; Hernández-Becerril, DU; Malinverno, E; Nishida, S; Patil, SM; Supraha, L; Thomsen, HA; Triantaphyllou, MV; Young, JR</t>
  </si>
  <si>
    <t>Jordan, Richard W.; Abe, Kenta; Cruz, Jarrett; Eriksen, Ruth; Guerreiro, Catarina; Hagino, Kyoko; Heldal, Mikal; Hernandez-Becerril, David U.; Malinverno, Elisa; Nishida, Shiro; Patil, Shramik M.; Supraha, Luka; Thomsen, Helge A.; Triantaphyllou, Maria V.; Young, Jeremy R.</t>
  </si>
  <si>
    <t>Observations on the morphological diversity and distribution of two siliceous nannoplankton genera, Hyalolithus and Petasaria</t>
  </si>
  <si>
    <t>MICROPALEONTOLOGY</t>
  </si>
  <si>
    <t>INA Workshop on Extant Coccolithophores Research (Coccolithophores)</t>
  </si>
  <si>
    <t>OCT 05-10, 2014</t>
  </si>
  <si>
    <t>Hellen Ctr Marine Res, Crete, GREECE</t>
  </si>
  <si>
    <t>Hellen Ctr Marine Res</t>
  </si>
  <si>
    <t>TASMANIAN COASTAL WATERS; SP-NOV PRYMNESIOPHYCEAE; SOUTHERN INDIAN-OCEAN; HAPTOPHYTA; CHRYSOCHROMULINA; CHRYSOPHYCEAE; PRYMNESIACEAE; AUSTRALIA</t>
  </si>
  <si>
    <t>Scale-bearing siliceous nannoplankton are occasionally encountered in surface seawater samples, but are rarely identified or illustrated. In this study, the morphological diversity of the haptophyte Hyalolithus neolepis and the enigmatic Petasaria heterolepis are investigated in scanning and transmission electron microscopes using materials from around the world. Results show that H. neolepis scales exhibit variation in the width of the marginal hyaline area, but intermediate specimens make separation of the two morphologies difficult. Petasaria heterolepis scales also show differences, in the presence of tubercle rows in the hyaline area and degree of hyaline areal coverage, but separation into discrete varieties is difficult at present. However, specimens with scales bearing a protuberance are considered to be distinct enough to warrant the erection of a new species, Petasaria protuberans Jordan, Malinverno, Supraha, Thomsen et Young sp. nov.</t>
  </si>
  <si>
    <t>[Jordan, Richard W.] Yamagata Univ, Fac Sci, Dept Earth &amp; Environm Sci, Yamagata 9908560, Japan; [Abe, Kenta] Yamagata Univ, Grad Sch Sci &amp; Engn, Yamagata 9908560, Japan; [Cruz, Jarrett] Florida State Univ, Earth Ocean &amp; Atmospher Sci, Tallahassee, FL 32306 USA; [Eriksen, Ruth] Univ Tasmania, Inst Marine &amp; Antarctic Studies, Hobart, Tas 7001, Australia; [Guerreiro, Catarina] Univ Bremen, Dept Geosci, D-28359 Bremen, Germany; [Hagino, Kyoko] Kochi Univ, Kochi 7808520, Japan; [Heldal, Mikal] Dept Biol, N-5020 Bergen, Norway; [Hernandez-Becerril, David U.] Univ Nacl Autonoma Mexico, Inst Ciencias Mar &amp; Limnol, Mexico City 04510, DF, Mexico; [Malinverno, Elisa] Univ Milano Bicocca, Dept Earth &amp; Environm Sci, Milan, Italy; [Nishida, Shiro] Nara Univ Educ, Fac Educ, Dept Earth Sci, Nara, Japan; [Patil, Shramik M.] NCAOR, Vasco Da Gama 403804, Goa, India; [Supraha, Luka] Uppsala Univ, Dept Earth Sci, SE-75236 Uppsala, Sweden; [Thomsen, Helge A.] Tech Univ Denmark, Natl Inst Aquat Resources DTU Aqua, DK-2920 Charlottenlund, Denmark; [Triantaphyllou, Maria V.] Univ Athens, Dept Hist Geol &amp; Palaeontol, Athens 15784, Greece; [Young, Jeremy R.] UCL, Dept Earth Sci, London WC1E 6BT, England</t>
  </si>
  <si>
    <t>Yamagata University; Yamagata University; State University System of Florida; Florida State University; University of Tasmania; University of Bremen; Kochi University; Universidad Nacional Autonoma de Mexico; University of Milano-Bicocca; Nara University Education; Ministry of Earth Sciences (MoES) - India; National Centre for Polar and Ocean Research (NCPOR); Uppsala University; Technical University of Denmark; National &amp; Kapodistrian University of Athens; University of London; University College London</t>
  </si>
  <si>
    <t>Jordan, RW (corresponding author), Yamagata Univ, Fac Sci, Dept Earth &amp; Environm Sci, Yamagata 9908560, Japan.</t>
  </si>
  <si>
    <t>sh081@kdw.kj.yamagata-u.ac.jp; s14e101d@st.yamagata-u.ac.jp; jwc09e@my.fsu.edu; Ruth.Eriksen@utas.edu.au; catarina.guerreiro@uni-bremen.de; hagino@kochi-u.ac.jp; Mikal.Heldal@bio.uib.no; dhernand@cmarl.unam.mx; elisa.malinverno@unimib.it; nishida-smm@gaia.eonet.ne.jp; shramikpatil@gmail.com; luka.supraha@geo.uu.se; hat@aqua.dtu.dk; mtriant@geol.uoa.gr; jeremy.young@ucl.ac.uk</t>
  </si>
  <si>
    <t>Hagino, Kyoko/T-6060-2019; Triantaphyllou, Maria/AAL-7877-2021; Eriksen, Ruth/J-7760-2014; Guerreiro, Catarina V./M-7745-2013</t>
  </si>
  <si>
    <t>Triantaphyllou, Maria/0000-0001-7508-7508; Jordan, Richard/0000-0002-8997-7349; Supraha, Luka/0000-0003-2613-945X; Malinverno, Elisa/0000-0002-9124-5155; Abe, Kenta/0000-0002-2106-8958; Young, Jeremy/0000-0001-9320-9804; Patil, Shramik/0000-0001-8937-1403; Eriksen, Ruth/0000-0002-5184-2465; Guerreiro, Catarina V./0000-0001-8524-540X; Thomsen, Helge Abildhauge/0000-0002-0748-5755</t>
  </si>
  <si>
    <t>MICRO PRESS</t>
  </si>
  <si>
    <t>FLUSHING</t>
  </si>
  <si>
    <t>6530 KISSENA BLVD, FLUSHING, NY 11367 USA</t>
  </si>
  <si>
    <t>0026-2803</t>
  </si>
  <si>
    <t>1937-2795</t>
  </si>
  <si>
    <t>Micropaleontology</t>
  </si>
  <si>
    <t>DK1VR</t>
  </si>
  <si>
    <t>WOS:000374703600004</t>
  </si>
  <si>
    <t>Arias, KL</t>
  </si>
  <si>
    <t>Lopez Arias, Katherine</t>
  </si>
  <si>
    <t>ANALYSIS OF THE EDUCATIONAL POLICY MANAGEMENT OF THE CHILEAN MINISTRY OF EDUCATION BASED ON TEACHER, STUDENT AND LEADER PERCEPTION SURVEYS</t>
  </si>
  <si>
    <t>CONTEXTOS EDUCATIVOS-REVISTA DE EDUCACION</t>
  </si>
  <si>
    <t>Educational policy management; quality improvement; perceptions</t>
  </si>
  <si>
    <t>This research seeks to know the perceptions of integrating agents about the school management quality policies applied at a High School in the city of Punta Arenas, Magellan and Antarctic Region. Thus, the Chilean educational policies and the concept of quality are dealt with. It is non-experimental, quantitative-qualitative descriptive study, approached from a mixed paradigm that analyzes this high school's management regarding the educational policies set forth by the Chilean Ministry of Education. For the quantitative approach a student and teacher survey is applied, whereas for the qualitative part an interview to the integrating agents (students, teachers, leaders and parents) is carried out. As a result, it is concluded that the ministry's educational policies are integrated in this high school's Institutional Development Plan. However, in practice, not all members of this educational community participate in the decision-making process, as its Strategic Plan does not take the interests of this educational community into account.</t>
  </si>
  <si>
    <t>[Lopez Arias, Katherine] Univ Aconcagua, Calama, Chile</t>
  </si>
  <si>
    <t>Arias, KL (corresponding author), Univ Aconcagua, Calama, Chile.</t>
  </si>
  <si>
    <t>UNIV RIOJA, SERV PUBLICACIONES</t>
  </si>
  <si>
    <t>LA RIOJA</t>
  </si>
  <si>
    <t>C/ PISCINAS S/N, LOGRONO, LA RIOJA, 26004, SPAIN</t>
  </si>
  <si>
    <t>1575-023X</t>
  </si>
  <si>
    <t>1695-5714</t>
  </si>
  <si>
    <t>CONTEXTOS EDUC</t>
  </si>
  <si>
    <t>Contextos Educ.</t>
  </si>
  <si>
    <t>Education &amp; Educational Research</t>
  </si>
  <si>
    <t>DJ5LE</t>
  </si>
  <si>
    <t>WOS:000374248900003</t>
  </si>
  <si>
    <t>Tezaur, IK; Tuminaro, RS; Perego, M; Salinger, AG; Price, SF</t>
  </si>
  <si>
    <t>Koziel, S; Leifsson, L; Lees, M; Krzhizhanovskaya, VV; Dongarra, J; Sloot, PMA</t>
  </si>
  <si>
    <t>Tezaur, Irina K.; Tuminaro, Raymond S.; Perego, Mauro; Salinger, Andrew G.; Price, Stephen F.</t>
  </si>
  <si>
    <t>On the scalability of the Albany/FELIX first-order Stokes approximation ice sheet solver for large-scale simulations of the Greenland and Antarctic ice sheets</t>
  </si>
  <si>
    <t>INTERNATIONAL CONFERENCE ON COMPUTATIONAL SCIENCE, ICCS 2015 COMPUTATIONAL SCIENCE AT THE GATES OF NATURE</t>
  </si>
  <si>
    <t>Procedia Computer Science</t>
  </si>
  <si>
    <t>15th Annual International Conference on Computational Science (ICCS)</t>
  </si>
  <si>
    <t>JUN 01-03, 2015</t>
  </si>
  <si>
    <t>Reykjavik Univ, Reykjavik, ICELAND</t>
  </si>
  <si>
    <t>Reykjavik Univ</t>
  </si>
  <si>
    <t>Ice sheet model; first-order Stokes approximation; finite element method; scalability; ILU preconditioner; algebraic multigrid (AMG) preconditioner; semi-coarsening; Greenland; Antarctica</t>
  </si>
  <si>
    <t>GLACIERS; VELOCITY; STRESS; MODELS; FLOW</t>
  </si>
  <si>
    <t>We examine the scalability of the recently developed Albany/FELIX finite-element based code for the first-order Stokes momentum balance equations for ice flow. We focus our analysis on the performance of two possible preconditioners for the iterative solution of the sparse linear systems that arise from the discretization of the governing equations: (1) a preconditioner based on the incomplete LU (ILU) factorization, and (2) a recently-developed algebraic multigrid (AMG) preconditioner, constructed using the idea of semi-coarsening. A strong scalability study on a realistic, high resolution Greenland ice sheet problem reveals that, for a given number of processor cores, the AMG preconditioner results in faster linear solve times but the ILU preconditioner exhibits better scalability. A weak scalability study is performed on a realistic, moderate resolution Antarctic ice sheet problem, a substantial fraction of which contains floating ice shelves, making it fundamentally different from the Greenland ice sheet problem. Here, we show that as the problem size increases, the performance of the ILU preconditioner deteriorates whereas the AMG preconditioner maintains scalability. This is because the linear systems are extremely ill-conditioned in the presence of floating ice shelves, and the ill-conditioning has a greater negative effect on the ILU preconditioner than on the AMG preconditioner.</t>
  </si>
  <si>
    <t>[Tezaur, Irina K.] Sandia Natl Labs, Quantitat Modeling &amp; Anal Dept, Livermore, CA USA; [Tuminaro, Raymond S.; Perego, Mauro; Salinger, Andrew G.] Sandia Natl Labs, Computat Math Dept, Albuquerque, NM 87185 USA; [Price, Stephen F.] Los Alamos Natl Lab, Fluid Dynam &amp; Solid Mech Grp, Los Alamos, NM USA</t>
  </si>
  <si>
    <t>United States Department of Energy (DOE); Sandia National Laboratories; United States Department of Energy (DOE); Sandia National Laboratories; United States Department of Energy (DOE); Los Alamos National Laboratory</t>
  </si>
  <si>
    <t>Tezaur, IK (corresponding author), Sandia Natl Labs, Quantitat Modeling &amp; Anal Dept, Livermore, CA USA.</t>
  </si>
  <si>
    <t>ikalash@sandia.gov</t>
  </si>
  <si>
    <t>Price, Stephen/E-1568-2013</t>
  </si>
  <si>
    <t>Price, Stephen/0000-0001-6878-2553</t>
  </si>
  <si>
    <t>1877-0509</t>
  </si>
  <si>
    <t>PROCEDIA COMPUT SCI</t>
  </si>
  <si>
    <t>10.1016/j.procs.2015.05.467</t>
  </si>
  <si>
    <t>Computer Science, Interdisciplinary Applications; Computer Science, Theory &amp; Methods</t>
  </si>
  <si>
    <t>Computer Science</t>
  </si>
  <si>
    <t>BE6DP</t>
  </si>
  <si>
    <t>WOS:000373939100208</t>
  </si>
  <si>
    <t>Gabrielli, P; Vallelonga, P</t>
  </si>
  <si>
    <t>Blais, JM; Rosen, MR; Smol, JP</t>
  </si>
  <si>
    <t>Gabrielli, Paolo; Vallelonga, Paul</t>
  </si>
  <si>
    <t>Contaminant Records in Ice Cores</t>
  </si>
  <si>
    <t>ENVIRONMENTAL CONTAMINANTS: USING NATURAL ARCHIVES TO TRACK SOURCES AND LONG-TERM TRENDS OF POLLUTION</t>
  </si>
  <si>
    <t>Developments in Paleoenvironmental Research</t>
  </si>
  <si>
    <t>Snow accumulation; Alpine glaciers; Ice sheets; Greenland; Antarctica; Industrial Revolution; Anthropogenic emissions; Long range transport; Environmental reconstruction</t>
  </si>
  <si>
    <t>POLYCYCLIC AROMATIC-HYDROCARBONS; ALTITUDE ALPINE SNOW; ATMOSPHERIC MERCURY DEPOSITION; GROUP ELEMENT CONCENTRATIONS; OSMIUM ISOTOPIC COMPOSITION; CENTRAL GREENLAND SNOW; PRESENT CENTURY RECORD; MONT-BLANC ICE; HEAVY-METALS; ANTARCTIC SNOW</t>
  </si>
  <si>
    <t>Ice cores extracted in polar regions and in high altitude glaciers at low and mid latitudes are important recorders of global to regional changes in climate, ecosystems and human activities (e.g. industry, mining, transport). All of the contaminants found in ice cores are transported through the atmosphere, with the transport mechanism and atmospheric lifetime of these contaminants determining their spatial extent. In this chapter, we consider such ice core impurities as lead, mercury, platinum group elements, other trace elements, black carbon, organic and radioactive species. These contaminants are evaluated over the past few centuries, from the pre-industrial period through the Industrial Revolution and up to the most recent years of atmospheric monitoring, pollutant moratoria and/or abatement technologies. Contamination by most of these compounds is widespread from the higher latitudes of the Northern Hemisphere down to the remotest locations of Antarctica, suggesting that today there are no glaciers on Earth where atmospheric depositions of anthropogenic origin cannot be detected.</t>
  </si>
  <si>
    <t>[Gabrielli, Paolo] Ohio State Univ, Sch Earth Sci, 125 South Oval Mall, Columbus, OH 43210 USA; [Gabrielli, Paolo] Ohio State Univ, Byrd Polar &amp; Climate Res Ctr, Columbus, OH 43210 USA; [Vallelonga, Paul] Univ Copenhagen, Ctr Ice &amp; Climate, Niels Bohr Inst, DK-2100 Copenhagen O, Denmark; [Vallelonga, Paul] Curtin Univ, Dept Imaging &amp; Appl Phys, Bentley, WA 6102, Australia</t>
  </si>
  <si>
    <t>University System of Ohio; Ohio State University; University System of Ohio; Ohio State University; University of Copenhagen; Niels Bohr Institute; Curtin University</t>
  </si>
  <si>
    <t>Gabrielli, P (corresponding author), Ohio State Univ, Sch Earth Sci, 125 South Oval Mall, Columbus, OH 43210 USA.</t>
  </si>
  <si>
    <t>gabrielli.1@osu.edu; ptravis@nbi.ku.dk</t>
  </si>
  <si>
    <t>Vallelonga, Paul/I-9650-2016</t>
  </si>
  <si>
    <t>1571-5299</t>
  </si>
  <si>
    <t>978-94-017-9541-8; 978-94-017-9540-1</t>
  </si>
  <si>
    <t>DEV PALEOENVIRON RES</t>
  </si>
  <si>
    <t>Dev. Paleoenviron. Res.</t>
  </si>
  <si>
    <t>10.1007/978-94-017-9541-8_14</t>
  </si>
  <si>
    <t>10.1007/978-94-017-9541-8</t>
  </si>
  <si>
    <t>BE5WN</t>
  </si>
  <si>
    <t>WOS:000373556200015</t>
  </si>
  <si>
    <t>Mays, C</t>
  </si>
  <si>
    <t>Mays, Chris</t>
  </si>
  <si>
    <t>A Late Cretaceous (Cenomanian-Turonian) south polar palynoflora from the Chatham Islands, New Zealand</t>
  </si>
  <si>
    <t>LATE CRETACEOUS (CENOMANIAN-TURONIAN) SOUTH POLAR PALYNOFLORA FROM THE CHATHAM ISLANDS, NEW ZEALAND</t>
  </si>
  <si>
    <t>Memoirs of the Association of Australasian Palaeontologists</t>
  </si>
  <si>
    <t>palynology; taxonomy; Cretaceous; Cenomanian; Turonian; Tupuangi Formation; polar flora; endemic; Chatham Islands</t>
  </si>
  <si>
    <t>YELLOW SEA BASIN; JAMES-ROSS-BASIN; POLLEN GRAINS; IN-SITU; FOSSIL POLLEN; ANGIOSPERM POLLEN; TERTIARY BOUNDARY; CLIMATE VARIABILITY; OLIGOCENE SEDIMENTS; GYMNOSPERM POLLEN</t>
  </si>
  <si>
    <t>Forty palynofloral assemblages were obtained from the Waihere Bay and Tupuangi Beach outcrop successions of Pitt Island, Chatham Islands, New Zealand. All assemblages are from the Ngaterian-Mangaotanean (Cenomanian-Turonian) Tupuangi Formation, except one which is from the overlying Kahuitara Tuff. These strata likely represent the highest southern palaeolatitude (about 75-80 degrees S) locality of the mid-Cretaceous studied to date, an interval of extreme global greenhouse conditions. Samples yielded well preserved and moderately diverse plant miospore and megaspore assemblages. This study includes the taxonomic treatment of 37 spore taxa, 37 pollen taxa, two taxa of probable algal affinity and two taxa of unknown affinity (incertae sedis). These taxa include three newly described conifer species, Araucariacites mildenhallii sp. nov., Balmeiopsis disca sp. nov. and Podocarpidites microradiatus sp. nov., one emendation of a previously described species, Trichotomosulcites hemisphaerius, and two new binominal combinations, Retitriletes pseudoreticulatus and R. saturnalis. Quantitative data were collected for all taxa, and a statistical approach was employed to test the conspecificity of variant forms of common Cretaceous taxa. A pitted/foveolate sculpture was commonly observed across various disparate taxa; this was attributed to sample-specific exinal degradation, rather than taxonomic variation. The Tupuangi palynoflora differs from coeval high palaeolatitude assemblages of Gondwana in having a high diversity and extremely high abundance of conifer pollen. The quantitative data reveal intermittent, low diversity 'fern spikes', but conifer pollen abundance was greater than fern spore abundance in almost all samples. The abundance of probable freshwater algae and absence of marine microplankton throughout most of the succession supports a predominantly terrestrial setting for the Tupuangi Formation. Lycopod and non-vascular plant spores are moderately diverse, but represent minor components in all examined assemblages. Angiosperm pollen occur in low relative abundance in all the studied samples, and show a lower diversity compared to coeval lower palaeolatitude localities. The most abundant conifer groups were (in order of decreasing abundance): Cupressaceae, Podocarpaceae and Araucariaceae. The Tupuangi palynoflora suggests a Cupressaceae-dominated subprovince at the highest palaeolatitudes during the early Late Cretaceous. Representing an intermediate province between the assemblages of the Antarctic Peninsula and New Zealand/Australia, the Pitt Island palynoflora provides an important foundation for future mid-Cretaceous biostratigraphic and phytogeographic correlations of southern Gondwana.</t>
  </si>
  <si>
    <t>Monash Univ, Sch Earth Atmosphere &amp; Environm, Clayton, Vic 3800, Australia</t>
  </si>
  <si>
    <t>Mays, C (corresponding author), Monash Univ, Sch Earth Atmosphere &amp; Environm, Clayton, Vic 3800, Australia.</t>
  </si>
  <si>
    <t>chris.mays@monash.edu</t>
  </si>
  <si>
    <t>Mays, Chris/0000-0002-5416-2289</t>
  </si>
  <si>
    <t>ASSOC AUSTRALASIAN PALAEONTOLOGISTS</t>
  </si>
  <si>
    <t>CANBERRA</t>
  </si>
  <si>
    <t>GEOSCIENCE AUSTRIALIA, GPO BOX 378, CANBERRA, ACT 2601, AUSTRALIA</t>
  </si>
  <si>
    <t>0810-8889</t>
  </si>
  <si>
    <t>978-0-949466-45-7</t>
  </si>
  <si>
    <t>MEM ASSOC AUSTRALAS</t>
  </si>
  <si>
    <t>Mem. Assoc. Australas. Palaeont.</t>
  </si>
  <si>
    <t>BC6UY</t>
  </si>
  <si>
    <t>WOS:000354499500001</t>
  </si>
  <si>
    <t>Zhu, TT; Li, F; Zhang, Y; Zhang, SK; Hao, WF; Zhang, LP</t>
  </si>
  <si>
    <t>Zhu, Tingting; Li, Fei; Zhang, Yu; Zhang, Shengkai; Hao, Weifeng; Zhang, Liangpei</t>
  </si>
  <si>
    <t>SNOW DEPTH RETRIEVAL BASED ON A NOVEL SEA ICE CONCENTRATION ALGORITHM FROM AMSR-E DATASETS</t>
  </si>
  <si>
    <t>2015 IEEE INTERNATIONAL GEOSCIENCE AND REMOTE SENSING SYMPOSIUM (IGARSS)</t>
  </si>
  <si>
    <t>IEEE International Symposium on Geoscience and Remote Sensing IGARSS</t>
  </si>
  <si>
    <t>IEEE International Geoscience and Remote Sensing Symposium (IGARSS)</t>
  </si>
  <si>
    <t>JUL 26-31, 2015</t>
  </si>
  <si>
    <t>Milan, ITALY</t>
  </si>
  <si>
    <t>Antarctic; Sea ice; Snow depths; Unmixing; AMSR-E</t>
  </si>
  <si>
    <t>Temporal tie points have been manually selected for sea ice concentration retrieval based on the linear combination relationship between the open water and the complete ice coverage pixel. In this paper, the multichannel information has been exploited using the constrained least-squares linear unmixing algorithm from AMSR-E multi-channels brightness temperature. Snow depth can be obtained from the innovative algorithm without considering the weather effect.</t>
  </si>
  <si>
    <t>[Zhu, Tingting; Li, Fei; Zhang, Liangpei] Wuhan Univ, State Key Lab Informat Engn Surveying Mapping &amp; R, Wuhan 430079, Peoples R China; [Li, Fei; Zhang, Shengkai; Hao, Weifeng] Wuhan Univ, Chinese Antarctic Ctr Surveying &amp; Mapping, Wuhan 430079, Peoples R China; [Zhang, Yu] Wuhan Univ, Elect &amp; Informat Sch, Wuhan 430072, Peoples R China</t>
  </si>
  <si>
    <t>Wuhan University; Wuhan University; Wuhan University</t>
  </si>
  <si>
    <t>Zhu, TT (corresponding author), Wuhan Univ, State Key Lab Informat Engn Surveying Mapping &amp; R, Wuhan 430079, Peoples R China.</t>
  </si>
  <si>
    <t>2153-6996</t>
  </si>
  <si>
    <t>978-1-4799-7929-5</t>
  </si>
  <si>
    <t>INT GEOSCI REMOTE SE</t>
  </si>
  <si>
    <t>Engineering, Electrical &amp; Electronic; Geosciences, Multidisciplinary; Remote Sensing</t>
  </si>
  <si>
    <t>Engineering; Geology; Remote Sensing</t>
  </si>
  <si>
    <t>BE4GM</t>
  </si>
  <si>
    <t>WOS:000371696700191</t>
  </si>
  <si>
    <t>Feng, BY; Braaten, D; Paden, J</t>
  </si>
  <si>
    <t>Feng, Boyu; Braaten, David; Paden, John</t>
  </si>
  <si>
    <t>The use of Snow Radar in West Antarctic ice sheet annual snow accumulation study</t>
  </si>
  <si>
    <t>snow accumulation; Snow Radar; ice core; regional climate model</t>
  </si>
  <si>
    <t>MODELS</t>
  </si>
  <si>
    <t>Snow accumulation to the ice sheet offsets ice losses near the margin, and characterizing ice sheet accumulation rate is necessary for understanding ice sheet mass balance and predicting future sea level rise. Ice penetrating radar systems enable the measurement of ice sheet properties beneath the surface, including internal layering. This study concentrates on mapping the depth of internal layers, and linking the layers to a chronology that allows snow accumulation rates over particular time periods to be determined. This study focuses on one particular ice penetrating radar system: Snow Radar from the Center for Remote Sensing of Ice Sheet (CReSIS). The measurement error from the radar data process has been evaluated and quantified. A difference about 0.017 m caused by manual process in annual accumulation was identified between the radar derived data and true values. The chronology of Snow Radar detected layers is validated to be annual using nearby ice core data and the results of a regional climate model.</t>
  </si>
  <si>
    <t>[Feng, Boyu] Univ Western Ontario, London, ON, Canada; [Braaten, David; Paden, John] Ctr Remote Sensing Ice Sheet, Lawrence, KS USA</t>
  </si>
  <si>
    <t>Western University (University of Western Ontario)</t>
  </si>
  <si>
    <t>Feng, BY (corresponding author), Univ Western Ontario, London, ON, Canada.</t>
  </si>
  <si>
    <t>WOS:000371696702041</t>
  </si>
  <si>
    <t>Xu, SQ; Liu, TT; Chen, LQ</t>
  </si>
  <si>
    <t>Xu, Suqing; Liu, Tingting; Chen, Liqi</t>
  </si>
  <si>
    <t>ANNUALLY VARIATION OF AIR-SEA CARBON FLUX IN THE SOUTHERN OCEAN FROM THREE CHINARE CRUISES BY MEANS OF REMOTE SENSING TECHNOLOGY</t>
  </si>
  <si>
    <t>carbon flux; CHINARE; remote sensing data; extrapolation method</t>
  </si>
  <si>
    <t>GAS-EXCHANGE; WIND-SPEED; CO2 SINK; ROSS SEA; WATERS; VARIABILITY; DIOXIDE</t>
  </si>
  <si>
    <t>Empirical relationships were derived from the underway measurements of sea surface pCO(2), chlorophyll-a and sea surface temperature obtained from three Chinese Antarctica Research Expedition (CHINARE) cruises conducted in south Atlantic Ocean and south Indian Ocean. pCO(2) in sea water was computed from remote sensing chlorophyll-a and SST by extrapolation method. Monthly spatiotemporal distribution of air-sea CO2 flux was calculated. Results showed that in general the carbon absorption was stronger in January than in December, and declined in February. The carbon absorption in Dec 1999 and 2004 was approximately equal, while in Dec 2007 it declined by 9% compared to Dec 1999. For January, the carbon absorption in 2005 declined by 8.4% compared to 2000. While for February 2008, due to the reforming of sea ice and decrease of chlorophyll, the carbon absorption decreased.</t>
  </si>
  <si>
    <t>[Xu, Suqing; Chen, Liqi] State Ocean Adm, Inst Oceanog 3, Key Lab Global Change &amp; Marine Atmospher Chem, Xiamen 361005, Peoples R China; [Liu, Tingting] Wuhan Univ, Chinese Antarctic Ctr Surveying &amp; Mapping, Wuhan 430072, Peoples R China</t>
  </si>
  <si>
    <t>Third Institute of Oceanography, Ministry of Natural Resources; Wuhan University</t>
  </si>
  <si>
    <t>Xu, SQ (corresponding author), State Ocean Adm, Inst Oceanog 3, Key Lab Global Change &amp; Marine Atmospher Chem, Xiamen 361005, Peoples R China.</t>
  </si>
  <si>
    <t>Liu, Tingting/HCH-2239-2022</t>
  </si>
  <si>
    <t>WOS:000371696702094</t>
  </si>
  <si>
    <t>Macelloni, G; Brogioni, M; Montomoli, F; Legovini, P; Casal, T</t>
  </si>
  <si>
    <t>Macelloni, Giovanni; Brogioni, Marco; Montomoli, Francesco; Legovini, Paride; Casal, Tania</t>
  </si>
  <si>
    <t>ANALYSIS OF L-BAND BRIGHTNESS TEMPERATURE TIME SERIES AT DOME C-ANTARCTICA</t>
  </si>
  <si>
    <t>Antarctica; microwave radiometry; snow emission; L-band; SMOS; Domex</t>
  </si>
  <si>
    <t>Antarctica is a very unique continent, completely covered by thousands of meter of ice and firn. Therefore its microwave signature is different from any other place on Earth. Although the emission at low microwave frequency of the East Antarctic plateau is temporally stable for long periods, especially at V polarization and for incidence angles close to the Brewster one, a detailed analysis of satellite and ground based L-band measurements revealed that changes in the characteristics of snow surface can have an appreciable effect on the emission at H polarization. This work is focused on analyzing the temporal variations of the brightness temperature and on linking it to their primary causes. Ground measurements and model simulations indicate that, when strong wind event take place, they could swipe away the first weak layers of snow, exposing the more dense ones. This superficial change can cause a variation of the overall snowpack emission which causes the brightness temperature at H pol to decrease appreciably. On the contrary, the accumulation and densification processes make the Tb to increase.</t>
  </si>
  <si>
    <t>[Macelloni, Giovanni; Brogioni, Marco; Montomoli, Francesco] CNR, Inst Appl Phys Nello Carrara, Rome, Italy; [Legovini, Paride] Italian Antarctic Program PNRA, Rome, Italy; [Casal, Tania] ESA ESTEC, Amsterdam, Netherlands</t>
  </si>
  <si>
    <t>Consiglio Nazionale delle Ricerche (CNR); Istituto di Fisica Applicata Nello Carrara (IFAC-CNR); European Space Agency</t>
  </si>
  <si>
    <t>Macelloni, G (corresponding author), CNR, Inst Appl Phys Nello Carrara, Rome, Italy.</t>
  </si>
  <si>
    <t>Brogioni, Marco/Q-6583-2019; Montomoli, Francesco/IXX-0140-2023; Macelloni, Giovanni/B-7518-2015</t>
  </si>
  <si>
    <t>Brogioni, Marco/0000-0001-6232-6020; MACELLONI, GIOVANNI/0000-0002-9738-7939</t>
  </si>
  <si>
    <t>WOS:000371696704032</t>
  </si>
  <si>
    <t>Pablos, M; Piles, M; González-Gambau, V; Camps, A; Vall-llossera, M</t>
  </si>
  <si>
    <t>Pablos, M.; Piles, M.; Gonzalez-Gambau, V.; Camps, A.; Vall-llossera, M.</t>
  </si>
  <si>
    <t>INFLUENCE OF ICE THICKNESS ON SMOS AND AQUARIUS BRIGHTNESS TEMPERATURES OVER ANTARCTICA</t>
  </si>
  <si>
    <t>Ice thickness; subglacial lakes; subglacial bedrock; Antarctica; brightness temperature; L-band radiometer; SMOS; Aquarius</t>
  </si>
  <si>
    <t>The Dome-C region, in the East Antarctic Plateau, has been used for calibration/validation of satellite microwave radiometers since the 1970's. However, its use as an independent external target has been recently questioned due to some spatial inhomogeneities found in L-band airborne and satellite observations. This work evidences the influence of the Antarctic ice thickness spatial variations on the measured SMOS and Aquarius brightness temperatures (T-B). The possible effects of subglacial water and bedrock on the acquired radiometric signals have also been analyzed. A 3-months no-daylight period during the Austral winter has been selected. Four transects over East Antarctica have been defined to study the spatial variations. A good agreement between SMOS and Aquarius T-B changes and ice thickness variations over the whole Antarctica has been observed, obtaining linear correlations of 0.6-0.7 and slopes of 8.6-9.5 K/km. The subglacial lakes may affect the vertical physical temperature profile and/or the dielectric properties of the ice layers above. As expected, the subglacial bedrock is not contributing to the measured T-B, since the maximum estimated L-band penetration depth is similar to 1-1.5 km.</t>
  </si>
  <si>
    <t>[Pablos, M.; Piles, M.; Camps, A.; Vall-llossera, M.] Univ Politecn Cataluna, ES-08034 Barcelona, Spain; [Pablos, M.; Piles, M.; Camps, A.; Vall-llossera, M.] IEEC UPC, Barcelona 08034, Spain; [Gonzalez-Gambau, V.] Inst Ciencies Mar CSIC, Barcelona 08003, Spain; [Pablos, M.; Piles, M.; Gonzalez-Gambau, V.; Camps, A.; Vall-llossera, M.] SMOS Barcelona Expert Ctr, Barcelona 08003, Spain</t>
  </si>
  <si>
    <t>Universitat Politecnica de Catalunya; Institut d'Estudis Espacials de Catalunya (IEEC); Consejo Superior de Investigaciones Cientificas (CSIC); CSIC - Centro Mediterraneo de Investigaciones Marinas y Ambientales (CMIMA); CSIC - Instituto de Ciencias del Mar (ICM)</t>
  </si>
  <si>
    <t>Pablos, M (corresponding author), Univ Politecn Cataluna, ES-08034 Barcelona, Spain.</t>
  </si>
  <si>
    <t>miriam.pablos@tsc.upc.cdu</t>
  </si>
  <si>
    <t>Camps, Adriano/D-2592-2011; Piles, Maria/M-1057-2014; Pablos Hernández, Miriam/G-2845-2013; González, Verónica/L-9381-2014; Vall-llossera, Merce/M-7466-2013</t>
  </si>
  <si>
    <t>Camps, Adriano/0000-0002-9514-4992; Piles, Maria/0000-0002-1169-3098; Pablos Hernández, Miriam/0000-0003-2694-7107; Vall-llossera, Merce/0000-0003-1357-7098</t>
  </si>
  <si>
    <t>WOS:000371696705062</t>
  </si>
  <si>
    <t>Liu, TT; Wang, ZM; Liu, J</t>
  </si>
  <si>
    <t>Liu, Tingting; Wang, Zemin; Liu, Jian</t>
  </si>
  <si>
    <t>AN IMPROVED ICE/SNOW SURFACE TEMPERATURE RETRIEVAL METHOD FOR ANTARCTIC MODIS DATA</t>
  </si>
  <si>
    <t>Antarctica; MODIS; ice surface temperature; split-window method</t>
  </si>
  <si>
    <t>ICE</t>
  </si>
  <si>
    <t>Ice surface temperature (IST), which can indicates surface melt in polar areas, is one of the key parameters in ice surface monitoring. However, the existing studies about this topic are relatively limited. In this context, this research proposes an effective IST retrieval approach using MODIS data. In this approach, an improved split-window algorithm (SWA) is introduced by combining it with a polynomial fitting for atmospheric transmittance simulation. A comparative study between the satellite-derived ISTs (retrieved IST and MODIS IST product) and automatic weather station data from Zhongshan Station and the Ross Ice Shelf (from 2004 to 2013) was undertaken to assess the effectiveness of the proposed method. The experimental results show that the proposed method performs better than the existing MOD29 product. The retrieved ISTs have a bias of -0.62 K and a root-mean-square error (RMSE) of 1.32 K for the Zhongshan Station data, and a bias of -1.62 K and an RMSE of 2.34 K for the Ross Ice Shelf data, respectively.</t>
  </si>
  <si>
    <t>[Liu, Tingting; Wang, Zemin] Wuhan Univ, Chinese Antarctic Ctr Surveying &amp; Mapping, Wuhan 430072, Peoples R China; [Liu, Jian] Polar Res Inst China, Shanghai, Peoples R China</t>
  </si>
  <si>
    <t>Wuhan University; Polar Research Institute of China</t>
  </si>
  <si>
    <t>Liu, TT (corresponding author), Wuhan Univ, Chinese Antarctic Ctr Surveying &amp; Mapping, Wuhan 430072, Peoples R China.</t>
  </si>
  <si>
    <t>ZeMin, Wang/AAU-3422-2020; Liu, Tingting/HCH-2239-2022</t>
  </si>
  <si>
    <t>WOS:000371696705070</t>
  </si>
  <si>
    <t>Zwally, HJ; Li, J; Robbins, JW; Saba, JL; Yi, DH; Brenner, AC</t>
  </si>
  <si>
    <t>Zwally, H. Jay; Li, Jun; Robbins, John W.; Saba, Jack L.; Yi, Donghui; Brenner, Anita C.</t>
  </si>
  <si>
    <t>Mass gains of the Antarctic ice sheet exceed losses</t>
  </si>
  <si>
    <t>JOURNAL OF GLACIOLOGY</t>
  </si>
  <si>
    <t>Antarctic glaciology; ice and climate; ice-sheet mass balance; surface mass budget</t>
  </si>
  <si>
    <t>SEA-LEVEL RISE; FIRN COMPACTION; SNOW ACCUMULATION; ELEVATION CHANGES; LAKE VOSTOK; GREENLAND; BALANCE; RADAR; GRACE; POLARIZATION</t>
  </si>
  <si>
    <t>Mass changes of the Antarctic ice sheet impact sea-level rise as climate changes, but recent rates have been uncertain. Ice, Cloud and land Elevation Satellite (ICESat) data (2003-08) show mass gains from snow accumulation exceeded discharge losses by 82 +/- 25 Gt a(-1), reducing global sea-level rise by 0.23 mm a(-1). European Remote-sensing Satellite (ERS) data (1992-2001) give a similar gain of 112 +/- 61 Gt a(-1). Gains of 136 Gt a(-1) in East Antarctica (EA) and 72 Gt a(-1) in four drainage systems (WA2) in West Antarctic (WA) exceed losses of 97 Gt a(-1) from three coastal drainage systems (WA1) and 29 Gt a(-1) from the Antarctic Peninsula (AP). EA dynamic thickening of 147 Gt a(-1) is a continuing response to increased accumulation (&gt;50%) since the early Holocene. Recent accumulation loss of 11 Gt a(-1) in EA indicates thickening is not from contemporaneous snowfall increases. Similarly, the WA2 gain is mainly (60 Gt a-1) dynamic thickening. In WA1 and the AP, increased losses of 66 +/- 16 Gt a(-1) from increased dynamic thinning from accelerating glaciers are 50% offset by greater WA snowfall. The decadal increase in dynamic thinning in WA1 and the AP is approximately one-third of the long-term dynamic thickening in EA and WA2, which should buffer additional dynamic thinning for decades.</t>
  </si>
  <si>
    <t>[Zwally, H. Jay] NASA, Goddard Space Flight Ctr, Cryospher Sci Lab, Greenbelt, MD 20771 USA; [Zwally, H. Jay] Univ Maryland, Earth Syst Sci Interdisciplinary Ctr, College Pk, MD 20742 USA; [Li, Jun; Yi, Donghui] SGT Inc, NASA, Goddard Space Flight Ctr, Greenbelt, MD USA; [Robbins, John W.] Craig Technol, NASA, Goddard Space Flight Ctr, Greenbelt, MD USA; [Saba, Jack L.] Sci Syst &amp; Applicat Inc, NASA, Goddard Space Flight Ctr, Greenbelt, MD USA; [Brenner, Anita C.] Sigma Space Corp, Lanham, MD USA</t>
  </si>
  <si>
    <t>National Aeronautics &amp; Space Administration (NASA); NASA Goddard Space Flight Center; University System of Maryland; University of Maryland College Park; Stinger Ghaffarian Technologies, Inc. (SGT); National Aeronautics &amp; Space Administration (NASA); NASA Goddard Space Flight Center; National Aeronautics &amp; Space Administration (NASA); NASA Goddard Space Flight Center; National Aeronautics &amp; Space Administration (NASA); NASA Goddard Space Flight Center; Science Systems and Applications Inc</t>
  </si>
  <si>
    <t>Zwally, HJ (corresponding author), NASA, Goddard Space Flight Ctr, Cryospher Sci Lab, Greenbelt, MD 20771 USA.</t>
  </si>
  <si>
    <t>jayzwallyice@verizon.net</t>
  </si>
  <si>
    <t>Yi, Donghui/0000-0001-6363-5538</t>
  </si>
  <si>
    <t>NASA's Project Science funding</t>
  </si>
  <si>
    <t>We thank D.H. Bromwich and J.P. Nicolas for assistance and advice on the reanalysis data, J.T.M. Lenaerts and M.R. van den Broeke for providing their SMB data for comparison, E. Ivins and P. Whitehouse for providing their GIA model results, A. Ridout for providing the Envisat SSH data, and S. Farrell for discussions about Arctic SSH measurements. In memoriam, we deeply appreciate the pioneering work of Seymour Laxon and Katharine Giles on measuring SSH in the Arctic from satellite altimetry. We also thank J. DiMarzio, D. Hancock and many others in the ICESat Project support group. This research was supported by NASA's Project Science funding.</t>
  </si>
  <si>
    <t>0022-1430</t>
  </si>
  <si>
    <t>1727-5652</t>
  </si>
  <si>
    <t>J GLACIOL</t>
  </si>
  <si>
    <t>J. Glaciol.</t>
  </si>
  <si>
    <t>10.3189/2015JoG15J071</t>
  </si>
  <si>
    <t>DF9AW</t>
  </si>
  <si>
    <t>Green Submitted, hybrid</t>
  </si>
  <si>
    <t>WOS:000371653600001</t>
  </si>
  <si>
    <t>Li, J; Zwally, HJ</t>
  </si>
  <si>
    <t>Li, Jun; Zwally, H. Jay</t>
  </si>
  <si>
    <t>Response times of ice-sheet surface heights to changes in the rate of Antarctic firn compaction caused by accumulation and temperature variations</t>
  </si>
  <si>
    <t>polar firn</t>
  </si>
  <si>
    <t>INTERANNUAL VARIATIONS; ELEVATION CHANGES; DENSIFICATION; GREENLAND; MODEL</t>
  </si>
  <si>
    <t>Variations in accumulation rate A(s)(t) and temperature T-s(t) at the surface of firn cause changes in the rate of firn compaction (FC) and surface height H(t) that do not involve changes in mass, and therefore need to be accounted for in deriving mass changes from measured H(t). As the effects of changes in A(s)(t) and T-s(t) propagate into the firn, the FC rate is affected with a highly variable and complex response time. The H(t) during measurement periods depend on the history of A(s)(t) and T-s(t) prior to the measurements. Consequently, knowledge of firn response times to climate perturbations is important to estimate the required length of the time series of A(s)(t) and T-s(t) used in FC models. We use our numerical FC model, which is time-dependent on both temperature and accumulation rate, to examine the response times of both H(t) and the rates of change dH(t)/dt to variations in A(s)(t) and T-s(t) using sample perturbations and climate data for selected sites in Antarctica. Our results show that the response times for dH(t)/dt, which are of particular interest, are much shorter than the responses of H(t). Typical response times of dH(t)/dt are from several years to &lt;20 years. The response times are faster in warmer and higher-accumulation areas such as Byrd Station, West Antarctica (4 years), and slower in colder and lower-accumulation areas such as Vostok, East Antarctica (18 years). The response times to temperature are much faster (0.9 year at Byrd and 2.2 years at Vostok), but the corresponding height changes persist much longer. The associated variations in firn density are significantly preserved in the density depth profiles. For typical fluctuations of surface weather, the Ts(()t) from satellite observations since 1982 and A(s)(t) from meteorological data since 1979 are essentially of sufficient length to correct for FC height changes for measurements beginning in 1992.</t>
  </si>
  <si>
    <t>[Li, Jun] SGT Inc, NASA, Goddard Space Flight Ctr, Greenbelt, MD USA; [Zwally, H. Jay] NASA, Goddard Space Flight Ctr, Lab Cryospher Sci, Greenbelt, MD 20771 USA</t>
  </si>
  <si>
    <t>Stinger Ghaffarian Technologies, Inc. (SGT); National Aeronautics &amp; Space Administration (NASA); NASA Goddard Space Flight Center; National Aeronautics &amp; Space Administration (NASA); NASA Goddard Space Flight Center</t>
  </si>
  <si>
    <t>Li, J (corresponding author), SGT Inc, NASA, Goddard Space Flight Ctr, Greenbelt, MD USA.</t>
  </si>
  <si>
    <t>jun.li@nasa.gov</t>
  </si>
  <si>
    <t>10.3189/2015JoG14J182</t>
  </si>
  <si>
    <t>WOS:000371653600002</t>
  </si>
  <si>
    <t>Dadic, R; Schneebeli, M; Bertler, NAN; Schwikowski, M; Matzl, M</t>
  </si>
  <si>
    <t>Dadic, Ruzica; Schneebeli, Martin; Bertler, Nancy A. N.; Schwikowski, Margit; Matzl, Margret</t>
  </si>
  <si>
    <t>Extreme snow metamorphism in the Allan Hills, Antarctica, as an analogue for glacial conditions with implications for stable isotope composition</t>
  </si>
  <si>
    <t>atmosphere/ice/ocean interactions; polar firn; recrystallization; snow metamorphosis; snow/ice surface processes</t>
  </si>
  <si>
    <t>BLUE-ICE AREA; TEMPERATURE-GRADIENT; FIRN VENTILATION; MASS-BALANCE; SURFACE SNOW; TAYLOR DOME; POLAR FIRN; CORE; SUBLIMATION; CIRCULATION</t>
  </si>
  <si>
    <t>Understanding physical processes in near-zero accumulation areas can help us to better understand polar ice-core records, particularly during periods when accumulation rates were lower than today. We report measurements from a 5 m firn core from the Allan Hills, Antarctica, which include physical properties using computer tomography, stable isotope ratios delta D and delta O-18, and Pb-210 activity. The core shows a highly metamorphosed firn with homogeneous and stable structure, but with discrete layers near the surface. The observed firn structure is caused by a combination of unique depositional and post-depositional processes. The irregular delta D and delta O-18 signal does not follow the stratigraphic sequence and implies post-depositional modification caused by microscopic pressure gradients in the firn that can result from either forced ventilation over rough surfaces in the presence of wind or alternating temperature-gradients between the firn and the atmosphere. Our results also indicate impact snow deposition under high winds and with a high initial density and air exchange between the atmosphere and the snowpack. Pb-210 activity below 0.3 m falls below the detection limit, implying that most of the core is more than 100 years old. We conclude that the Allan Hills record provides a unique opportunity to investigate important processes that would have affected ice-core records from glacial periods.</t>
  </si>
  <si>
    <t>[Dadic, Ruzica; Bertler, Nancy A. N.] Victoria Univ Wellington, Antarctic Res Ctr, Wellington, New Zealand; [Schneebeli, Martin; Matzl, Margret] WSL Inst Snow &amp; Avalanche Res SLF, Davos, Switzerland; [Bertler, Nancy A. N.] Inst Geol &amp; Nucl Sci Ltd, Lower Hutt, New Zealand; [Schwikowski, Margit] Paul Scherrer Inst, Villigen, Switzerland</t>
  </si>
  <si>
    <t>Victoria University Wellington; Swiss Federal Institutes of Technology Domain; Swiss Federal Institute for Forest, Snow &amp; Landscape Research; GNS Science - New Zealand; Swiss Federal Institutes of Technology Domain; Paul Scherrer Institute</t>
  </si>
  <si>
    <t>Dadic, R (corresponding author), Victoria Univ Wellington, Antarctic Res Ctr, Wellington, New Zealand.</t>
  </si>
  <si>
    <t>ruzica.dadic@vuw.ac.nz</t>
  </si>
  <si>
    <t>Schneebeli, Martin/B-1063-2008; Bertler, Nancy A N/F-3967-2011; Dadic, Ruzica/O-4458-2019</t>
  </si>
  <si>
    <t>Schneebeli, Martin/0000-0003-2872-4409; Dadic, Ruzica/0000-0003-1303-1896; Schwikowski, Margit/0000-0002-0856-5183; Bertler, Nancy/0000-0001-6028-4891</t>
  </si>
  <si>
    <t>US National Science Foundation [ANT-07-39779]; Swiss National Science Foundation [124273]; Royal Society of New Zealand [VUW1314]; GNS Science from the New Zealand Ministry for Business, Innovation and Employment [540GCT32]</t>
  </si>
  <si>
    <t>US National Science Foundation(National Science Foundation (NSF)); Swiss National Science Foundation(Swiss National Science Foundation (SNSF)); Royal Society of New Zealand(Royal Society of New Zealand); GNS Science from the New Zealand Ministry for Business, Innovation and Employment</t>
  </si>
  <si>
    <t>The fieldwork was supported by US National Science Foundation grant ANT-07-39779 to the University of Washington (principal investigator Stephen Warren). Melanie Fitzpatrick organized the logistics, and both she and Regina Carns participated in the fieldwork and discussions about the measurements. Logistical support by the US Antarctic Program was excellent. We thank Matthias Jaggi for help in the cold laboratory, Huw Horgan for numerous discussions, and two reviewers whose comments greatly improved the manuscript. Ruzica Dadic was supported by a postdoctoral fellowship from the Swiss National Science Foundation (Project 124273) and by the Marsden Fund of the Royal Society of New Zealand (VUW1314). Isotope measurements were supported through GNS Science funded from the New Zealand Ministry for Business, Innovation and Employment (grant 540GCT32).</t>
  </si>
  <si>
    <t>10.3189/2015JoG15J027</t>
  </si>
  <si>
    <t>WOS:000371653600013</t>
  </si>
  <si>
    <t>Lescarmontier, L; Legresy, B; Young, NW; Coleman, R; Testut, L; Mayet, C; Lacroix, P</t>
  </si>
  <si>
    <t>Lescarmontier, L.; Legresy, B.; Young, N. W.; Coleman, R.; Testut, L.; Mayet, C.; Lacroix, P.</t>
  </si>
  <si>
    <t>Rifting processes and ice-flow modulation observed on Mertz Glacier, East Antarctica</t>
  </si>
  <si>
    <t>Antarctic glaciology; calving; crevasses; glacier flow; glacier mechanics</t>
  </si>
  <si>
    <t>WEST ANTARCTICA; STREAM; SHELF; TILL; DYNAMICS; TIDE; STAGNATION; MARGINS; MOTION; FRONT</t>
  </si>
  <si>
    <t>We investigated the evolution of two major rifts cutting across Mertz Glacier Tongue, East Antarctica, using a combination of satellite images and 60 day sets of GPS data from two stations deployed either side of the western rift in 2007. The eastern rift began to open in the early 1990s, and the western rift initiated in 2002 in conjunction with the collision of a large iceberg with the tongue. Velocity time series derived from the 2007 GPS data exhibited strong variations at tidal periods modulated by sea-surface height and sea-surface slope and reproduced here with a conceptually simple model. We found that opening of the western rift in 2002 leads to a dramatic change in behavior of the tongue as the large range in velocity (700-2400 m a(-1)) observed in 2000 was largely reduced (1075-1225 m a(-1)) in 2007. Opening of the western rift decoupled the glacier from the transverse loading on the tongue driven by east-west tidal circulation. This loading previously induced time-varying lateral drag, which caused the large velocity range. Our results suggest changes in the mechanical behavior of an ice tongue impact the dynamics of the outlet glacier system and should be considered in longer-term mass-balance evaluations.</t>
  </si>
  <si>
    <t>[Lescarmontier, L.] Australian Natl Univ, Res Sch Earth Sci, Canberra, ACT, Australia; [Lescarmontier, L.; Legresy, B.; Testut, L.; Mayet, C.] LECOS CNRS CNES UPS IRD, Toulouse, France; [Legresy, B.; Young, N. W.; Coleman, R.] Univ Tasmania, Antarctic Climate &amp; Ecosyst Cooperat Res Ctr, Hobart, Tas, Australia; [Legresy, B.] CSIRO, Oceans &amp; Atmosphere Flagship, Hobart, Tas, Australia; [Young, N. W.] Australian Antarctic Div, Kingston, Tas, Australia; [Coleman, R.] Univ Tasmania, Inst Marine &amp; Antarctic Studies, Hobart, Tas, Australia; [Lacroix, P.] Univ Grenoble, CNRS IRD, Inst Sci Terre ISTerre, Grenoble, France</t>
  </si>
  <si>
    <t>Australian National University; University of Tasmania; Antarctic Climate &amp; Ecosystems Cooperative Research Centre (ACE CRC); Commonwealth Scientific &amp; Industrial Research Organisation (CSIRO); Australian Antarctic Division; University of Tasmania; Communaute Universite Grenoble Alpes; Universite Grenoble Alpes (UGA); Centre National de la Recherche Scientifique (CNRS); Institut de Recherche pour le Developpement (IRD); Universite Gustave-Eiffel; Universite Savoie Mont Blanc</t>
  </si>
  <si>
    <t>Lescarmontier, L (corresponding author), Australian Natl Univ, Res Sch Earth Sci, Canberra, ACT, Australia.</t>
  </si>
  <si>
    <t>lydie.lescarmontier@gmail.com</t>
  </si>
  <si>
    <t>Lacroix, Pascal/HSG-9318-2023; legresy, benoit/K-6673-2018; Coleman, Richard/H-4425-2012</t>
  </si>
  <si>
    <t>Lacroix, Pascal/0000-0003-1282-9572; legresy, benoit/0000-0002-1909-1630; Coleman, Richard/0000-0002-9731-7498; Testut, Laurent/0000-0002-3969-2919; Young, Neal/0000-0001-9729-3273</t>
  </si>
  <si>
    <t>CNES (Centre National d'Etudes Spatiales, France); ANR (Agence Nationale de la Recherche, France) DACOTA grant; IPEV (Institut Polaire Paul-Emile Victor, France); CNRS/INSU (Centre National de la Recherche Scientifique/Institut National des Sciences de l'Univers, France); University of Tasmania; Australian Research Council [DP0666733]; Australian Government's Cooperative Research Centres Program; Australian Research Council [DP0666733] Funding Source: Australian Research Council</t>
  </si>
  <si>
    <t>CNES (Centre National d'Etudes Spatiales, France)(Centre National D'etudes Spatiales); ANR (Agence Nationale de la Recherche, France) DACOTA grant(Agence Nationale de la Recherche (ANR)); IPEV (Institut Polaire Paul-Emile Victor, France); CNRS/INSU (Centre National de la Recherche Scientifique/Institut National des Sciences de l'Univers, France); University of Tasmania; Australian Research Council(Australian Research Council); Australian Government's Cooperative Research Centres Program(Australian GovernmentDepartment of Industry, Innovation and ScienceCooperative Research Centres (CRC) Programme); Australian Research Council(Australian Research Council)</t>
  </si>
  <si>
    <t>This study is part of the CRAC-ICE project, supported by the CNES (Centre National d'Etudes Spatiales, France), ANR (Agence Nationale de la Recherche, France) DACOTA grant, the IPEV (Institut Polaire Paul-Emile Victor, France), CNRS/INSU (Centre National de la Recherche Scientifique/Institut National des Sciences de l'Univers, France) and the University of Tasmania. Part of this research was also supported by an Australian Research Council Discovery grant (DP0666733) awarded to Richard Coleman and was undertaken in the Antarctic Climate &amp; Ecosystems Cooperative Research Centre, supported by the Australian Government's Cooperative Research Centres Program. We thank the Master and crew of MV L'Astrolabe and helicopters for their assistance in the deployment of the GPS stations on Mertz Glacier Tongue and the retrieval of the GPS data.</t>
  </si>
  <si>
    <t>INT GLACIOL SOC</t>
  </si>
  <si>
    <t>LENSFIELD RD, CAMBRIDGE CB2 1ER, ENGLAND</t>
  </si>
  <si>
    <t>10.3189/2015JoG15J028</t>
  </si>
  <si>
    <t>Green Submitted, hybrid, Green Accepted</t>
  </si>
  <si>
    <t>WOS:000371653600014</t>
  </si>
  <si>
    <t>Gerea, M; Saad, JF; Izaguirre, I; Queimaliños, C; Gasol, JM; Unrein, F</t>
  </si>
  <si>
    <t>Gerea, Marina; Saad, Juan F.; Izaguirre, Irina; Queimalinos, Claudia; Gasol, Josep M.; Unrein, Fernando</t>
  </si>
  <si>
    <t>Presence, abundance and bacterivory of the mixotrophic algae Pseudopedinella (Dictyochophyceae) in freshwater environments</t>
  </si>
  <si>
    <t>AQUATIC MICROBIAL ECOLOGY</t>
  </si>
  <si>
    <t>Pseudopedinella; Bacterivory; Grazing rate; Patagonian lakes; Antarctic lakes</t>
  </si>
  <si>
    <t>NORTHERN BALTIC SEA; BAY ANTARCTIC PENINSULA; PHYTOPLANKTON COMMUNITIES; PLANKTONIC COMMUNITIES; INORGANIC NUTRIENTS; LIGHT CONDITIONS; VACUOLE CONTENT; COASTAL WATERS; GRAZING IMPACT; TROPHIC STATUS</t>
  </si>
  <si>
    <t>The genus Pseudopedinella has been described as mixotrophic; however, ecological information about this algal stramenopile (Heterokonta) is unclear. We investigate the environmental conditions that determine the presence, abundance and bacterivory rates of this genus in freshwater systems. To this end we analyzed 54 water bodies with different limnological features distributed along a latitudinal and trophic gradient in northern Patagonia (Argentina) and the Antarctic Peninsula. In addition, 14 grazing experiments were carried out in order to estimate ingestion rates and impact on the bacterioplankton. Our results indicate that this genus is exclusively found in oligotrophic environments, and that it develops well in a wide range of temperatures. Average cell-specific grazing rate was 2.83 bacteria cell(-1) h(-1), with a maximum value of 6.74 bacteria ml(-1) h(-1). Interestingly, grazing increased with prey abundance and decreased with increasing nutrient availability. These patterns are common in highly bacterivorous protists that use phagotrophy as a main source of nutrient acquisition. Despite their usually low abundance (avg. 182 cells ml(-1)), this single genus was responsible for up to 24% (avg. 10%) of the total grazing impact exerted by all phagotrophs in these lakes. Overall, our results support the idea that Pseudopedinella is a highly bacterivorous group of freshwater protists, with the ability to develop well in oligotrophic conditions and with a potentially significant impact on bacterioplankton.</t>
  </si>
  <si>
    <t>[Gerea, Marina; Queimalinos, Claudia] CONICET Univ Nacl Comahue, INIBIOMA, Lab Fotobiol, Quintral 1250,R8400FRD, San Carlos De Bariloche, Rio Negro, Argentina; [Saad, Juan F.; Izaguirre, Irina] UBA CONICET, IEGEBA, Dept Ecol Genet &amp; Evoluc, Ciudad Univ,C1428EHA, Buenos Aires, DF, Argentina; [Gasol, Josep M.] CSIC, Inst Ciencies Mar, Passeig Maritim Barceloneta 37-49, E-08003 Barcelona, Catalonia, Spain; [Unrein, Fernando] UNSAM CONICET, IIB INTECH, Lab Ecol &amp; Fotobiol Acuat, Ave Intendente Marino Km 8,200,B7130IWA, Chascomus, Argentina</t>
  </si>
  <si>
    <t>Consejo Nacional de Investigaciones Cientificas y Tecnicas (CONICET); Universidad Nacional del Comahue; Consejo Nacional de Investigaciones Cientificas y Tecnicas (CONICET); University of Buenos Aires; Consejo Superior de Investigaciones Cientificas (CSIC); CSIC - Centro Mediterraneo de Investigaciones Marinas y Ambientales (CMIMA); CSIC - Instituto de Ciencias del Mar (ICM); Consejo Nacional de Investigaciones Cientificas y Tecnicas (CONICET)</t>
  </si>
  <si>
    <t>Gerea, M (corresponding author), CONICET Univ Nacl Comahue, INIBIOMA, Lab Fotobiol, Quintral 1250,R8400FRD, San Carlos De Bariloche, Rio Negro, Argentina.</t>
  </si>
  <si>
    <t>geream@comahue-conicet.gob.ar</t>
  </si>
  <si>
    <t>Saad, Juan Francisco/KHY-4593-2024; Gasol, Josep M/B-1709-2008</t>
  </si>
  <si>
    <t>Saad, Juan Francisco/0000-0002-4482-8892; Gerea, Marina/0000-0003-3143-8737; Unrein, Fernando/0000-0002-8592-1858; Gasol, Josep M/0000-0001-5238-2387</t>
  </si>
  <si>
    <t>Consejo Superior de Investigaciones Cientificas-Consejo Nacional de Investigaciones Cientificas y Tecnicas (CSIC-CONICET) (Spain-Argentina) Project PROBA [AR0018]; Spanish Project MIXANTAR [REN 2002-11396-E/ ANT]; Argentinean FONCYT [PICT 01-06035, PICT 32732, CONICET PIP 418, UBACYT Y 018]; CONICET fellowships</t>
  </si>
  <si>
    <t>Consejo Superior de Investigaciones Cientificas-Consejo Nacional de Investigaciones Cientificas y Tecnicas (CSIC-CONICET) (Spain-Argentina) Project PROBA; Spanish Project MIXANTAR; Argentinean FONCYT(FONCyT); CONICET fellowships(Consejo Nacional de Investigaciones Cientificas y Tecnicas (CONICET))</t>
  </si>
  <si>
    <t>We thank Rodrigo Sinistro, M. Laura Sanchez, Cristina Marinone, Guillermo Tell, Adrian Rua, M. Romina Schiaffino and Enrique Moreno Diaz for their collaboration during different field campaigns. We are also grateful to the members of Antarctic Esperanza Station for their logistic support and to Amalia Denegri for her helpful support with the editing of the maps. This study was financed by the Consejo Superior de Investigaciones Cientificas-Consejo Nacional de Investigaciones Cientificas y Tecnicas (CSIC-CONICET) (Spain-Argentina) Project PROBA (2007 AR0018, CSIC), the Spanish Project MIXANTAR (REN 2002-11396-E/ ANT) and the Argentinean FONCYT projects PICT 01-06035, PICT 32732, CONICET PIP 418 and UBACYT Y 018. M.G. and J.F.S. were supported by CONICET fellowships. I.I., C.Q. and F.U. are CONICET researchers. J.M.G. is a CSIC researcher.</t>
  </si>
  <si>
    <t>0948-3055</t>
  </si>
  <si>
    <t>1616-1564</t>
  </si>
  <si>
    <t>AQUAT MICROB ECOL</t>
  </si>
  <si>
    <t>Aquat. Microb. Ecol.</t>
  </si>
  <si>
    <t>10.3354/ame01780</t>
  </si>
  <si>
    <t>DF4FR</t>
  </si>
  <si>
    <t>WOS:000371303900005</t>
  </si>
  <si>
    <t>Zimovets, AA; Fedorov, YA; Ovsepyan, AE; Mikhailenko, AV; Dotsenko, IV</t>
  </si>
  <si>
    <t>SGEM</t>
  </si>
  <si>
    <t>Zimovets, A. A.; Fedorov, Yu A.; Ovsepyan, A. E.; Mikhailenko, A. V.; Dotsenko, I. V.</t>
  </si>
  <si>
    <t>ABOUT THE FEATURES OF THE MERCURY LEVELS FORMATION IN PRECIPITATION OF THE AZOV SEA AND THE WHITE SEA</t>
  </si>
  <si>
    <t>ECOLOGY, ECONOMICS, EDUCATION AND LEGISLATION, VOL I</t>
  </si>
  <si>
    <t>International Multidisciplinary Scientific GeoConference-SGEM</t>
  </si>
  <si>
    <t>15th International Multidisciplinary Scientific Geoconference (SGEM)</t>
  </si>
  <si>
    <t>JUN 18-24, 2015</t>
  </si>
  <si>
    <t>Albena, BULGARIA</t>
  </si>
  <si>
    <t>Precipitation; mercury; northern and southern parts of ETR; Azov Sea and the White Sea</t>
  </si>
  <si>
    <t>SNOW</t>
  </si>
  <si>
    <t>Precipitation is an important source of heavy metals in terrestrial and aquatic ecosystems, especially, in the cold season. At the present the mercury has recognized as one of the priority pollutants, because it has high toxicity, a wide range of applications in the human activities and the ability to be a long time in the atmosphere. In addition, there are regions with high natural levels of mercury in all components of the landscape, in particular - the Azov-Black Sea basin. Despite the fact that high concentrations of the mercury were found in the atmosphere of the Arctic and Antarctic regions, these regions are still characterized by a relatively low contamination. That's why interesting to compare the levels of mercury in precipitation at the northern and southern parts of European territory of Russia (ETR) of scientific and practical sense.</t>
  </si>
  <si>
    <t>[Zimovets, A. A.; Fedorov, Yu A.; Ovsepyan, A. E.; Mikhailenko, A. V.; Dotsenko, I. V.] Southern Fed Univ, Inst Earth Sci, Rostov Na Donu, Russia</t>
  </si>
  <si>
    <t>Southern Federal University</t>
  </si>
  <si>
    <t>Zimovets, AA (corresponding author), Southern Fed Univ, Inst Earth Sci, Rostov Na Donu, Russia.</t>
  </si>
  <si>
    <t>Fedorov, Yury A/K-5578-2017; Mikhailenko, Anna/A-8847-2017; Ovsepyan, Asya E/G-5778-2016; Zimovets, Alina/J-4950-2016</t>
  </si>
  <si>
    <t>Mikhailenko, Anna/0000-0003-1156-770X; Ovsepyan, Asya E/0000-0002-6914-2539; Zimovets, Alina/0000-0002-6552-4978</t>
  </si>
  <si>
    <t>STEF92 TECHNOLOGY LTD</t>
  </si>
  <si>
    <t>SOFIA</t>
  </si>
  <si>
    <t>1 ANDREY LYAPCHEV BLVD, SOFIA, 1797, BULGARIA</t>
  </si>
  <si>
    <t>1314-2704</t>
  </si>
  <si>
    <t>978-619-7105-39-1</t>
  </si>
  <si>
    <t>INT MULTI SCI GEOCO</t>
  </si>
  <si>
    <t>BE3JR</t>
  </si>
  <si>
    <t>WOS:000370813400003</t>
  </si>
  <si>
    <t>Hristozova, M; Denkova, D; Yordanova, I; Rangelov, V; Alyakov, M</t>
  </si>
  <si>
    <t>Hristozova, Milena; Denkova, Desislava; Yordanova, Ivanka; Rangelov, Velko; Alyakov, Mitko</t>
  </si>
  <si>
    <t>PRESENCE OF NATURAL AND ARTIFICIAL RADIONUCLIDES IN SOIL AND TERRESTRIAL FAUNA OF LIVINGSTON ISLAND, ANTARCTICA</t>
  </si>
  <si>
    <t>natural and artificial radionuclides; Livingston Island; Antarctica</t>
  </si>
  <si>
    <t>Antarctica is the least-studied region of the earth. The aim of the study is to determine the concentrations of natural and artificial radio nuclides in the soil, their transmission in terrestrial plants. and its major role in understanding the behavior of radioisotopes in an ecosystem. Antarctic has not suffered a direct action of human activities that released radioactive elements. The global fallout are the main cause for the presence of artificial radionuclides present in this environment and the registered levels of 137Cs in this study indicate this. The concentration and activity of Cesium-137 in the soil as in mosses, lichens and samples from volcanic ash have been estimated. The results for Cs-137 and Sr-90 activity in soils were compared and discussed.</t>
  </si>
  <si>
    <t>[Hristozova, Milena; Rangelov, Velko; Alyakov, Mitko] Mil Med Acad, Dept Radiat Protect, Sofia, Bulgaria; [Denkova, Desislava] Natl Inst Meteorol &amp; Hydrol BAS, Sofia, Bulgaria; [Yordanova, Ivanka] Inst Soil Sci Nikola Poushkarov, Sofia, Bulgaria</t>
  </si>
  <si>
    <t>Military Medical Academy Sofia; Agricultural Academy - Bulgaria</t>
  </si>
  <si>
    <t>Hristozova, M (corresponding author), Mil Med Acad, Dept Radiat Protect, Sofia, Bulgaria.</t>
  </si>
  <si>
    <t>Hristozova, Milena/KGM-5548-2024; Yordanova, Ivanka/K-1702-2017</t>
  </si>
  <si>
    <t>WOS:000370813400090</t>
  </si>
  <si>
    <t>Subramanyam, KSV; Reddy, UVB; Balaram, V; Roy, P</t>
  </si>
  <si>
    <t>Subramanyam, K. S. V.; Reddy, U. V. B.; Balaram, V.; Roy, Parijat</t>
  </si>
  <si>
    <t>PETROGRAPHY AND GEOCHEMISTRY (TRACE, REE AND PGE) OF PEDDA CHERLO PALLE GABBRO-DIORITE PLUTON, PRAKASAM IGNEOUS PROVINCE, ANDHRA PRADESH, INDIA</t>
  </si>
  <si>
    <t>OPEN GEOSCIENCES</t>
  </si>
  <si>
    <t>Prakasam Igneous Province; Gabbros; IAT; PGE; Fractional Crystalisation</t>
  </si>
  <si>
    <t>PLATINUM-GROUP ELEMENTS; MANTLE; ROCKS; PETROLOGY; DISTRICT; BASALTS; PETROGENESIS; CONSTRAINTS; FRACTIONATION; HETEROGENEITY</t>
  </si>
  <si>
    <t>Prakasam Igneous Province (PIP) is an important geological domain in the Eastern Dharwar Craton (EDC), found in the junction zone between the EDC and Eastern Ghat Mobile Belt (EGMB). The Pedda Cherlo Palle (PCP) gabbros are massive, leucocratic-mesocractic, and show cumulus textures with minerals plagioclase, cpx, and amphiboles. Compositionally, plagioclase is a labradorite-bytownite, cpx is diopside to augite, olivines are hyalosiderites and amphiboles are magnesiohornblendes. PCP gabbros have normal SiO2, high Al2O3, moderate to high TiO2, Na2O and medium Fe2O3, so, classified as subalkaline tholeiitic gabbros. Fractionated rare earth element (REE) patterns, high abundance of large ion lithofile elements (LILE) and transitional metals coupled with light REE (LREE) relative enrichment over heavy REE (HREE) and Nb are characteristics of partial melting of depleted mantle and melts that have undergone fractional crystalisation. These partial melts are enriched in LREE and LILE, due to the addition of slab derived sediment and fluids. PCP gabbros contain low abundance (5.1 to 24.6 ng/g) of platinum group elements (PGE), and show an increase in the order Ir&gt; Os&gt; Pt&gt; Ru &gt;&gt; Pd&gt; Rh. We propose that the subduction related intraoceanic island arc might have accreted to the southeastern margin of India to the east of Cuddapah basin in a collisional regime that took place during Ur to Rodinia amalgamations.</t>
  </si>
  <si>
    <t>[Subramanyam, K. S. V.; Balaram, V.] CSIR Natl Geophys Res Inst, Hyderabad 500007, Andhra Pradesh, India; [Reddy, U. V. B.] Osmania Univ, Dept Appl Geochem, Hyderabad 500007, Andhra Pradesh, India; [Roy, Parijat] Natl Ctr Antarctic &amp; Ocean Res, Vasco Da Gama, Goa, India</t>
  </si>
  <si>
    <t>Council of Scientific &amp; Industrial Research (CSIR) - India; CSIR - National Geophysical Research Institute (NGRI); Osmania University; Ministry of Earth Sciences (MoES) - India; National Centre for Polar and Ocean Research (NCPOR)</t>
  </si>
  <si>
    <t>Subramanyam, KSV (corresponding author), CSIR Natl Geophys Res Inst, Hyderabad 500007, Andhra Pradesh, India.</t>
  </si>
  <si>
    <t>ksvsubramanyam@yahoo.com</t>
  </si>
  <si>
    <t>CSIR, New Delhi; NGRI Hyderabad [MLP-6201-28]</t>
  </si>
  <si>
    <t>CSIR, New Delhi(Council of Scientific &amp; Industrial Research (CSIR) - India); NGRI Hyderabad</t>
  </si>
  <si>
    <t>The authors are grateful to Director CSIR-NGRI for his kind permission to publish this work. The authors are thankful to CSIR, New Delhi and NGRI Hyderabad for providing necessary funding for field and analytical work under MLP-6201-28(VB) project funds. The authors are thankful to the anonymous reviewers for their valuable comments that improved the manuscript. We express our gratitude to Prof. L.G. Gwalani and Prof. K.K. Randive for giving us an opportunity to contribute this article and also for its incorporation in the present publication (Part-II) brought out in the honour of Prof. (Dr.) L. N. Kogarko of the Moscow State University.</t>
  </si>
  <si>
    <t>SCIENDO</t>
  </si>
  <si>
    <t>WARSAW</t>
  </si>
  <si>
    <t>DE GRUYTER POLAND SP Z O O, BOGUMILA ZUGA 32A STR, 01-811 WARSAW, POLAND</t>
  </si>
  <si>
    <t>2391-5447</t>
  </si>
  <si>
    <t>OPEN GEOSCI</t>
  </si>
  <si>
    <t>Open Geosci.</t>
  </si>
  <si>
    <t>10.1515/geo-2015-0014</t>
  </si>
  <si>
    <t>DF3YF</t>
  </si>
  <si>
    <t>WOS:000371283800017</t>
  </si>
  <si>
    <t>Fryday, AM</t>
  </si>
  <si>
    <t>Fryday, Alan M.</t>
  </si>
  <si>
    <t>A new checklist of lichenised, lichenicolous and allied fungi reported from South Africa</t>
  </si>
  <si>
    <t>BOTHALIA</t>
  </si>
  <si>
    <t>FAMILY PARMELIACEAE ASCOMYCOTINA; PRINCE-EDWARD ISLANDS; LICHENOLOGICAL EXPLORATION; LINNAEUS; TIME</t>
  </si>
  <si>
    <t>Background: The last comprehensive list of lichenised, lichenicolous and allied fungi reported from South Africa was published in 1950. A checklist is important to provide basic information on the extent of the diversity, and to provide the most recent name and classification. Objective: To present a list of all the lichenised, lichenicolous and allied fungi reported from South Africa. Methods: The list presented is entirely literature based and no attempt has been made to check the report of any taxa or their status by checking the specimens upon which they are based. Firstly, all taxa that were not reported from within the modern boundaries of South Africa were excluded. Next, the Recent literature on lichens database was searched for literature on South African lichens since 1945 and all references checked for new species or new reports, which were then added to the list. These names were then checked against Index Fungorum to ensure that the most current name was being used. Finally, the list was rationalised by excluding all synonyms and dubious infraspecific taxa. Results: The current list includes 1750 taxa in 260 genera from mainland South Africa, with an additional 100 species and 23 genera from the sub-Antarctic Prince Edward Islands, which are treated separately. The replacement name Verrucaria dagolavii Fryday is proposed for Verrucaria umbilicata Ovstedal. Conclusion: It is estimated that, when fully explored, the lichen biota of South Africa will consist of somewhere between 2500 and 3000 taxa.</t>
  </si>
  <si>
    <t>[Fryday, Alan M.] Michigan State Univ, Dept Plant Biol, E Lansing, MI 48824 USA</t>
  </si>
  <si>
    <t>Michigan State University</t>
  </si>
  <si>
    <t>Fryday, AM (corresponding author), Plant Biol Labs, Dept Plant Biol, 612 Wilson Rd, E Lansing, MI 48824 USA.</t>
  </si>
  <si>
    <t>fryday@msu.edu</t>
  </si>
  <si>
    <t>Fryday, Alan/0000-0002-5310-9232</t>
  </si>
  <si>
    <t>AOSIS OPEN JOURNALS</t>
  </si>
  <si>
    <t>CAPE TOWN</t>
  </si>
  <si>
    <t>POSTNET SUITE 55, PRIVATE BAG X22, TYGERVALLEY, CAPE TOWN, 00000, SOUTH AFRICA</t>
  </si>
  <si>
    <t>0006-8241</t>
  </si>
  <si>
    <t>2311-9284</t>
  </si>
  <si>
    <t>Bothalia</t>
  </si>
  <si>
    <t>10.4102/abc.v45i1.148</t>
  </si>
  <si>
    <t>DD3MO</t>
  </si>
  <si>
    <t>WOS:000369826500003</t>
  </si>
  <si>
    <t>Park, HJ; Yeon, I; Han, E; Lee, YJ; Hanchet, SM; Baeck, GW; Kwon, Y; Choi, SG; Lee, DW; Kang, CK</t>
  </si>
  <si>
    <t>Park, H. J.; Yeon, I.; Han, E.; Lee, Y. J.; Hanchet, S. M.; Baeck, G. W.; Kwon, Y.; Choi, S. G.; Lee, D. W.; Kang, C. K.</t>
  </si>
  <si>
    <t>Diet study of Antarctic toothfish caught in the east Antarctic based on stomach content, fatty acid and stable isotope analyses</t>
  </si>
  <si>
    <t>CCAMLR SCIENCE</t>
  </si>
  <si>
    <t>ROSS SEA; DISSOSTICHUS-MAWSONI; FOOD-WEB; LIPID EXTRACTION; CARBON ISOTOPES; FISH; INDICATORS; NITROGEN; MARINE; RATIOS</t>
  </si>
  <si>
    <t>To identify the major prey items for Antarctic toothfish (Dissostichus mawsoni) in the small-scale research unit (SSRU) 5841C in the east Antarctic, their stomach contents, fatty acid (FA) compositions and stable carbon and nitrogen isotope ratios were determined and compared with those of species caught as by-catch and collected from toothfish stomachs. Stomach content analyses showed that Antarctic toothfish fed primarily on fish and to a lesser extent squid. FA profiles in muscle tissues of Antarctic toothfish were very similar to those of Channichthyidae caught as by-catch and several species collected from toothfish stomachs, including unidentified icefish, Arctozenus risso, Macrourus spp., and Gymnodraco acuticeps, indicating a trophic connection between them. d15N values of Antarctic toothfish were higher than for the other species collected, indicating a higher trophic position. This is the first study to provide information on the diet of Antarctic toothfish and the trophic relationship between the toothfish and other species in the east Antarctic using these methods. Further studies on the trophic relationship between Antarctic toothfish and other species and a regional comparison of their dietary composition by the collection and subsequent biomarker analyses of more species is needed to understand better the carbon flow through Antarctic ecosystems.</t>
  </si>
  <si>
    <t>[Park, H. J.; Han, E.; Lee, Y. J.; Kang, C. K.] GIST, Sch Environm Sci &amp; Engn, Gwangju 500712, South Korea; [Park, H. J.] Gangneung Wonju Natl Univ, Dept Marine Resource Dev, Kangnung 210702, South Korea; [Yeon, I.; Kwon, Y.; Choi, S. G.; Lee, D. W.] Natl Fisheries Res &amp; Dev Inst, Fisheries Resources Res Div, Busan 619705, South Korea; [Hanchet, S. M.] Natl Inst Water &amp; Atmospher Res NIWA Ltd, POB 893, Nelson, New Zealand; [Baeck, G. W.] Gyeongsang Natl Univ, Dept Marine Biol &amp; Aquaculture, Tongyeong 650160, South Korea</t>
  </si>
  <si>
    <t>Gwangju Institute of Science &amp; Technology (GIST); Kangnung Wonju National University; National Institute of Water &amp; Atmospheric Research (NIWA) - New Zealand; Gyeongsang National University</t>
  </si>
  <si>
    <t>Kang, CK (corresponding author), GIST, Sch Environm Sci &amp; Engn, Gwangju 500712, South Korea.</t>
  </si>
  <si>
    <t>ckkang@gist.ac.kr</t>
  </si>
  <si>
    <t>Kang, Chang-Keun/GLR-8512-2022</t>
  </si>
  <si>
    <t>National Fisheries Research &amp; Development Institute (Republic of Korea) [RP-2013-FR-043]</t>
  </si>
  <si>
    <t>National Fisheries Research &amp; Development Institute (Republic of Korea)</t>
  </si>
  <si>
    <t>We express our deep thanks to the three observers Bokmin Lee, Junho Wang and Vladimir Akishin for their worthful cooperation and help throughout the survey for collection of data and samples. We also thank the captain, Sungmun Choi and crews of Insung No. 3 for excellent cooperation during the survey and Insung Ltd. for supporting the vessel to carry out the survey. We appreciate useful comments on the manuscript provided by two reviewers. This research was supported by National Fisheries Research &amp; Development Institute (Republic of Korea) grant (RP-2013-FR-043).</t>
  </si>
  <si>
    <t>C C A M L R TI</t>
  </si>
  <si>
    <t>NORTH HOBART</t>
  </si>
  <si>
    <t>PO BOX 213, NORTH HOBART, TAS 7002, AUSTRALIA</t>
  </si>
  <si>
    <t>1023-4063</t>
  </si>
  <si>
    <t>CCAMLR SCI</t>
  </si>
  <si>
    <t>CCAMLR Sci.</t>
  </si>
  <si>
    <t>DD4HY</t>
  </si>
  <si>
    <t>WOS:000369884300003</t>
  </si>
  <si>
    <t>Gouiric-Cavalli, S; Cabrera, DA; Cione, AL; O'Gorman, JP; Coria, RA; Fernández, MS</t>
  </si>
  <si>
    <t>Gouiric-Cavalli, Soledad; Cabrera, Daniel A.; Cione, Alberto L.; O'Gorman, Jose P.; Coria, Rodolfo A.; Fernandez, Marta S.</t>
  </si>
  <si>
    <t>THE FIRST RECORD OF THE CHIMAEROID GENUS EDAPHODON (CHONDRICHTHYES, HOLOCEPHALI) FROM ANTARCTICA (SNOW HILL ISLAND FORMATION, LATE CRETACEOUS, JAMES ROSS ISLAND)</t>
  </si>
  <si>
    <t>SEYMOUR ISLAND; MARAMBIO GROUP; STRATIGRAPHY; LAKUMASAURUS; SQUAMATA; DINOSAUR; BEARING; HABITS</t>
  </si>
  <si>
    <t>A new species of an edaphodontid holocephalian, Edaphodon snowhillensis, sp. nov., is described based on a complete dentition collected in the late Campanian Herbert Sound Member of the Snow Hill Island Formation of James Ross Island, Antarctica. The dentition consists of paired vomerine, mandibular, and palatine tooth plates, which are almost completely preserved. The new species is characterized by a unique character combination out of which the presence of a subquadrangular vomerine tooth plate and a horse-hoof-shaped anterior outer tritor in the mandibular tooth plates appear to be unique characters among the edaphodontids. Edaphodon snowhillensis, sp. nov., represents the most complete dentition of a holocephalian fish from the Southern Hemisphere and the earliest record of the genus Edaphodon from the Antarctic continent and the Weddellian Biogeographic Province. Also, E. snowhillensis, sp. nov., is the southernmost specimen of this genus and according to the size of the tooth plates is one of the largest chimaeroid fish known.</t>
  </si>
  <si>
    <t>[Gouiric-Cavalli, Soledad; Cabrera, Daniel A.; Cione, Alberto L.; O'Gorman, Jose P.; Fernandez, Marta S.] Museo La Plata, Div Paleontol Vertebrados, CONICET, B1900FWA, La Plata, Buenos Aires, Argentina; [Coria, Rodolfo A.] Univ Nacl Rio Negro, CONICET, Subsecretaria Cultura Neuquen, Museo Carmen Funes, Neuquen, Argentina</t>
  </si>
  <si>
    <t>Consejo Nacional de Investigaciones Cientificas y Tecnicas (CONICET); National University of La Plata; Museo La Plata; Consejo Nacional de Investigaciones Cientificas y Tecnicas (CONICET)</t>
  </si>
  <si>
    <t>Gouiric-Cavalli, S (corresponding author), Museo La Plata, Div Paleontol Vertebrados, CONICET, B1900FWA, La Plata, Buenos Aires, Argentina.</t>
  </si>
  <si>
    <t>sgouiric@fcnym.unlp.edu.ar; dcabrera@fcnym.unlp.edu.ar; acione@fcnym.unlp.edu.ar; joseogorman@fcnym.unlp.edu.ar; rcoria@unrn.edu.ar; martafer@fcnym.unlp.edu.ar</t>
  </si>
  <si>
    <t>Coria, Rodolfo/JXM-9875-2024; O’Gorman, José/AAK-6096-2021</t>
  </si>
  <si>
    <t>Fernandez, Marta/0000-0001-6935-7575</t>
  </si>
  <si>
    <t>Universidad Nacional del Comahue, INIBIOMA [MLP 13-I-26-1]; Consejo Nacional de Investigaciones Cientificas y Tecnicas; Agencia Nacional de Promocion Cientifica y Tecnologica; Instituto Antartico Argentino</t>
  </si>
  <si>
    <t>Universidad Nacional del Comahue, INIBIOMA; Consejo Nacional de Investigaciones Cientificas y Tecnicas(Consejo Nacional de Investigaciones Cientificas y Tecnicas (CONICET)); Agencia Nacional de Promocion Cientifica y Tecnologica(ANPCyTSpanish Government); Instituto Antartico Argentino</t>
  </si>
  <si>
    <t>We thank A. Iglesias (Universidad Nacional del Comahue, INIBIOMA) for finding the specimen MLP 13-I-26-1, M. Reguero (curator of fossil collection of the Museo de La Plata and present manager of the paleontological campaigns of the Instituto Antartico of Argentina) for allowing us to study the material under his care, L. L. Rasia for help with some of the drawings, M. Alegria and L. Acosta for technical preparation of the holotype, and K. Kamra for English editing. This research was partially funded by the Consejo Nacional de Investigaciones Cientificas y Tecnicas, Agencia Nacional de Promocion Cientifica y Tecnologica, and the Instituto Antartico Argentino. We thank the editor (Charlie Underwood), J. Kriwet, and an anonymous reviewer who provided helpful suggestions and comments.</t>
  </si>
  <si>
    <t>e981128</t>
  </si>
  <si>
    <t>10.1080/02724634.2015.981128</t>
  </si>
  <si>
    <t>DD3JJ</t>
  </si>
  <si>
    <t>WOS:000369818100017</t>
  </si>
  <si>
    <t>Tambussi, CP; Degrange, FJ; Ksepka, DT</t>
  </si>
  <si>
    <t>Tambussi, Claudia P.; Degrange, Federico J.; Ksepka, Daniel T.</t>
  </si>
  <si>
    <t>ENDOCRANIAL ANATOMY OF ANTARCTIC EOCENE STEM PENGUINS: IMPLICATIONS FOR SENSORY SYSTEM EVOLUTION IN SPHENISCIFORMES (AVES)</t>
  </si>
  <si>
    <t>RELATIVE BRAIN SIZE; RETE-MIRABILE-OPHTHALMICUM; MARAMBIO SEYMOUR ISLAND; SEMICIRCULAR CANALS; DIMETHYL SULFIDE; FOSSIL PENGUINS; COMPARATIVE MORPHOLOGY; AVIAN CEREBELLUM; GIANT PENGUIN; BIRDS</t>
  </si>
  <si>
    <t>Penguins have a more than 60 million year long evolutionary history. Thus, stem lineage fossil taxa are key to understanding their evolution. Here, we present data on three virtual endocasts from stem penguin skulls collected from the Eocene La Meseta Formation of Seymour Island (Antarctica), along with comparative data from extant penguins and outgroups. These fossils appear to belong to three distinct species, and represent both the oldest (34.2 Ma) and the most basal penguin taxa that have yielded endocast data. Data collected from the fossils provide new support for several important shifts in neuroanatomy and cranial skeletal anatomy along the transition from stem to crown penguins, including (1) caudal expansion of the eminentia sagittalis, (2) an increase in the overlap of the telencephalon onto the cerebellum, (3) reduction of the bulbus olfactorius, and (4) loss of the interaural pathway. The large semicircular canal diameters of the Antarctic fossils as well as the more crownward stem penguin Paraptenodytes antarcticus together suggest that canal size increased in basal penguins relative to outgroup taxa but later decreased near the crown radiation. As in most other wing-propelled diving birds, the endocasts lack evidence of cerebellar folds and possess a relatively large floccular recess. Several aspects of the endocast morphology, including the exposure of the tectum opticum in dorsal view and the rostral displacement of the eminentia sagittalis away from the border of the cerebellum, are seen neither in crown penguins nor in Procellariiformes (the extant sister clade to Sphenisciformes) and so appear to represent unique characters of these stem taxa.</t>
  </si>
  <si>
    <t>[Tambussi, Claudia P.; Degrange, Federico J.] Univ Nacl Cordoba, Consejo Nacl Invest Cient &amp; Tecn, Ctr Invest Ciencias Tierra, Ave Velez Sarsfield 1611,X5016GCA, RA-5000 Cordoba, Argentina; [Degrange, Federico J.] Univ Nacl Cordoba, Fac Ciencias Exactas Fis &amp; Nat, Ctr Invest Paleobiol, RA-5000 Cordoba, Argentina; [Ksepka, Daniel T.] Natl Evolutionary Synth Ctr, Durham, NC 27705 USA; [Ksepka, Daniel T.] N Carolina State Univ, Raleigh, NC 27695 USA; [Ksepka, Daniel T.] Bruce Museum, Greenwich, CT 06830 USA</t>
  </si>
  <si>
    <t>Consejo Nacional de Investigaciones Cientificas y Tecnicas (CONICET); National University of Cordoba; National University of Cordoba; The National Evolutionary Synthesis Center; North Carolina State University</t>
  </si>
  <si>
    <t>Tambussi, CP (corresponding author), Univ Nacl Cordoba, Consejo Nacl Invest Cient &amp; Tecn, Ctr Invest Ciencias Tierra, Ave Velez Sarsfield 1611,X5016GCA, RA-5000 Cordoba, Argentina.</t>
  </si>
  <si>
    <t>tambussi.claudia@conicet.gov.ar; fjdino@gmail.com; dksepka@brucemuseum.org</t>
  </si>
  <si>
    <t>NFS [DEB 0949899]; PICTO [0093]; PIP [0437]; UNLP [N671]; Division Of Earth Sciences; Directorate For Geosciences [1258878] Funding Source: National Science Foundation</t>
  </si>
  <si>
    <t>NFS; PICTO; PIP; UNLP(National University of La Plata); Division Of Earth Sciences; Directorate For Geosciences(National Science Foundation (NSF)NSF - Directorate for Geosciences (GEO))</t>
  </si>
  <si>
    <t>We wish to thank reviewers S. Walsh and S. Kawabe and editor T. Worthy for constructive comments that greatly improved the manuscript. We thank M. Reguero, J. O'Gorman, and J. Moly for capable field assistance in Antarctica. For support with CT scanning and data management, we thank G. Alcuaz and J. I. Cuesta (Hospital San Juan de Dios, La Plata, Argentina). D. Porrini (Universidad Nacional de Mar del Plata, Argentina) kindly donated the Spheniscus magellanicus specimen for dissection. M. Sol Bayer and M. Romero Lebron assisted during dissection. We thank L. Witmer for constructive suggestions for improvements and J. Marugan-Lobon for providing references. Research support was provided by NFS DEB 0949899 (to D.T.K.) and awards PICTO 0093, PIP 0437, and UNLP N671 (to C.P.T.).</t>
  </si>
  <si>
    <t>e981635</t>
  </si>
  <si>
    <t>10.1080/02724634.2015.981635</t>
  </si>
  <si>
    <t>WOS:000369818100019</t>
  </si>
  <si>
    <t>Lee, J; Lee, H; Lee, J; Choi, J; Park, H</t>
  </si>
  <si>
    <t>Lee, Jungeun; Lee, Hyoungseok; Lee, Jongkyu; Choi, Jungeun; Park, Hyun</t>
  </si>
  <si>
    <t>Complete mitochondrial genome of the Antarctic silverfish, Pleuragramma antarcticum (Perciformes, Nototheniidae)</t>
  </si>
  <si>
    <t>MITOCHONDRIAL DNA</t>
  </si>
  <si>
    <t>Antarctic; complete mitochondrial genome; Pleuragramma antarcticum</t>
  </si>
  <si>
    <t>FOOD</t>
  </si>
  <si>
    <t>The complete sequence of the mitochondrial genome of Pleuragramma antarcticum was obtained from the assembled genome data. The complete sequence was determined to be 18,460 bp in length, containing 13 protein coding genes, 22 tRNA genes, 2 rRNA genes, 2 control regions and a repeat. The general order and contents of the genes are identical with those of other fishes. The Antarctic notothenioid-specific translocation of ND6/tRNA(Glu) exists in the mitogenome. Pleuragramma antarcticum is the only pelagic species which dominates Antarctic fish fauna by more than 90%. Thus, the whole mitogenome sequences of P. antarcticum will provide the basis to understand the deep phylogeny of the Antarctic species.</t>
  </si>
  <si>
    <t>[Lee, Jungeun; Lee, Hyoungseok; Lee, Jongkyu; Choi, Jungeun; Park, Hyun] Korea Polar Res Inst, Div Polar Life Sci, Inchon 406840, South Korea</t>
  </si>
  <si>
    <t>Korea Institute of Ocean Science &amp; Technology (KIOST); Korea Polar Research Institute (KOPRI)</t>
  </si>
  <si>
    <t>Park, H (corresponding author), Korea Polar Res Inst, Div Polar Life Sci, Inchon 406840, South Korea.</t>
  </si>
  <si>
    <t>hpark@kopri.re.kr</t>
  </si>
  <si>
    <t>Lee, Hyoungseok/0000-0002-5831-6345; Park, Hyun/0000-0002-8055-2010</t>
  </si>
  <si>
    <t>Functional Genomics on Polar Organisms grant - Korea Polar Research Institute (KOPRI) [PE13020]</t>
  </si>
  <si>
    <t>Functional Genomics on Polar Organisms grant - Korea Polar Research Institute (KOPRI)</t>
  </si>
  <si>
    <t>The authors report no conflicts of interest. The authors alone are responsible for the content and writing of the paper. This work was supported by Functional Genomics on Polar Organisms grant (PE13020) funded by Korea Polar Research Institute (KOPRI).</t>
  </si>
  <si>
    <t>1940-1736</t>
  </si>
  <si>
    <t>1940-1744</t>
  </si>
  <si>
    <t>MITOCHONDR DNA</t>
  </si>
  <si>
    <t>Mitochondrial DNA</t>
  </si>
  <si>
    <t>10.3109/19401736.2013.861443</t>
  </si>
  <si>
    <t>DD3PL</t>
  </si>
  <si>
    <t>WOS:000369834600035</t>
  </si>
  <si>
    <t>Lee, J; Lee, H; Lee, J; Jo, J; Choi, J; Park, H</t>
  </si>
  <si>
    <t>Lee, Jungeun; Lee, Hyoungseok; Lee, Jongkyu; Jo, Jin; Choi, Jungeun; Park, Hyun</t>
  </si>
  <si>
    <t>Complete mitochondrial genome of the Antarctic icefish, Chaenocephalus aceratus (Perciforms, Channichthyidae)</t>
  </si>
  <si>
    <t>Antarctic; Chaenocephalus aceratus; complete mitochondrial genome</t>
  </si>
  <si>
    <t>GENE-SEQUENCES; FISHES; NOTOTHENIOIDEI; TELEOSTEI; EVOLUTION</t>
  </si>
  <si>
    <t>The complete sequence of the mitochondrial genome of the Antarctic icefish Chaenocephalus aceratus was determined to be 17311 bp in length, and to contain 13 protein coding genes (PCGs), 22 tRNA genes and 2 rRNA genes. The total A+T content is 52.8%. The notothenioidexclusive ND6/tRNA(Glu) translocation was observed in the mitogenome of C. aceratus. Generally, the order and contents of the other genes are identical with those of other fishes. Antarctic icefishes, the only vertebrates which do not have hemoglobins, have evolved to survive subfreezing temperature. Therefore, the whole mitogenome sequences of C. aceratus will provide the insights into resolving the evolutionary history of icefish.</t>
  </si>
  <si>
    <t>[Lee, Jungeun; Lee, Hyoungseok; Lee, Jongkyu; Jo, Jin; Choi, Jungeun; Park, Hyun] Korea Polar Res Inst, Div Polar Life Sci, Inchon 406840, South Korea</t>
  </si>
  <si>
    <t>Park, Hyun/0000-0002-8055-2010; Lee, Hyoungseok/0000-0002-5831-6345</t>
  </si>
  <si>
    <t>10.3109/19401736.2013.861444</t>
  </si>
  <si>
    <t>WOS:000369834600036</t>
  </si>
  <si>
    <t>Cordonnery, L; Kriwoken, L</t>
  </si>
  <si>
    <t>Cordonnery, Laurence; Kriwoken, Lorne</t>
  </si>
  <si>
    <t>Advocating a Larger Role for Environmental Nongovernment Organizations in Developing a Network for Marine Protected Areas in the Southern Ocean</t>
  </si>
  <si>
    <t>OCEAN DEVELOPMENT AND INTERNATIONAL LAW</t>
  </si>
  <si>
    <t>Antarctic and Southern Ocean Coalition; CCAMLR; marine protected areas</t>
  </si>
  <si>
    <t>The Commission for the Conservation of Antarctic Marine Living Resources (CCAMLR) adopted a conservation measure for establishing a network of marine protected areas (MPAs) in 2011. Since then, a number of proposals have been submitted to the Commission, but their designation has been consistently opposed by some pro-fishing CCAMLR member countries. This article provides an analysis of CCAMLR institutional and decision-making processes in an attempt to explain the obstacles preventing the creation of a network of MPAs. The role of environmental nongovernmental organizations (ENGOs) is examined through their track record in Antarctic environmental governance as well as the extent of their participation within the CCAMLR MPA process.</t>
  </si>
  <si>
    <t>[Cordonnery, Laurence; Kriwoken, Lorne] Univ Tasmania, Sch Land &amp; Food, Geog &amp; Spatial Sci, Private Bag 78, Hobart, Tas 7001, Australia</t>
  </si>
  <si>
    <t>Cordonnery, L (corresponding author), Univ Tasmania, Sch Land &amp; Food, Geog &amp; Spatial Sci, Private Bag 78, Hobart, Tas 7001, Australia.</t>
  </si>
  <si>
    <t>0090-8320</t>
  </si>
  <si>
    <t>1521-0642</t>
  </si>
  <si>
    <t>OCEAN DEV INT LAW</t>
  </si>
  <si>
    <t>Ocean Dev. Int. Law</t>
  </si>
  <si>
    <t>10.1080/00908320.2015.1054733</t>
  </si>
  <si>
    <t>International Relations; Law</t>
  </si>
  <si>
    <t>International Relations; Government &amp; Law</t>
  </si>
  <si>
    <t>DD3LO</t>
  </si>
  <si>
    <t>WOS:000369823900002</t>
  </si>
  <si>
    <t>Wilmshurst, JM; McGlone, MS; Turney, CSM</t>
  </si>
  <si>
    <t>Wilmshurst, Janet M.; McGlone, Matt S.; Turney, Chris S. M.</t>
  </si>
  <si>
    <t>Long-term ecology resolves the timing, region of origin and process of establishment for a disputed alien tree</t>
  </si>
  <si>
    <t>AOB PLANTS</t>
  </si>
  <si>
    <t>Alien; Asteraceae; dispersal; facilitation; historical ecology; invasion; Olearia lyallii; palaeoecology; pollen; subantarctic islands</t>
  </si>
  <si>
    <t>ANTARCTIC CAMPBELL ISLAND; NEW-ZEALAND; BIOLOGICAL INVASIONS; AUCKLAND ISLANDS; VEGETATION; POLLEN; SOUTH; CONSERVATION; PERSPECTIVE; PALYNOLOGY</t>
  </si>
  <si>
    <t>Alien plants are a pervasive environmental problem, particularly on islands where they can rapidly transform unique indigenous ecosystems. However, often it is difficult to confidently determine whether a species is native or alien, especially if establishment occurred before historical records. This can present a management challenge: for example, should such taxa be eradicated or left alone until their region of origin and status are clarified? Here we show how combining palaeoecological and historical records can help resolve such dilemmas, using the tree daisy Olearia lyallii on the remote New Zealand subantarctic Auckland Islands as a case study. The status of this tree as native or introduced has remained uncertain for the 175 years since it was first discovered on the Auckland Islands, and its appropriate management is debated. Elsewhere, O. lyallii has a highly restricted distribution on small sea bird-rich islands within a 28 latitudinal band south of mainland New Zealand. Analysis of palaeoecological and historical records from the Auckland Islands suggest that O. lyallii established there c. 1807 when these islands were first exploited by European sealers. Establishment was facilitated by anthropogenic burning and clearing and its subsequent spread has been slow, limited in distribution and probably human-assisted. Olearia lyallii has succeeded mostly in highly disturbed sites which are also nutrient enriched from nesting sea birds, seals and sea spray. This marine subsidy has fuelled the rapid growth of O. lyallii and allowed this tree to be competitive against the maritime communities it has replaced. Although endemic to the New Zealand region, our evidence suggests that O. lyallii is alien to the Auckland Islands. Although such 'native' aliens can pose unique management challenges on islands, in this instance we suggest that ongoing monitoring with no control is an appropriate management action, as O. lyallii appears to pose minimal risk to ecological integrity.</t>
  </si>
  <si>
    <t>[Wilmshurst, Janet M.; McGlone, Matt S.] Landcare Res, POB 69040, Lincoln 7640, New Zealand; [Wilmshurst, Janet M.] Univ Auckland, Sch Environm, Auckland 1142, New Zealand; [Turney, Chris S. M.] Univ New S Wales, Sch Biol Earth &amp; Environm Sci, Sydney, NSW 2052, Australia</t>
  </si>
  <si>
    <t>Landcare Research - New Zealand; University of Auckland; University of New South Wales Sydney</t>
  </si>
  <si>
    <t>Wilmshurst, JM (corresponding author), Landcare Res, POB 69040, Lincoln 7640, New Zealand.</t>
  </si>
  <si>
    <t>wilmshurstj@landcareresearch.co.nz</t>
  </si>
  <si>
    <t>Wilmshurst, Janet/O-8611-2019; Turney, Chris/P-8701-2018</t>
  </si>
  <si>
    <t>Wilmshurst, Janet/0000-0002-4474-8569; Turney, Chris/0000-0001-6733-0993</t>
  </si>
  <si>
    <t>Core Funding for Crown Research Institutes; New Zealand Ministry of Business, Innovation and Employment's Science and Innovation Group</t>
  </si>
  <si>
    <t>Core Funding for Crown Research Institutes; New Zealand Ministry of Business, Innovation and Employment's Science and Innovation Group(New Zealand Ministry of Business, Innovation and Employment (MBIE))</t>
  </si>
  <si>
    <t>Our study was supported by Core Funding for Crown Research Institutes, from the New Zealand Ministry of Business, Innovation and Employment's Science and Innovation Group.</t>
  </si>
  <si>
    <t>2041-2851</t>
  </si>
  <si>
    <t>Aob Plants</t>
  </si>
  <si>
    <t>plv104</t>
  </si>
  <si>
    <t>10.1093/aobpla/plv104</t>
  </si>
  <si>
    <t>DC2DE</t>
  </si>
  <si>
    <t>WOS:000369026600001</t>
  </si>
  <si>
    <t>Veevers, JJ</t>
  </si>
  <si>
    <t>Veevers, J. J.</t>
  </si>
  <si>
    <t>Beach sand of SE Australia traced by zircon ages through Ordovician turbidites and S-type granites of the Lachlan Orogen to Africa/Antarctica: a review</t>
  </si>
  <si>
    <t>AUSTRALIAN JOURNAL OF EARTH SCIENCES</t>
  </si>
  <si>
    <t>detrital zircon; U-Pb ages; Hf isotopes; beach sands; SE Australia; Gamburtsev Subglacial Mountains; East African-Antarctic Orogen</t>
  </si>
  <si>
    <t>DRONNING MAUD LAND; NEW-ENGLAND BATHOLITH; EAST-AFRICAN OROGEN; HOST-ROCK AFFINITY; T-DM AGES; U-PB; DETRITAL ZIRCONS; SOUTHEASTERN AUSTRALIA; FOLD BELT; RECYCLED MICROFOSSILS</t>
  </si>
  <si>
    <t>The Quaternary beach sand of SE Australia, driven northward by southern swell, contains zircons with dominant U-Pb ages of 700-500 Ma, model ages (T-DMC) of 2.2 Ga to 1.0 Ga, and epsilon(Hf) of +12 to -30, indicating a host rock type of granitoids with alkaline affinity. These properties match those of detrital zircons in the Middle Triassic (ca 240 Ma) Hawkesbury Sandstone (T-DMC of 2.1 to 1.0 Ga, epsilon(Hf) of +8 to 40, alkaline granitoids) and the Ordovician (ca 460 Ma) turbidites and ca 430 Ma S-type granitoids of the Lachlan Orogen (T-2DM of 2.0 to 1.0 Ga, epsilon(Hf) of +5 to -30), all of which are identified as proximal provenances. Superimposed are the ca 400 Ma zircons in beaches in the south backed by the 420-375 Ma I-type Bega Batholith, and ca 350 Ma and ca 250 Ma zircons in the north backed by the New England Orogen. The Ordovician turbidites, part of a deep-sea super-fan, were fed by the detritus of the exhumed 700-500 Ma Transgondwanan Supermountains atop the East African-Antarctic Orogen. At the same time, the ancestral Gamburtsev Subglacial Mountains of East Antarctica probably contributed a subsidiary fan of 700-500 Ma sediment. Primary zircons aged 600-500 Ma in igneous and metamorphic rocks in Australia and the ancestral Transantarctic Mountains are minor contributors of the Australian sediments. The properties of the 700-500 Ma primary zircons in the East African-Antarctic Orogen are traceable through the first-cycle Ordovician turbidite and intruding second-cycle granite, and younger sediment, such as the third-cycle Triassic Hawkesbury Sandstone and the third-cycle beach sand. The sand at the northern terminus of the coastal system off Fraser Island spills over the shelf edge into the Tasman Abyssal Plain to reflect in miniature the deep-sea depositional environment of the Ordovician.</t>
  </si>
  <si>
    <t>[Veevers, J. J.] Macquarie Univ, Dept Earth &amp; Planetary Sci, GEMOC ARC Natl Key Ctr, Sydney, NSW 2109, Australia</t>
  </si>
  <si>
    <t>Macquarie University</t>
  </si>
  <si>
    <t>Veevers, JJ (corresponding author), Macquarie Univ, Dept Earth &amp; Planetary Sci, GEMOC ARC Natl Key Ctr, Sydney, NSW 2109, Australia.</t>
  </si>
  <si>
    <t>john.veevers@mq.edu.au</t>
  </si>
  <si>
    <t>GAU, geochemist/H-1985-2016</t>
  </si>
  <si>
    <t>0812-0099</t>
  </si>
  <si>
    <t>1440-0952</t>
  </si>
  <si>
    <t>AUST J EARTH SCI</t>
  </si>
  <si>
    <t>Aust. J. Earth Sci.</t>
  </si>
  <si>
    <t>10.1080/08120099.2015.1053985</t>
  </si>
  <si>
    <t>DC2ZV</t>
  </si>
  <si>
    <t>WOS:000369089300001</t>
  </si>
  <si>
    <t>Klekociuk, AR; Krummel, PB; Tully, MB; Gies, HP; Alexander, SP; Fraser, PJ; Henderson, SI; Javorniczky, J; Shanklin, JD; Schofield, R; Stone, KA</t>
  </si>
  <si>
    <t>Klekociuk, Andrew R.; Krummel, Paul B.; Tully, Matthew B.; Gies, H. Peter; Alexander, Simon P.; Fraser, Paul J.; Henderson, Stuart I.; Javorniczky, John; Shanklin, Jonathon D.; Schofield, Robyn; Stone, Kane A.</t>
  </si>
  <si>
    <t>The Antarctic Ozone Hole during 2013</t>
  </si>
  <si>
    <t>AUSTRALIAN METEOROLOGICAL AND OCEANOGRAPHIC JOURNAL</t>
  </si>
  <si>
    <t>We review the 2013 Antarctic ozone hole, making use of various ground-based, in-situ and remotely-sensed ozone measurements, ground-based measurements of ultraviolet radiation and meteorological reanalyses. Based on analysis of 34 years of satellite records spanning 1979-2013 (which excludes 1995), we find that in terms of maximum area, minimum ozone level and total ozone deficit, the ozone hole in 2013 was typical of other years of moderate ozone loss. The estimated integrated ozone mass effectively depleted within the ozone hole of 2013 was approximately 1037 Mt, which was the 17th largest deficit on record and 41% of the peak deficit observed in 2006. Anomalously cold winter temperatures in the lower stratosphere over Antarctica and concurrent strong and stable vortex conditions favoured the potential for strong ozone depletion in 2013. However, anomalous warming of the polar vortex that occurred from late August limited the overall severity of ozone depletion during spring, and resulted in the relatively early breakup of the ozone hole in mid-November.</t>
  </si>
  <si>
    <t>[Klekociuk, Andrew R.; Alexander, Simon P.] Australian Antarctic Div, Antarctic &amp; Global Syst, Hobart, Tas, Australia; [Klekociuk, Andrew R.; Alexander, Simon P.] Antarctic Climate &amp; Ecosyst Cooperat Res Ctr, Hobart, Tas, Australia; [Krummel, Paul B.; Fraser, Paul J.] CSIRO Oceans &amp; Atmosphere Flagship, Melbourne, Vic, Australia; [Tully, Matthew B.] Bur Meteorol, Melbourne, Vic, Australia; [Gies, H. Peter; Henderson, Stuart I.; Javorniczky, John] Australian Radiat Protect &amp; Nucl Safety Agcy, Melbourne, Vic, Australia; [Shanklin, Jonathon D.] British Antarctic Survey, Cambridge CB3 0ET, England; [Schofield, Robyn; Stone, Kane A.] Univ Melbourne, Sch Earth Sci, Melbourne, Vic, Australia; [Schofield, Robyn; Stone, Kane A.] Univ New S Wales, ARC Ctr Excellence Climate Syst Sci, Sydney, NSW 2052, Australia</t>
  </si>
  <si>
    <t>Australian Antarctic Division; Antarctic Climate &amp; Ecosystems Cooperative Research Centre (ACE CRC); Melbourne Genomics Health Alliance; Commonwealth Scientific &amp; Industrial Research Organisation (CSIRO); Bureau of Meteorology - Australia; UK Research &amp; Innovation (UKRI); Natural Environment Research Council (NERC); NERC British Antarctic Survey; University of Melbourne; Melbourne Bioinformatics; University of New South Wales Sydney; ARC Centre of Excellence for Climate System Science</t>
  </si>
  <si>
    <t>Klekociuk, AR (corresponding author), Australian Antarctic Div, Hobart, Tas, Australia.</t>
  </si>
  <si>
    <t>Andrew.Klekociuk@aad.gov.au</t>
  </si>
  <si>
    <t>Krummel, Paul B/A-4293-2013; Fraser, Paul J. B./D-1755-2012; Tully, Matthew/AAG-1730-2020; Schofield, Robyn/A-4062-2010; Klekociuk, Andrew/A-4498-2015</t>
  </si>
  <si>
    <t>Krummel, Paul B/0000-0002-4884-3678; Tully, Matthew/0000-0002-6153-5610; Schofield, Robyn/0000-0002-4230-717X; Klekociuk, Andrew/0000-0003-3335-0034; Alexander, Simon/0000-0001-6823-8857</t>
  </si>
  <si>
    <t>Department of Environment; Canadian Space Agency; Australian Antarctic Science programme [4012]</t>
  </si>
  <si>
    <t>Department of Environment; Canadian Space Agency(Canadian Space Agency); Australian Antarctic Science programme</t>
  </si>
  <si>
    <t>We acknowledge the Department of Environment for support of this work, and the assistance of the following people: Jeff Ayton and the Australian Antarctic Division's Antarctic Medical Practitioners in collecting the solar UV data, BoM observers for collecting upper air measurements, and for expeditioners of the British Antarctic Survey for collecting the Halley measurements. Odin is currently a third-party mission for the European Space Agency. OSIRIS operations and data retrievals are primarily supported by the Canadian Space Agency. The OMI ozone data are courtesy of the Ozone Processing Team at NASA Goddard Space Flight Center. Aura/MLS data used in this study were acquired as part of the NASA's Earth-Sun System Division and archived and distributed by the Goddard Earth Sciences (GES) Data and Information Services Center (DISC) Distributed Active Archive Center (DAAC). UKMO data were obtained from the British Atmospheric Data Centre (http://badc.nerc.ac.uk). NCEP-DOE Reanalysis 2 data provided by the NOAA/OAR/ESRL PSD, Boulder, Colorado, USA, from their Web site at http://www.esrl.noaa.gov/psd/. Part of this work was performed under Project 4012 of the Australian Antarctic Science programme.</t>
  </si>
  <si>
    <t>AUSTRALIAN BUREAU METEOROLOGY</t>
  </si>
  <si>
    <t>MELBOURNE</t>
  </si>
  <si>
    <t>GPO BOX 1289, MELBOURNE, VIC 3001, AUSTRALIA</t>
  </si>
  <si>
    <t>1836-716X</t>
  </si>
  <si>
    <t>AUST METEOROL OCEAN</t>
  </si>
  <si>
    <t>Aust. Meteorol. Oceanogr. J.</t>
  </si>
  <si>
    <t>10.22499/2.6502.005</t>
  </si>
  <si>
    <t>DC0LZ</t>
  </si>
  <si>
    <t>WOS:000368910100005</t>
  </si>
  <si>
    <t>Hope, P; Reid, P; Tobin, S; Tully, M; Klekociuk, A; Krummel, P</t>
  </si>
  <si>
    <t>Hope, Pandora; Reid, Phillip; Tobin, Skie; Tully, Matthew; Klekociuk, Andrew; Krummel, Paul</t>
  </si>
  <si>
    <t>Seasonal climate summary southern hemisphere (spring 2014): El Nino continues to try to break through, and Australia has its warmest spring on record (again!)</t>
  </si>
  <si>
    <t>Southern hemisphere circulation patterns and associated anomalies for the austral spring 2014 are reviewed, with emphasis given to the Pacific Basin climate indicators and Australian rainfall and temperature patterns. Equatorial sea-surface temperatures in the Pacific warmed through the season, and the Southern Oscillation just exceeded El Nino thresholds. However, although trade wind strength weakened at times, particularly late in the season, tropical cloudiness near the Date Line and trade wind strength were more often close to average, suggesting the atmosphere was still not firmly linked with the warmer ocean below. The negative Indian Ocean Dipole values of winter flipped to neutral or weakly positive values through spring. Pressures in the Australian and Maritime Continent regions were high. Around Antarctica, sea ice reached a record extent in September, with expansion most prominent in the Indian Ocean sector and north of the Ross Sea. Winds to the north of these regions were strong. The Antarctic ozone hole was of moderate severity, and of similar size to ozone holes in the early 1990s. Over Australia, it was the warmest spring on record, surpassing the record warm spring of 2013. A strong anomaly in the 200 hPa geopotential height persisted over the south-east of the country through October and November. Australia was particularly dry in the east through spring, but Western Australia received good rainfall. Column ozone levels in the Australian region were slightly above average and consistent with increased ozone transport to mid-latitudes associated with the phase of the Quasi-Biennial Oscillation.</t>
  </si>
  <si>
    <t>[Hope, Pandora; Tobin, Skie; Tully, Matthew] Bur Meteorol, GPO Box 1289, Melbourne, Vic 3001, Australia; [Reid, Phillip] Bur Meteorol, Hobart, Tas, Australia; [Klekociuk, Andrew] Australian Antarctic Div, Hobart, Tas, Australia; [Krummel, Paul] CSIRO Oceans &amp; Atmosphere, Aspendale, Vic, Australia</t>
  </si>
  <si>
    <t>Bureau of Meteorology - Australia; Bureau of Meteorology - Australia; Australian Antarctic Division; Commonwealth Scientific &amp; Industrial Research Organisation (CSIRO)</t>
  </si>
  <si>
    <t>Hope, P (corresponding author), Bur Meteorol, GPO Box 1289, Melbourne, Vic 3001, Australia.</t>
  </si>
  <si>
    <t>p.hope@bom.gov.au</t>
  </si>
  <si>
    <t>Krummel, Paul B/A-4293-2013; Hope, Pandora/ISA-8917-2023; Tully, Matthew/AAG-1730-2020; Klekociuk, Andrew/A-4498-2015</t>
  </si>
  <si>
    <t>Krummel, Paul B/0000-0002-4884-3678; Tully, Matthew/0000-0002-6153-5610; Klekociuk, Andrew/0000-0003-3335-0034</t>
  </si>
  <si>
    <t>10.22499/2.6502.006</t>
  </si>
  <si>
    <t>WOS:000368910100006</t>
  </si>
  <si>
    <t>Driemel, A; Grobe, H; Diepenbroek, M; Grüttemeier, H; Schumacher, S; Sieger, R</t>
  </si>
  <si>
    <t>Driemel, A.; Grobe, H.; Diepenbroek, M.; Gruettemeier, H.; Schumacher, S.; Sieger, R.</t>
  </si>
  <si>
    <t>The IPY 2007-2008 data legacy - creating open data from IPY publications</t>
  </si>
  <si>
    <t>EARTH SYSTEM SCIENCE DATA</t>
  </si>
  <si>
    <t>The International Polar Year (IPY) 2007-2008 was a synchronized effort to simultaneously collect data from polar regions. Being the fourth in a series of IPYs, the demand for interdisciplinarity and new data products was high. However, despite all the research done on land, people, ocean, ice and atmosphere and the large amount of data collected, no central archive or portal was created for IPY data. In order to improve the availability and visibility of IPY data, a concerted effort between PANGAEA -Data Publisher for Earth and Environmental Science, the International Council for Science (ICSU) World Data System (WDS), and the International Council for Scientific and Technical Information (ICSTI) was undertaken to extract data resulting from IPY publications for long-term preservation. Overall, 1380 IPY-related references were collected. Of these, only 450 contained accessible data. All data were extracted, quality checked, annotated with metadata and uploaded to PANGAEA. The 450 articles dealt with a multitude of IPY topics -plankton biomass, water chemistry, ice thickness, whale sightings, Inuit health, alien species introductions by travellers or tundra biomass change, to mention just a few. Both the Arctic and the Antarctic were investigated in the articles, and all realms (land, people, ocean, ice and atmosphere) and a wide range of countries were covered. The data compilation can now be found with the identifier doi: 10.1594/ PANGAEA. 150150, and individual parts can be searched using the PANGAEA search engine (www. pangaea. de) and adding + project: ipy. With this effort, we hope to improve the visibility, accessibility and long-term storage of IPY data for future research and new data products.</t>
  </si>
  <si>
    <t>[Driemel, A.; Grobe, H.; Schumacher, S.; Sieger, R.] Helmholtz Zentrum Polar &amp; Meeresforsch, Alfred Wegener Inst, Bremerhaven, Germany; [Diepenbroek, M.] Marum Ctr Marine Environm Sci, Bremen, Germany; [Gruettemeier, H.] CNRS, Inst Informat Sci &amp; Tech, Vandoeuvre Les Nancy, France</t>
  </si>
  <si>
    <t>Helmholtz Association; Alfred Wegener Institute, Helmholtz Centre for Polar &amp; Marine Research; University of Bremen; Universite de Lorraine; Centre National de la Recherche Scientifique (CNRS); CNRS - Institute for Information Sciences &amp; Technologies (INS2I)</t>
  </si>
  <si>
    <t>Grobe, H (corresponding author), Helmholtz Zentrum Polar &amp; Meeresforsch, Alfred Wegener Inst, Bremerhaven, Germany.</t>
  </si>
  <si>
    <t>hannes.grobe@awi.de</t>
  </si>
  <si>
    <t>Schumacher, Stefanie/R-6427-2017</t>
  </si>
  <si>
    <t>Grobe, Hannes/0000-0002-4133-2218; Schumacher, Stefanie/0000-0002-8310-9743; Sieger, Rainer/0000-0002-9175-884X; Driemel, Amelie/0000-0001-8667-5217; Gruttemeier, Herbert/0000-0002-5284-7110</t>
  </si>
  <si>
    <t>COPERNICUS GESELLSCHAFT MBH</t>
  </si>
  <si>
    <t>GOTTINGEN</t>
  </si>
  <si>
    <t>BAHNHOFSALLEE 1E, GOTTINGEN, 37081, GERMANY</t>
  </si>
  <si>
    <t>1866-3508</t>
  </si>
  <si>
    <t>1866-3516</t>
  </si>
  <si>
    <t>EARTH SYST SCI DATA</t>
  </si>
  <si>
    <t>Earth Syst. Sci. Data</t>
  </si>
  <si>
    <t>10.5194/essd-7-239-2015</t>
  </si>
  <si>
    <t>Geosciences, Multidisciplinary; Meteorology &amp; Atmospheric Sciences</t>
  </si>
  <si>
    <t>Geology; Meteorology &amp; Atmospheric Sciences</t>
  </si>
  <si>
    <t>DB6NQ</t>
  </si>
  <si>
    <t>WOS:000368632100008</t>
  </si>
  <si>
    <t>Mills, G; Young, A; Dominguez, R; Duffy, B; Kulesa, C; Walker, C</t>
  </si>
  <si>
    <t>Weisend II, JG; Demko, J; DiPirro, M; Howell, M; DAntonio, A; Kittel, P; Klebaner, A; Marquardt, J; Nellis, G; Peterson, T; Pfotenhauer, J; Yuan, S; AlZeller</t>
  </si>
  <si>
    <t>Mills, G.; Young, A.; Dominguez, R.; Duffy, B.; Kulesa, C.; Walker, C.</t>
  </si>
  <si>
    <t>Cryogenics on the stratospheric terahertz observatory (STO)</t>
  </si>
  <si>
    <t>ADVANCES IN CRYOGENIC ENGINEERING</t>
  </si>
  <si>
    <t>IOP Conference Series-Materials Science and Engineering</t>
  </si>
  <si>
    <t>Cryogenic Engineering Conference (CEC) / International Cryogenic Materials Conference (ICMC)</t>
  </si>
  <si>
    <t>JUN 28-JUL 02, 2015</t>
  </si>
  <si>
    <t>Tucson, AZ</t>
  </si>
  <si>
    <t>The Stratospheric TeraHertz Observatory (STO) is a NASA funded, Long Duration Balloon experiment designed to address a key problem in modern astrophysics: understanding the Life Cycle of the Interstellar Medium. STO surveys a section of the Galactic plane in the dominant interstellar cooling line at 1.9 THz and the important star formation tracer at 1.46 THz, at similar to 1 arc minute angular resolution, sufficient to spatially resolve atomic, ionic, and molecular clouds at 10 kpc. The STO instrument package uses a liquid helium cryostat to maintain the THz receiver at &lt; 9 K and to cool the low noise amplifiers to &lt; 20 K. The first STO mission (STO-1) flew in January of 2012 and the second mission (STO-2) is planned for December 2015. For the STO-2 flight a cryocooler will be added to extend the mission lifetime. This paper discusses the integration of the STO instrument into an existing cryostat and the cryogenic aspects of the launch and operation of the STO balloon mission in the challenging Antarctic environment.</t>
  </si>
  <si>
    <t>[Mills, G.] Ball Aerosp &amp; Technol Corp, Boulder, CO USA; [Young, A.; Dominguez, R.; Duffy, B.; Kulesa, C.; Walker, C.] Univ Arizona, Tucson, AZ USA</t>
  </si>
  <si>
    <t>Ball Aerospace &amp; Technologies; University of Arizona</t>
  </si>
  <si>
    <t>Mills, G (corresponding author), Ball Aerosp &amp; Technol Corp, Boulder, CO USA.</t>
  </si>
  <si>
    <t>Young, Abram/K-2549-2013</t>
  </si>
  <si>
    <t>Young, Abram/0000-0001-5390-6250</t>
  </si>
  <si>
    <t>DIRAC HOUSE, TEMPLE BACK, BRISTOL BS1 6BE, ENGLAND</t>
  </si>
  <si>
    <t>1757-8981</t>
  </si>
  <si>
    <t>IOP CONF SER-MAT SCI</t>
  </si>
  <si>
    <t>10.1088/1757-899X/101/1/012131</t>
  </si>
  <si>
    <t>Thermodynamics; Materials Science, Multidisciplinary</t>
  </si>
  <si>
    <t>Thermodynamics; Materials Science</t>
  </si>
  <si>
    <t>BE1RP</t>
  </si>
  <si>
    <t>WOS:000368434700131</t>
  </si>
  <si>
    <t>Gellie, N; Beaumont, K; Mackay, D; Whalen, M; Clarke, L</t>
  </si>
  <si>
    <t>Gellie, Nick; Beaumont, Kieren; Mackay, Duncan; Whalen, Molly; Clarke, Laurence</t>
  </si>
  <si>
    <t>Growth responses of Baumea juncea (Cyperaceae) plants from inland artesian spring and coastal habitats to salinity and waterlogging treatments</t>
  </si>
  <si>
    <t>AUSTRALIAN JOURNAL OF BOTANY</t>
  </si>
  <si>
    <t>PHYSIOLOGICAL-RESPONSES; SPARTINA-ALTERNIFLORA; PANICUM-HEMITOMON; WATER REGIME; TOLERANCE; WETLANDS; PATTERNS; MARSH</t>
  </si>
  <si>
    <t>Artesian springs of arid inland Australia provide permanent water that supports naturally fragmented wetland communities. Some plant species that occur at springs have more extensive populations in coastal wetland areas of Australia where they may experience quite different environmental conditions. The present study investigated the growth response of one such species, Baumea juncea (R.Br.) Palla (Cyperaceae), to salinity and waterlogging. Plants from each region were subjected to combinations of salinity (freshwater or 20% seawater) and waterlogging (unsaturated or saturated soil), in a factorial design, for a period of 5 months. All plants survived and although the final aboveground biomasses did not differ significantly among the treatment combinations, for spring plants, the relative growth of roots was greater in unsaturated soil than in saturated soil. For the growth parameters of total biomass, culm biomass and rhizome biomass, spring and coastal plants showed contrasting responses to the treatment combinations; for spring plants in fresh water, these parameters were greater in the saturated treatment than in the unsaturated treatment, whereas for spring plants in saline water, these variables were lower in the saturated treatment than in the unsaturated treatment. Coastal plants displayed the reverse pattern. For the remaining parameters of root biomass, root : culm ratio and aboveground : belowground biomass ratio, plants from spring and coastal regions grown under saline conditions displayed contrasting responses to waterlogging. Our findings showed that the growth responses of plants of B. juncea to waterlogging and salinity differ for spring and coastal plants, suggesting potential differential adaptation by populations in these disjunct and distinct environments.</t>
  </si>
  <si>
    <t>[Gellie, Nick; Beaumont, Kieren; Mackay, Duncan; Whalen, Molly; Clarke, Laurence] Flinders Univ S Australia, Sch Biol Sci, Bedford Pk, SA 5042, Australia; [Gellie, Nick] Univ Adelaide, Sch Earth &amp; Environm Sci, Adelaide, SA 5005, Australia; [Clarke, Laurence] Australian Antarctic Div, Kingston, Tas 7050, Australia; [Clarke, Laurence] Univ Tasmania, Antarctic Climate &amp; Ecosyst Cooperat Res Ctr, Hobart, Tas 7001, Australia</t>
  </si>
  <si>
    <t>Flinders University South Australia; University of Adelaide; Australian Antarctic Division; University of Tasmania; Antarctic Climate &amp; Ecosystems Cooperative Research Centre (ACE CRC)</t>
  </si>
  <si>
    <t>Mackay, D (corresponding author), Flinders Univ S Australia, Sch Biol Sci, Bedford Pk, SA 5042, Australia.</t>
  </si>
  <si>
    <t>duncan.mackay@flinders.edu.au</t>
  </si>
  <si>
    <t>Mackay, Duncan A/A-9966-2011; Clarke, Laurence/N-3579-2017</t>
  </si>
  <si>
    <t>Clarke, Laurence/0000-0002-0844-4453; Mackay, Duncan/0000-0002-3326-7612; Whalen, Molly/0000-0002-1583-5030</t>
  </si>
  <si>
    <t>National Water Commission project</t>
  </si>
  <si>
    <t>This work was funded as part of the National Water Commission project 'Allocating water and maintaining springs in the Great Artesian Basin'. We thank Travis Gotch (SAAL NRM Board) and Reg Dodd (Arabunna people's committee) for assistance with access to field sites and Rick Davies and Zdravko Baruch for helpful discussions and advice.</t>
  </si>
  <si>
    <t>CSIRO PUBLISHING</t>
  </si>
  <si>
    <t>CLAYTON</t>
  </si>
  <si>
    <t>UNIPARK, BLDG 1, LEVEL 1, 195 WELLINGTON RD, LOCKED BAG 10, CLAYTON, VIC 3168, AUSTRALIA</t>
  </si>
  <si>
    <t>0067-1924</t>
  </si>
  <si>
    <t>1444-9862</t>
  </si>
  <si>
    <t>AUST J BOT</t>
  </si>
  <si>
    <t>Aust. J. Bot.</t>
  </si>
  <si>
    <t>10.1071/BT15005</t>
  </si>
  <si>
    <t>DB3VU</t>
  </si>
  <si>
    <t>WOS:000368441900006</t>
  </si>
  <si>
    <t>De Michelis, P; Consolini, G</t>
  </si>
  <si>
    <t>De Michelis, Paola; Consolini, Giuseppe</t>
  </si>
  <si>
    <t>On polar daily geomagnetic variation</t>
  </si>
  <si>
    <t>ANNALS OF GEOPHYSICS</t>
  </si>
  <si>
    <t>CURRENT SYSTEMS; QUIET DAYS; SUBSTORMS; COMPONENTS; CURRENTS</t>
  </si>
  <si>
    <t>The aim of this work is to investigate the nature of the daily magnetic field perturbations produced by ionospheric and magnetospheric currents at high latitudes. We analyse the hourly means of the X and Y geomagnetic field components recorded by a meridian chain of permanent geomagnetic observatories in the polar region of the Northern Hemisphere during a period of four years (1995-1998) around the solar minimum. We apply a mathematical method, known as natural orthogonal component (NOC), which is capable of characterizing the dominant modes of the geomagnetic field daily variability through a set of empirical orthogonal functions (EOFs). Using the first two modes we reconstruct a two-dimensional equivalent current representation of the ionospheric electric currents, which contribute substantially to the geomagnetic daily variations. The obtained current structures resemble the equivalent current patterns of DP2 and DP1. We characterize these currents by studying their evolution with the geomagnetic activity level and by analysing their dependence on the interplanetary magnetic field. The obtained results support the idea of a coexistence of two main processes during all analysed period although one of them, the directly driven process, represents the dominant component of the geomagnetic daily variation.</t>
  </si>
  <si>
    <t>[De Michelis, Paola] Ist Nazl Geofis &amp; Vulcanol, Rome, Italy; [Consolini, Giuseppe] INAF Ist Astrofis &amp; Planetol Spaziali, Rome, Italy</t>
  </si>
  <si>
    <t>Istituto Nazionale Geofisica e Vulcanologia (INGV); Istituto Nazionale Astrofisica (INAF)</t>
  </si>
  <si>
    <t>De Michelis, P (corresponding author), Ist Nazl Geofis &amp; Vulcanol, Rome, Italy.</t>
  </si>
  <si>
    <t>paola.demichelis@ingv.it</t>
  </si>
  <si>
    <t>CONSOLINI, Giuseppe/0000-0002-3403-647X</t>
  </si>
  <si>
    <t>Italian National Program for Antarctic Research (PNRA) Research Project [2013 / AC3.08]</t>
  </si>
  <si>
    <t>Italian National Program for Antarctic Research (PNRA) Research Project</t>
  </si>
  <si>
    <t>The results presented in this paper rely on public data collected at magnetic observatories and available by INTERMAGNET (www.intermagnet.org). We thank the national institutes that support them and INTERMAGNET for promoting high standards of magnetic observatory practice. The authors kindly acknowledge N. Papitashvili and J. King at the National Space Science Data Center of the Goddard Space Flight Center for the use permission of 1-min OMNI data and the NASA CDAWeb team for making these data available. This work is supported by Italian National Program for Antarctic Research (PNRA) Research Project 2013 / AC3.08. The elaborated data for this paper are available by contacting the corresponding author (paola.demichelis@ingv.it).</t>
  </si>
  <si>
    <t>IST NAZIONALE DI GEOFISICA E VULCANOLOGIA</t>
  </si>
  <si>
    <t>ROME</t>
  </si>
  <si>
    <t>VIA VIGNA MURATA 605, ROME, 00143, ITALY</t>
  </si>
  <si>
    <t>1593-5213</t>
  </si>
  <si>
    <t>2037-416X</t>
  </si>
  <si>
    <t>ANN GEOPHYS-ITALY</t>
  </si>
  <si>
    <t>Ann. Geophys.</t>
  </si>
  <si>
    <t>G0549</t>
  </si>
  <si>
    <t>10.4401/ag-6801</t>
  </si>
  <si>
    <t>DA8AK</t>
  </si>
  <si>
    <t>WOS:000368026500007</t>
  </si>
  <si>
    <t>Paul, S; Willmes, S; Heinemann, G</t>
  </si>
  <si>
    <t>Paul, S.; Willmes, S.; Heinemann, G.</t>
  </si>
  <si>
    <t>Long-term coastal-polynya dynamics in the southern Weddell Sea from MODIS thermal-infrared imagery</t>
  </si>
  <si>
    <t>CRYOSPHERE</t>
  </si>
  <si>
    <t>THIN-ICE THICKNESS; ERA-INTERIM REANALYSIS; CLOUD DETECTION; SATELLITE; RETRIEVALS; VALIDATION; ISLAND; OCEAN</t>
  </si>
  <si>
    <t>Based upon thermal-infrared satellite imagery in combination with ERA-Interim atmospheric reanalysis data, we derive long-term polynya characteristics such as polynya area, thin-ice thickness distribution, and ice-production rates for a 13-year investigation period (2002-2014) for the austral winter (1 April to 30 September) in the Antarctic southern Weddell Sea. All polynya parameters are derived from daily cloud-cover corrected thin-ice thickness composites. The focus lies on coastal polynyas which are important hot spots for new-ice formation, bottom-water formation, and heat/moisture release into the atmosphere. MODIS has the capability to resolve even very narrow coastal polynyas. Its major disadvantage is the sensor limitation due to cloud cover. We make use of a newly developed and adapted spatial feature reconstruction scheme to account for cloud-covered areas. We find the sea-ice areas in front of the Ronne and Brunt ice shelves to be the most active with an annual average polynya area of 3018 +/- 1298 and 3516 +/- 1420 km(2) as well as an accumulated volume ice production of 31 +/- 13 and 31 +/- 12 km(3), respectively. For the remaining four regions, estimates amount to 421 +/- 294 km(2) and 4 +/- 3 km(3) (Antarctic Peninsula), 1148 +/- 432 km(2) and 12 +/- 5 km(3) (iceberg A23A), 901 +/- 703 km(2) and 10 +/- 8 km(3) (Filchner Ice Shelf), as well as 499 +/- 277 km(2) and 5 +/- 2 km(3) (Coats Land). Our findings are discussed in comparison to recent studies based on coupled sea-ice/ocean models and passive-microwave satellite imagery, each investigating different parts of the southern Weddell Sea.</t>
  </si>
  <si>
    <t>[Paul, S.; Willmes, S.; Heinemann, G.] Univ Trier, Dept Environm Meteorol, Trier, Germany</t>
  </si>
  <si>
    <t>Paul, S (corresponding author), Univ Trier, Dept Environm Meteorol, Trier, Germany.</t>
  </si>
  <si>
    <t>paul@uni-trier.de</t>
  </si>
  <si>
    <t>Paul, Stephan/I-5918-2019; Willmes, Sascha/J-5796-2012</t>
  </si>
  <si>
    <t>Paul, Stephan/0000-0002-5136-714X;</t>
  </si>
  <si>
    <t>Deutsche Forschungsgemeinschaft [HE2740/12]</t>
  </si>
  <si>
    <t>Deutsche Forschungsgemeinschaft(German Research Foundation (DFG))</t>
  </si>
  <si>
    <t>The study was funded by the Deutsche Forschungsgemeinschaft in the framework of the priority program SPP1158 Antarctic Research with comparative investigations in Arctic ice areas by grant HE2740/12. The authors want to thank the National Snow and Ice Data Center and the European Centre for Medium-Range Weather Forecasts for the provision of the here-used data. The authors appreciate the help of Verena Haid and Ralph Timmermann by providing FESOM model results. The authors want to express their gratitude to an anonymous reviewer and Stefan Kern who helped to greatly improve this manuscript during the peer-review process alongside editor Daniel Feltham.</t>
  </si>
  <si>
    <t>1994-0416</t>
  </si>
  <si>
    <t>1994-0424</t>
  </si>
  <si>
    <t>Cryosphere</t>
  </si>
  <si>
    <t>10.5194/tc-9-2027-2015</t>
  </si>
  <si>
    <t>DA0YL</t>
  </si>
  <si>
    <t>gold, Green Accepted, Green Submitted</t>
  </si>
  <si>
    <t>WOS:000367523400002</t>
  </si>
  <si>
    <t>Pirazzini, R; Räisänen, P; Vihma, T; Johansson, M; Tastula, EM</t>
  </si>
  <si>
    <t>Pirazzini, R.; Raisanen, P.; Vihma, T.; Johansson, M.; Tastula, E. -M.</t>
  </si>
  <si>
    <t>Measurements and modelling of snow particle size and shortwave infrared albedo over a melting Antarctic ice sheet</t>
  </si>
  <si>
    <t>SINGLE-SCATTERING PROPERTIES; GRAIN-SIZE; SURFACE-AREA; BIDIRECTIONAL REFLECTANCE; SPECTRAL ALBEDO; INDEPENDENT SPHERES; PHYSICAL PARAMETERS; RADIATIVE-TRANSFER; OPTICAL-PROPERTIES; RETRIEVAL</t>
  </si>
  <si>
    <t>The albedo of a snowpack depends on the single-scattering properties of individual snow crystals, which have a variety of shapes and sizes, and are often bounded in clusters. From the point of view of optical modelling, it is essential to identify the geometric dimensions of the population of snow particles that synthesize the scattering properties of the snowpack surface. This involves challenges related to the complexity of modelling the radiative transfer in such an irregular medium, and to the difficulty of measuring microphysical snow properties. In this paper, we illustrate a method to measure the size distribution of a snow particle parameter, which roughly corresponds to the smallest snow particle dimension, from two-dimensional macro photos of snow particles taken in Antarctica at the surface layer of a melting ice sheet. We demonstrate that this snow particle metric corresponds well to the optically equivalent effective radius utilized in radiative transfer modelling, in particular when snow particles are modelled with the droxtal shape. The surface albedo modelled on the basis of the measured snow particle metric showed an excellent match with the observed albedo when there was fresh or drifted snow at the surface. In the other cases, a good match was present only for wavelengths longer than 1.4 mu m. For shorter wavelengths, our modelled albedo generally overestimated the observations, in particular when surface hoar and faceted polycrystals were present at the surface and surface roughness was increased by millimetre-scale cavities generated during melting. Our results indicate that more than just one particle metric distribution is needed to characterize the snow scattering properties at all optical wavelengths, and suggest an impact of millimetre-scale surface roughness on the shortwave infrared albedo.</t>
  </si>
  <si>
    <t>[Pirazzini, R.; Raisanen, P.; Vihma, T.; Johansson, M.; Tastula, E. -M.] Finnish Meteorol Inst, FIN-00101 Helsinki, Finland</t>
  </si>
  <si>
    <t>Finnish Meteorological Institute</t>
  </si>
  <si>
    <t>Pirazzini, R (corresponding author), Finnish Meteorol Inst, FIN-00101 Helsinki, Finland.</t>
  </si>
  <si>
    <t>roberta.pirazzini@fmi.fi</t>
  </si>
  <si>
    <t>Pirazzini, Roberta/G-2043-2012; Vihma, Timo/ABC-9771-2020; Raisanen, Petri/I-1954-2012</t>
  </si>
  <si>
    <t>Pirazzini, Roberta/0000-0003-3215-4592; Johansson, Milla/0000-0002-9566-5149; Raisanen, Petri/0000-0003-4466-213X</t>
  </si>
  <si>
    <t>Academy of Finland through the AMICO project [263918]; Academy of Finland through the A4 project [254195]; Nordic Centre of Excellence project SVALI - Nordic Top-level Research Initiative (TRI); Academy of Finland (AKA) [254195] Funding Source: Academy of Finland (AKA)</t>
  </si>
  <si>
    <t>Academy of Finland through the AMICO project; Academy of Finland through the A4 project; Nordic Centre of Excellence project SVALI - Nordic Top-level Research Initiative (TRI); Academy of Finland (AKA)(Research Council of Finland)</t>
  </si>
  <si>
    <t>The study was supported by the Academy of Finland through the AMICO and A4 projects (contracts 263918 and 254195, respectively) and by the Nordic Centre of Excellence project SVALI, Stability and Variations of Arctic Land Ice, funded by the Nordic Top-level Research Initiative (TRI). This publication is SVALI contribution number 65. We thank the FINNARP logistics team and Antti Aarva for technical support, as well as the editor F. Domine, reviewer T. Aoki, and another anonymous reviewer for their constructive comments.</t>
  </si>
  <si>
    <t>10.5194/tc-9-2357-2015</t>
  </si>
  <si>
    <t>WOS:000367523400022</t>
  </si>
  <si>
    <t>Libois, Q; Picard, G; Arnaud, L; Dumont, M; Lafaysse, M; Morin, S; Lefebvre, E</t>
  </si>
  <si>
    <t>Libois, Q.; Picard, G.; Arnaud, L.; Dumont, M.; Lafaysse, M.; Morin, S.; Lefebvre, E.</t>
  </si>
  <si>
    <t>Summertime evolution of snow specific surface area close to the surface on the Antarctic Plateau</t>
  </si>
  <si>
    <t>MICROWAVE BRIGHTNESS TEMPERATURE; GRAIN-SIZE; DOME C; RADIATIVE-TRANSFER; OPTICAL-PROPERTIES; ALBEDO FEEDBACK; SOLAR-RADIATION; SPECTRAL ALBEDO; ICE; MODEL</t>
  </si>
  <si>
    <t>On the Antarctic Plateau, snow specific surface area (SSA) close to the surface shows complex variations at daily to seasonal scales which affect the surface albedo and in turn the surface energy budget of the ice sheet. While snow metamorphism, precipitation and strong wind events are known to drive SSA variations, usually in opposite ways, their relative contributions remain unclear. Here, a comprehensive set of SSA observations at Dome C is analysed with respect to meteorological conditions to assess the respective roles of these factors. The results show an average 2-to-3-fold SSA decrease from October to February in the topmost 10 cm in response to the increase of air temperature and absorption of solar radiation in the snowpack during spring and summer. Surface SSA is also characterized by significant daily to weekly variations due to the deposition of small crystals with SSA up to 100m(2) kg(-1) onto the surface during snowfall and blowing snow events. To complement these field observations, the detailed snowpack model Crocus is used to simulate SSA, with the intent to further investigate the previously found correlation between interannual variability of summer SSA decrease and summer precipitation amount. To this end, some Crocus parameterizations have been adapted to Dome C conditions, and the model was forced by ERA-Interim reanalysis. It successfully matches the observations at daily to seasonal timescales, except for the few cases when snowfalls are not captured by the reanalysis. On the contrary, the interannual variability of summer SSA decrease is poorly simulated when compared to 14 years of microwave satellite data sensitive to the near-surface SSA. A simulation with disabled summer precipitation confirms the weak influence in the model of the precipitation on metamorphism, with only 6% enhancement. However, we found that disabling strong wind events in the model is sufficient to reconciliate the simulations with the observations. This suggests that Crocus reproduces well the contributions of metamorphism and precipitation on surface SSA, but snow compaction by the wind might be overestimated in the model.</t>
  </si>
  <si>
    <t>[Libois, Q.; Picard, G.; Arnaud, L.; Lefebvre, E.] Univ Grenoble Alpes, LGGE UMR5183, F-38041 Grenoble, France; [Libois, Q.; Picard, G.; Arnaud, L.; Lefebvre, E.] CNRS, LGGE UMR5183, F-38041 Grenoble, France; [Dumont, M.; Lafaysse, M.; Morin, S.] Meteo France, CNRS, CNRM GAME UMR 3589, Ctr Etud Neige, Grenoble, France</t>
  </si>
  <si>
    <t>Communaute Universite Grenoble Alpes; Universite Grenoble Alpes (UGA); Communaute Universite Grenoble Alpes; Universite Grenoble Alpes (UGA); Centre National de la Recherche Scientifique (CNRS); Centre National de la Recherche Scientifique (CNRS); CNRS - National Institute for Earth Sciences &amp; Astronomy (INSU); Meteo France</t>
  </si>
  <si>
    <t>Libois, Q (corresponding author), Univ Quebec, Dept Earth &amp; Atmospher Sci, ESCER Ctr, 201 Av President Kennedy, Montreal, PQ H3C 3P8, Canada.</t>
  </si>
  <si>
    <t>libois.quentin@uqam.ca</t>
  </si>
  <si>
    <t>Dumont, Marie/R-4507-2019; Morin, Samuel/E-8005-2011; Picard, Ghislain/D-4246-2013; Dumont, Marie/A-7271-2015</t>
  </si>
  <si>
    <t>Dumont, Marie/0000-0002-4002-5873; Morin, Samuel/0000-0002-1781-687X; Picard, Ghislain/0000-0003-1475-5853; libois, quentin/0000-0001-8963-4170; arnaud, laurent/0000-0002-4432-4205</t>
  </si>
  <si>
    <t>ANR [1-JS56-005-01 MONISNOW]; French Polar Institute (IPEV)</t>
  </si>
  <si>
    <t>ANR(Agence Nationale de la Recherche (ANR)); French Polar Institute (IPEV)</t>
  </si>
  <si>
    <t>We are grateful to the anonymous reviewers and the editor for their valuable comments. LGGE is part of LabEx OSUG@2020 (ANR10 LABX56). This study was supported by the ANR program 1-JS56-005-01 MONISNOW. The authors acknowledge the French Polar Institute (IPEV) for the financial and logistic support at Concordia station in Antarctica through the CALVA-Neige and NIVO programs. We thank Eric Brun for insightful discussions about Crocus parameterizations. We are grateful to Arnaud Mialon for helping with the measurements at Dome C. The editor thanks the anonymous reviewers for their work.</t>
  </si>
  <si>
    <t>10.5194/tc-9-2383-2015</t>
  </si>
  <si>
    <t>WOS:000367523400023</t>
  </si>
  <si>
    <t>Turney, CSM; Fogwill, CJ; Klekociuk, AR; van Ommen, TD; Curran, MAJ; Moy, AD; Palmer, JG</t>
  </si>
  <si>
    <t>Turney, C. S. M.; Fogwill, C. J.; Klekociuk, A. R.; van Ommen, T. D.; Curran, M. A. J.; Moy, A. D.; Palmer, J. G.</t>
  </si>
  <si>
    <t>Tropical and mid-latitude forcing of continental Antarctic temperatures</t>
  </si>
  <si>
    <t>NINO-SOUTHERN-OSCILLATION; ANNULAR MODE; EAST ANTARCTICA; PACIFIC; HEMISPHERE; SURFACE; CIRCULATION; CLIMATE; PRECIPITATION; ACCUMULATION</t>
  </si>
  <si>
    <t>Future changes in atmospheric circulation and associated modes of variability are a major source of uncertainty in climate projections. Nowhere is this issue more acute than across the mid-latitudes to high latitudes of the Southern Hemisphere (SH), which over the last few decades have experienced extreme and regionally variable trends in precipitation, ocean circulation and temperature, with major implications for Antarctic ice melt and surface mass balance. Unfortunately there is a relative dearth of observational data, limiting our understanding of the driving mechanism(s). Here we report a new 130-year annually resolved record of delta D - a proxy for temperature - from the geographic South Pole where we find a significant influence from extratropical pressure anomalies which act as gatekeepers to the meridional exchange of air masses. Reanalysis of global atmospheric circulation suggests these pressure anomalies play a significant influence on mid-to high-latitude SH climate, modulated by the tropical Pacific Ocean. This work adds to a growing body of literature confirming the important roles of tropical and mid-latitude atmospheric circulation variability on Antarctic temperatures. Our findings suggest that future increasing tropical warmth will strengthen meridional circulation, exaggerating current trends, with potentially significant impacts on Antarctic surface mass balance.</t>
  </si>
  <si>
    <t>[Turney, C. S. M.; Fogwill, C. J.; Palmer, J. G.] Univ New S Wales, Climate Change Res Ctr, Sch Biol Earth &amp; Environm Sci, Sydney, NSW, Australia; [Klekociuk, A. R.; van Ommen, T. D.; Curran, M. A. J.; Moy, A. D.] Australian Antarctic Div, Kingston, Tas 7050, Australia; [Klekociuk, A. R.; van Ommen, T. D.; Curran, M. A. J.; Moy, A. D.] Univ Tasmania, Antarctic Climate &amp; Ecosyst Cooperat Res Ctr, Hobart, Tas 7001, Australia</t>
  </si>
  <si>
    <t>University of New South Wales Sydney; Australian Antarctic Division; University of Tasmania; Antarctic Climate &amp; Ecosystems Cooperative Research Centre (ACE CRC)</t>
  </si>
  <si>
    <t>Turney, CSM (corresponding author), Univ New S Wales, Climate Change Res Ctr, Sch Biol Earth &amp; Environm Sci, Sydney, NSW, Australia.</t>
  </si>
  <si>
    <t>c.turney@unsw.edu.au</t>
  </si>
  <si>
    <t>Palmer, Jonathan/J-7834-2012; Fogwill, Chris/AAW-3502-2021; Turney, Chris/P-8701-2018; van Ommen, Tas/B-5020-2012; Klekociuk, Andrew/A-4498-2015</t>
  </si>
  <si>
    <t>Palmer, Jonathan/0000-0002-6665-4483; Fogwill, Chris/0000-0002-6471-1106; Turney, Chris/0000-0001-6733-0993; van Ommen, Tas/0000-0002-2463-1718; Moy, Andrew/0000-0002-7664-9960; Klekociuk, Andrew/0000-0003-3335-0034</t>
  </si>
  <si>
    <t>Australian Research Council [FL100100195, LP120200724, DP130104156, FT120100004]; Office of Science of the US Department of Energy [DE-AC02-05CH11231]; Australian Research Council [LP120200724] Funding Source: Australian Research Council</t>
  </si>
  <si>
    <t>Australian Research Council(Australian Research Council); Office of Science of the US Department of Energy(United States Department of Energy (DOE)); Australian Research Council(Australian Research Council)</t>
  </si>
  <si>
    <t>The authors thank the Australian Research Council for their financial support (FL100100195; LP120200724, DP130104156 and FT120100004). We are extremely grateful to the support in the field provided by Antarctic Logistics and Expeditions (ALE), who made this work possible. Many thanks to J. Jouzel for providing the data from previous work at South Pole and Eleanor Rainsley for comments on an earlier draft of the manuscript. The NOAA-CIRES Twentieth Century Reanalysis Project version 2 used resources of the National Energy Research Scientific Computing Center managed by Lawrence Berkeley National Laboratory, which is supported by the Office of Science of the US Department of Energy under contract no. DE-AC02-05CH11231. Support for the Twentieth Century Reanalysis Project version 2 data set is provided by the US Department of Energy, Office of Science Biological and Environmental Research (BER), and by the National Oceanic and Atmospheric Administration Climate Program Office. We thank R. Fogt and an anonymous reviewer for their constructive comments.</t>
  </si>
  <si>
    <t>10.5194/tc-9-2405-2015</t>
  </si>
  <si>
    <t>WOS:000367523400025</t>
  </si>
  <si>
    <t>Kobayashi, H; Shiobara, M</t>
  </si>
  <si>
    <t>Comeron, A; Kassianov, EI; Schafer, K; Picard, RH; Weber, K</t>
  </si>
  <si>
    <t>Kobayashi, Hiroshi; Shiobara, Masataka</t>
  </si>
  <si>
    <t>Development of new shipborne aureolemeter to measure the intensities of direct and scattered solar radiation on rolling and pitching vessel</t>
  </si>
  <si>
    <t>REMOTE SENSING OF CLOUDS AND THE ATMOSPHERE XX</t>
  </si>
  <si>
    <t>Proceedings of SPIE</t>
  </si>
  <si>
    <t>Conference on Remote Sensing of Clouds and the Atmosphere XX</t>
  </si>
  <si>
    <t>SEP 23-24, 2015</t>
  </si>
  <si>
    <t>Toulouse, FRANCE</t>
  </si>
  <si>
    <t>maritime aerosol optical thickness; maritime aerosol optical properties; shipborne aureolemeter; direct and scattered solar radiation; CCD camera; gyroscope</t>
  </si>
  <si>
    <t>New shipborne aureolemeter was developed to improve the sun-tracking performance for accurate measurements of not only direct but also circumsolar radiation, even on a vessel weltering. Sun position is determined by a real-time image processing system with a CCD camera. The accuracy of the sun position determination is finer than 0.01 degrees. The radiometer is tracked the sun under a feedback control with the derived sun position. For a sky radiance distribution measurement, the control target position on the CCD camera image is shifted a pixel corresponding to a measuring scattering angle. In the case of a scattering angle larger than 7 degrees, the radiometer's tracking is conducted under feed forward control on the basis of the angle of roll and pitch monitored with a gyroscope. The instrument constants were determined from a Langley plot method. Test observation was conducted onboard the Antarctic research vessel (R/V) Shirase during the 56th Japanese Antarctic Research Expedition (JARE-56; 2014-2015). Aerosol optical thickness (AOT) was measured. The measurement of the sky radiance distribution is being analyzed to derive the aerosol optical properties.</t>
  </si>
  <si>
    <t>[Kobayashi, Hiroshi] Univ Yamanashi, Kofu, Yamanashi 4008510, Japan; [Shiobara, Masataka] Natl Inst Polar Res, Tachikawa, Tokyo 1908518, Japan</t>
  </si>
  <si>
    <t>University of Yamanashi; Research Organization of Information &amp; Systems (ROIS); National Institute of Polar Research (NIPR) - Japan</t>
  </si>
  <si>
    <t>Kobayashi, H (corresponding author), Univ Yamanashi, 4-4-37 Takeda, Kofu, Yamanashi 4008510, Japan.</t>
  </si>
  <si>
    <t>Grants-in-Aid for Scientific Research [15H02807] Funding Source: KAKEN</t>
  </si>
  <si>
    <t>SPIE-INT SOC OPTICAL ENGINEERING</t>
  </si>
  <si>
    <t>BELLINGHAM</t>
  </si>
  <si>
    <t>1000 20TH ST, PO BOX 10, BELLINGHAM, WA 98227-0010 USA</t>
  </si>
  <si>
    <t>0277-786X</t>
  </si>
  <si>
    <t>978-1-62841-850-7</t>
  </si>
  <si>
    <t>PROC SPIE</t>
  </si>
  <si>
    <t>96401A</t>
  </si>
  <si>
    <t>10.1117/12.2195691</t>
  </si>
  <si>
    <t>Meteorology &amp; Atmospheric Sciences; Remote Sensing; Optics</t>
  </si>
  <si>
    <t>BE0XX</t>
  </si>
  <si>
    <t>WOS:000367320500034</t>
  </si>
  <si>
    <t>Chernov, DG; Kozlov, VS; Panchenko, MV; Turchinovich, YS; Radionov, VF; Gubin, AV; Prakhov, AN</t>
  </si>
  <si>
    <t>Matvienko, GG; Romanovskii, OA</t>
  </si>
  <si>
    <t>Chernov, D. G.; Kozlov, V. S.; Panchenko, M. V.; Turchinovich, Yu. S.; Radionov, V. F.; Gubin, A. V.; Prakhov, A. N.</t>
  </si>
  <si>
    <t>TEMPORAL dynamics of optical-microphysical characteristics of atmospheric aerosol at the Spitsbergen Archipelago in 2011-2014</t>
  </si>
  <si>
    <t>21ST INTERNATIONAL SYMPOSIUM ON ATMOSPHERIC AND OCEAN OPTICS: ATMOSPHERIC PHYSICS</t>
  </si>
  <si>
    <t>21st International Symposium On Atmospheric and Ocean Optics - Atmospheric Physics</t>
  </si>
  <si>
    <t>JUN 22-26, 2015</t>
  </si>
  <si>
    <t>Tomsk, RUSSIA</t>
  </si>
  <si>
    <t>aerosol; black carbon; concentration; Arctic; Spitsbergen</t>
  </si>
  <si>
    <t>In 2011-2014, the Institute of Atmospheric Optics (IAO SB RAS, Tomsk) and the Arctic and Antarctic Research Institute (AARI, St. Petersburg) conducted field investigations of the near-ground aerosol characteristics near Barentsburg (Spitsbergen Archipelago) in the spring and summer seasons. The particle number density in the size range 0.3-20 mu m, size distribution of particles, and mass concentrations of aerosol and black carbon were measured round-theclock every hour with Grimm 1.108 and 1.109; and AZ-10 optical counters. The mass concentration of black carbon was measured by the MDA-02 aethalometer developed by the IAO SB RAS. Series of observations are obtained, annual and seasonal average values and their standard deviations are estimated, and seasonal and annual dynamics of the studied parameters is analyzed. Peculiarities of the temporal dynamics of average values of the aerosol characteristics are revealed and compared with the data of observations at other stations of the Spitsbergen Archipelago and in different regions of the Russian Arctic and Subarctic.</t>
  </si>
  <si>
    <t>[Chernov, D. G.; Kozlov, V. S.; Panchenko, M. V.; Turchinovich, Yu. S.] VE Zuev Inst Atmospher Opt SB RAS, Tomsk, Russia; [Radionov, V. F.; Gubin, A. V.; Prakhov, A. N.] Arctic &amp; Antarctic Res Inst, St Petersburg, Russia</t>
  </si>
  <si>
    <t>Russian Academy of Sciences; Zuev Institute of Atmospheric Optics, Siberian Branch of the Russian Academy of Sciences; Arctic &amp; Antarctic Research Institute</t>
  </si>
  <si>
    <t>Chernov, DG (corresponding author), VE Zuev Inst Atmospher Opt SB RAS, Tomsk, Russia.</t>
  </si>
  <si>
    <t>Panchenko, Mikhail Vasilievich/E-4049-2014; Gubin, Alexey/AAW-4400-2021; Radionov, Vladimir F./O-3038-2017</t>
  </si>
  <si>
    <t>Chernov, Dmitriy/0000-0003-1877-6678</t>
  </si>
  <si>
    <t>1996-756X</t>
  </si>
  <si>
    <t>978-1-62841-908-5</t>
  </si>
  <si>
    <t>96802P</t>
  </si>
  <si>
    <t>10.1117/12.2203587</t>
  </si>
  <si>
    <t>Engineering, Ocean; Meteorology &amp; Atmospheric Sciences; Optics</t>
  </si>
  <si>
    <t>Engineering; Meteorology &amp; Atmospheric Sciences; Optics</t>
  </si>
  <si>
    <t>BE0SE</t>
  </si>
  <si>
    <t>WOS:000366810300097</t>
  </si>
  <si>
    <t>Kabanov, DM; Prakhov, AN; Radionov, VF; Sakerin, SM</t>
  </si>
  <si>
    <t>Kabanov, Dmitry M.; Prakhov, Aleksander N.; Radionov, Vladimir F.; Sakerin, Sergey M.</t>
  </si>
  <si>
    <t>Results of SPM sun photometer measurements at Mirny Antarctic station (58-60th RAE)</t>
  </si>
  <si>
    <t>Atmospheric aerosol optical depth; Antarctica</t>
  </si>
  <si>
    <t>AEROSOL OPTICAL DEPTH</t>
  </si>
  <si>
    <t>The SPM portable sun photometer observations in the wavelength range of 0.34-2.14 mu m are performed at Mirny Antarctic station since fall 2013. The data obtained are used to calculate the aerosol optical depth (AOD) and water vapor content of the atmosphere. The sun photometer intercalibration results and statistical characteristics of interdiurnal and seasonal variations in spectral AOD of the atmosphere are discussed. Estimates of interannual variations in the atmospheric AOD in the region of Mirny station and in the coastal zone of Antarctica are presented. The global background level of AOD of the Antarctic atmosphere is noted to be still about 0.02 at the wavelength of 0.5 mu m.</t>
  </si>
  <si>
    <t>[Kabanov, Dmitry M.; Sakerin, Sergey M.] Russian Acad Sci, Siberian Branch, VE Zuev Inst Atmospher Opt, Tomsk 634021, Russia; [Prakhov, Aleksander N.; Radionov, Vladimir F.] Arctic &amp; Antarctic Res Inst, St Petersburg 199397, Russia</t>
  </si>
  <si>
    <t>Kabanov, DM (corresponding author), Russian Acad Sci, Siberian Branch, VE Zuev Inst Atmospher Opt, Acad Zuev Sq 1, Tomsk 634021, Russia.</t>
  </si>
  <si>
    <t>sms@iao.ru</t>
  </si>
  <si>
    <t>Kabanov, Dmitry/A-4871-2014; Sakerin, Sergey/A-6508-2014; Kabanov, Dmitry M./A-5805-2014; Radionov, Vladimir F./O-3038-2017</t>
  </si>
  <si>
    <t>10.1117/12.2205010</t>
  </si>
  <si>
    <t>WOS:000366810300110</t>
  </si>
  <si>
    <t>Kabanov, DM; Radionov, VF; Sakerin, SM; Smirnov, A</t>
  </si>
  <si>
    <t>Kabanov, Dmitry M.; Radionov, Vladimir F.; Sakerin, Sergey M.; Smirnov, Alexander</t>
  </si>
  <si>
    <t>Spatial distribution of atmospheric aerosol optical depth over Atlantic Ocean along the route of Russian Antarctic expeditions</t>
  </si>
  <si>
    <t>aerosol optical depth; Atlantic</t>
  </si>
  <si>
    <t>SUN PHOTOMETERS; NETWORK; AERONET</t>
  </si>
  <si>
    <t>During recent decade, Microtops and SPM portable sun photometers are used to perform annual measurements of aerosol optical depth (AOD) and water vapor content of the atmosphere over Atlantic Ocean along the route of the Russian Antarctic expeditions (RAE). The data accumulation has made it possible to analyze the specific features of the spatial distribution of spectral AOD of the atmosphere along eastern RAE route and identify six basic regions (latitudinal zones). The statistical characteristics of AOD in the identified oceanic regions in winter and spring periods are discussed. The estimates of finely and coarsely dispersed AOD components in different regions, as well as the interannual atmospheric AOD variations, are presented.</t>
  </si>
  <si>
    <t>[Kabanov, Dmitry M.; Sakerin, Sergey M.] SB RAS, VE Zuev Inst Atmospher Opt, Tomsk 634021, Russia; [Radionov, Vladimir F.] Arctic &amp; Antarctic Reserch Inst, St Petersburg 199397, Russia; [Smirnov, Alexander] NASA, Goddard Space Flight Ctr, Greenbelt, MD 20771 USA</t>
  </si>
  <si>
    <t>Russian Academy of Sciences; Zuev Institute of Atmospheric Optics, Siberian Branch of the Russian Academy of Sciences; National Aeronautics &amp; Space Administration (NASA); NASA Goddard Space Flight Center</t>
  </si>
  <si>
    <t>Kabanov, DM (corresponding author), SB RAS, VE Zuev Inst Atmospher Opt, 1 Acad Zuev Sq, Tomsk 634021, Russia.</t>
  </si>
  <si>
    <t>dkab@iao.ru</t>
  </si>
  <si>
    <t>Kabanov, Dmitry/A-4871-2014; Radionov, Vladimir F./O-3038-2017; Sakerin, Sergey/A-6508-2014; Kabanov, Dmitry M./A-5805-2014; Smirnov, Alexander/C-2121-2009</t>
  </si>
  <si>
    <t>Smirnov, Alexander/0000-0002-8208-1304</t>
  </si>
  <si>
    <t>96802W</t>
  </si>
  <si>
    <t>10.1117/12.2204873</t>
  </si>
  <si>
    <t>WOS:000366810300104</t>
  </si>
  <si>
    <t>Pol'kin, VV; Sakerin, SM; Pol'kin, VV; Turchinovich, US; Terpugova, SA; Tikhomirov, AB; Radionov, VF</t>
  </si>
  <si>
    <t>Pol'kin, Viktor V.; Sakerin, Sergey M.; Pol'kin, Vasily V.; Turchinovich, Ury S.; Terpugova, Swetlana A.; Tikhomirov, Aleksey B.; Radionov, Vladimir F.</t>
  </si>
  <si>
    <t>SUMMARY of long-term data on latitudinal dependence of the near-water aerosol microphysical characteristics in eastern Atlantic</t>
  </si>
  <si>
    <t>near-water aerosol; mass and number concentrations; black carbon</t>
  </si>
  <si>
    <t>Latitudinal dependences of aerosol microphysical characteristics are analyzed. The data were obtained in the Russian Antarctic Expedition (RAE) onboard the expedition vessels Akademik Fedorov and Akademik Treshnikov in 2006-2014, as well as the research vessel Akademik Sergey Vavilov in 2004.</t>
  </si>
  <si>
    <t>[Pol'kin, Viktor V.; Sakerin, Sergey M.; Pol'kin, Vasily V.; Turchinovich, Ury S.; Terpugova, Swetlana A.; Tikhomirov, Aleksey B.] SB RAS, VE Zuev Inst Atmospher Opt, Tomsk 634021, Russia; [Radionov, Vladimir F.] Arctic &amp; Antarctic Res Inst, Fed State Budgetary Inst, St Petersburg 199397, Russia</t>
  </si>
  <si>
    <t>Pol'kin, VV (corresponding author), SB RAS, VE Zuev Inst Atmospher Opt, 1 Acad Zuev Sq, Tomsk 634021, Russia.</t>
  </si>
  <si>
    <t>victor@iao.ru</t>
  </si>
  <si>
    <t>Polkin, Victor/G-4153-2014; Polkin, Vasiliy V/A-5364-2014; Radionov, Vladimir F./O-3038-2017; Sakerin, Sergey/A-6508-2014</t>
  </si>
  <si>
    <t>Tikhomirov, Alexey/0000-0001-6123-5776; Terpugova, Svetlana/0000-0003-4468-9455</t>
  </si>
  <si>
    <t>96802S</t>
  </si>
  <si>
    <t>10.1117/12.2204791</t>
  </si>
  <si>
    <t>WOS:000366810300100</t>
  </si>
  <si>
    <t>Wansapura, PT; Díaz-Vásquez, WA; Vásquez, CC; Pérez-Donoso, JM; Chasteen, TG</t>
  </si>
  <si>
    <t>Wansapura, Poorna T.; Diaz-Vasquez, Waldo A.; Vasquez, Claudio C.; Perez-Donoso, Jose M.; Chasteen, Thomas G.</t>
  </si>
  <si>
    <t>Thermal and photo stability of glutathione-capped cadmium telluride quantum dots</t>
  </si>
  <si>
    <t>JOURNAL OF APPLIED BIOMATERIALS &amp; FUNCTIONAL MATERIALS</t>
  </si>
  <si>
    <t>Nanoparticle storage; Photooxidation; Thiol-capped</t>
  </si>
  <si>
    <t>CDTE NANOCRYSTALS; NANOPARTICLES; PHASE; YIELD</t>
  </si>
  <si>
    <t>Background: Nanoparticles (NPs) are increasingly being used in a number of applications that include biomedicine, biological labeling and cancer marker targeting, and their successful storage is important to preserve their viability. A systematic investigation of the thermal and photo stability of chemically stabilized cadmium telluride (CdTe) quantum dots (QDs) under various storage conditions either in solution or as dried nanoparticles has not been published. Here we report experiments involving chemically synthesized glutathione-capped CdTe QDs whose photoluminescence spectra were examined initially and then periodically during storage times up to 76 days. Methods: Samples of dried QDs or QDs in solution (water or buffered) were examined under different light conditions including complete darkness, constant 12,000 lux incident light, and under diurnal sunlight; at temperatures ranging from -80 degrees C to room temperature. Results: Though QDs stored in solution in the dark at -80 degrees C lost only 50% of peak fluorescence (FL510) within 2 weeks, solution-stored QDs exposed to sunlight at room temperature showed FL510 drops of 85% in the first 24 hours. In contrast, QDs precipitated from aqueous solution, dried and stored in time course experiments in the presence of atmospheric oxygen - when resuspended in water - lost an average of only 12% FL510 over 76 days under all conditions tested, even in direct sunlight. Conclusions: Glutathione-capped CdTe particles can be stored as dried nanoparticles for extended periods of time, enhancing their viability in biomedicine, biological labeling and cancer marker targeting.</t>
  </si>
  <si>
    <t>[Wansapura, Poorna T.; Chasteen, Thomas G.] Sam Houston State Univ, Dept Chem, Huntsville, TX 77340 USA; [Wansapura, Poorna T.; Chasteen, Thomas G.] Sam Houston State Univ, Texas Res Inst Environm Studies, Huntsville, TX 77340 USA; [Diaz-Vasquez, Waldo A.; Vasquez, Claudio C.] Univ Santiago, Fac Chem &amp; Biol, Santiago, Chile; [Diaz-Vasquez, Waldo A.] San Sebastian Univ, Fac Hlth Sci, Santiago, Chile; [Perez-Donoso, Jose M.] Andres Bello Univ, CBIB, Bionanotechnol &amp; Microbiol Lab, Santiago, Chile</t>
  </si>
  <si>
    <t>Texas State University System; Sam Houston State University; Texas State University System; Sam Houston State University; Universidad de Santiago de Chile; Universidad San Sebastian; Universidad Andres Bello</t>
  </si>
  <si>
    <t>Chasteen, TG (corresponding author), Sam Houston State Univ, 1003 Bowers Blvd, Huntsville, TX 77340 USA.</t>
  </si>
  <si>
    <t>chasteen@shsu.edu</t>
  </si>
  <si>
    <t>Pérez-Donoso, José M./G-3668-2013; Chasteen, Thomas G/B-6601-2009</t>
  </si>
  <si>
    <t>Pérez-Donoso, José M./0000-0002-9506-1716;</t>
  </si>
  <si>
    <t>Robert A. Welch Foundation, Houston, Texas, USA [X-011]; Chilean Antarctic Institute, Punta Arenas, Chile [INACH T-19_11]; Chilean National Commission for Scientific and Technological Research, Santiago, Chile [Fondecyt 11110077, Anillo ACT 1107]; Fondecyt Regular grant [1130362]</t>
  </si>
  <si>
    <t>Robert A. Welch Foundation, Houston, Texas, USA(The Welch Foundation); Chilean Antarctic Institute, Punta Arenas, Chile; Chilean National Commission for Scientific and Technological Research, Santiago, Chile; Fondecyt Regular grant(Comision Nacional de Investigacion Cientifica y Tecnologica (CONICYT)CONICYT FONDECYT)</t>
  </si>
  <si>
    <t>P.T.W. and T.G.C. received financial support from the Robert A. Welch Foundation (grant X-011), Houston, Texas, USA. J.M.P.-D. received financial support from the Chilean Antarctic Institute, Punta Arenas, Chile (INACH T-19_11) and Chilean National Commission for Scientific and Technological Research (Fondecyt 11110077 and Anillo ACT 1107), Santiago, Chile. W.A.D.-V. and C.C.V. received financial support from Fondecyt Regular grant 1130362.</t>
  </si>
  <si>
    <t>WICHTIG PUBL</t>
  </si>
  <si>
    <t>MILAN</t>
  </si>
  <si>
    <t>72/74 VIA FRIULI, 20135 MILAN, ITALY</t>
  </si>
  <si>
    <t>2280-8000</t>
  </si>
  <si>
    <t>J APPL BIOMATER FUNC</t>
  </si>
  <si>
    <t>J. Appl. Biomater. Funct. Mater.</t>
  </si>
  <si>
    <t>E248</t>
  </si>
  <si>
    <t>E252</t>
  </si>
  <si>
    <t>10.5301/jabfm.5000221</t>
  </si>
  <si>
    <t>Biophysics; Engineering, Biomedical; Materials Science, Biomaterials</t>
  </si>
  <si>
    <t>Biophysics; Engineering; Materials Science</t>
  </si>
  <si>
    <t>CZ5QV</t>
  </si>
  <si>
    <t>WOS:000367158000008</t>
  </si>
  <si>
    <t>Prior, C</t>
  </si>
  <si>
    <t>Prior, Christopher</t>
  </si>
  <si>
    <t>Class and Colonialism in Antarctic Exploration, 1750-1920</t>
  </si>
  <si>
    <t>LABOUR HISTORY REVIEW</t>
  </si>
  <si>
    <t>Book Review</t>
  </si>
  <si>
    <t>[Prior, Christopher] Univ Southampton, Southampton SO9 5NH, Hants, England</t>
  </si>
  <si>
    <t>University of Southampton</t>
  </si>
  <si>
    <t>Prior, C (corresponding author), Univ Southampton, Southampton SO9 5NH, Hants, England.</t>
  </si>
  <si>
    <t>LIVERPOOL UNIV PRESS</t>
  </si>
  <si>
    <t>LIVERPOOL</t>
  </si>
  <si>
    <t>4 CAMBRIDGE ST, LIVERPOOL L69 7ZU, ENGLAND</t>
  </si>
  <si>
    <t>0961-5652</t>
  </si>
  <si>
    <t>1745-8188</t>
  </si>
  <si>
    <t>LABOUR HIST REV</t>
  </si>
  <si>
    <t>Labour Hist. Rev.</t>
  </si>
  <si>
    <t>CY9IK</t>
  </si>
  <si>
    <t>WOS:000366720400009</t>
  </si>
  <si>
    <t>Sui, X; Yue, RY; Wang, L; Han, YQ</t>
  </si>
  <si>
    <t>Yarlagadda, P</t>
  </si>
  <si>
    <t>Sui, Xiao; Yue, Rongyan; Wang, Lan; Han, Yuqian</t>
  </si>
  <si>
    <t>Process Optimization of Astaxanthin Extraction from Antarctic kill (Euphausia superba) by subcritical R134a</t>
  </si>
  <si>
    <t>PROCEEDINGS OF THE 3RD INTERNATIONAL CONFERENCE ON MATERIAL, MECHANICAL AND MANUFACTURING ENGINEERING</t>
  </si>
  <si>
    <t>AER-Advances in Engineering Research</t>
  </si>
  <si>
    <t>3rd International Conference on Material, Mechanical and Manufacturing Engineering (IC3ME)</t>
  </si>
  <si>
    <t>JUN 27-28, 2015</t>
  </si>
  <si>
    <t>Guangzhou, PEOPLES R CHINA</t>
  </si>
  <si>
    <t>Antarctic kill (Euphausia superba); astaxanthin; Subcritical R134a; Response surface methodology; extraction</t>
  </si>
  <si>
    <t>Subcritical 1, 1, 1, 2-tetrafluoroethane (R134a) extraction is a modern extraction technology in natural product perpartion. The optimized process of extracting astaxanthin from Antarctic kill (Euphausia superba) through subcritical R134a was systematically investigated in this work with respect to the key parameters including extraction pressure, extraction temperature and extraction time by the response surface methodology. Response surface analysis showed that the data came to a precise fitting to a second-order polynomial model. According to the results, the optimum operating conditions with 11 MPa, 41 degrees C and 40min would increase the astaxanthin extraction rate to 93.2%. The present study suggested the feasibility of our subcritical R134a extraction approach for isolating astaxanthin from such sources as Antarctic kill.</t>
  </si>
  <si>
    <t>[Sui, Xiao] Qingdao Univ, Coll Life Sci, Qingdao 266071, Peoples R China; [Yue, Rongyan; Wang, Lan; Han, Yuqian] Ocean Univ China, Coll Food Sci &amp; Engn, Qingdao 266003, Peoples R China</t>
  </si>
  <si>
    <t>Qingdao University; Ocean University of China</t>
  </si>
  <si>
    <t>Sui, X (corresponding author), Qingdao Univ, Coll Life Sci, Qingdao 266071, Peoples R China.</t>
  </si>
  <si>
    <t>suixiaoqd@sina.com; yry86582359@126.com; wanlanouc@163.com; hanyuqian@ouc.edu.cn</t>
  </si>
  <si>
    <t>ATLANTIS PRESS</t>
  </si>
  <si>
    <t>PARIS</t>
  </si>
  <si>
    <t>29 AVENUE LAVMIERE, PARIS, 75019, FRANCE</t>
  </si>
  <si>
    <t>2352-5401</t>
  </si>
  <si>
    <t>978-94-6252-100-1</t>
  </si>
  <si>
    <t>AER ADV ENG RES</t>
  </si>
  <si>
    <t>Engineering, Multidisciplinary; Engineering, Manufacturing; Engineering, Mechanical</t>
  </si>
  <si>
    <t>BE0UT</t>
  </si>
  <si>
    <t>WOS:000367097600009</t>
  </si>
  <si>
    <t>Isaac, T; Stadler, G; Ghattas, O</t>
  </si>
  <si>
    <t>Isaac, Tobin; Stadler, Georg; Ghattas, Omar</t>
  </si>
  <si>
    <t>SOLUTION OF NONLINEAR STOKES EQUATIONS DISCRETIZED BY HIGH-ORDER FINITE ELEMENTS ON NONCONFORMING AND ANISOTROPIC MESHES, WITH APPLICATION TO ICE SHEET DYNAMICS</t>
  </si>
  <si>
    <t>SIAM JOURNAL ON SCIENTIFIC COMPUTING</t>
  </si>
  <si>
    <t>viscous incompressible flow; nonlinear Stokes equations; shear-thinning; high-order finite elements; preconditioning; multigrid; Newton-Krylov method; ice sheet modeling; Antarctic ice sheet</t>
  </si>
  <si>
    <t>SMOOTHED AGGREGATION; BENCHMARK EXPERIMENTS; FLOW; ALGORITHMS; PARALLEL; MODELS; SOLVER; GLACIERS; ROBUST; GAUSS</t>
  </si>
  <si>
    <t>Motivated by the need for efficient and accurate simulation of the dynamics of the polar ice sheets, we design high-order finite element discretizations and scalable solvers for the solution of nonlinear incompressible Stokes equations. In particular, we focus on power-law, shear thinning rheologies commonly used in modeling ice dynamics and other geophysical flows. We use nonconforming hexahedral meshes and the conforming inf-sup stable finite element velocity-pressure pairings Q(k) x Q(disc)(k-2) or Q(k) x P-k-1(disc), where k &gt;= 2 is the polynomial order of the velocity space. To solve the nonlinear equations, we propose a Newton-Krylov method with a block upper triangular preconditioner for the linearized Stokes systems. The diagonal blocks of this preconditioner are sparse approximations of the (1,1)-block and of its Schur complement. The (1,1)-block is approximated using linear finite elements based on the nodes of the high-order discretization, and the application of its inverse is approximated using algebraic multigrid with an incomplete factorization smoother. This preconditioner is designed to be efficient on anisotropic meshes, which are necessary to match the high aspect ratio domains typical for ice sheets. As part of this work, we develop and make available extensions to two libraries-a hybrid meshing scheme for the p4est parallel adaptive mesh refinement library and a modified smoothed aggregation scheme for PETSc-to improve their support for solving PDEs in high aspect ratio domains. In a comprehensive numerical study, we find that our solver yields fast convergence that is independent of the element aspect ratio, the occurrence of nonconforming interfaces, and the mesh refinement and that depends only weakly on the polynomial finite element order. We simulate the ice flow in a realistic description of the Antarctic ice sheet derived from field data and study the parallel scalability of our solver for problems with up to 383 million unknowns.</t>
  </si>
  <si>
    <t>[Isaac, Tobin; Ghattas, Omar] Univ Texas Austin, Inst Computat Engn &amp; Sci, Austin, TX 78712 USA; [Stadler, Georg] NYU, Courant Inst Math Sci, New York, NY 10012 USA; [Stadler, Georg] Inst Computat Engn &amp; Sci, Austin, TX 78712 USA; [Stadler, Georg] Univ Texas Austin, Austin, TX 78712 USA; [Ghattas, Omar] Univ Texas Austin, Dept Geol Sci, Dept Mech Engn, Austin, TX 78712 USA</t>
  </si>
  <si>
    <t>University of Texas System; University of Texas Austin; New York University; University of Texas System; University of Texas Austin; University of Texas System; University of Texas Austin</t>
  </si>
  <si>
    <t>Isaac, T (corresponding author), Univ Texas Austin, Inst Computat Engn &amp; Sci, Austin, TX 78712 USA.</t>
  </si>
  <si>
    <t>tisaac@ices.utexas.edu; stadler@cims.nyu.edu; omar@ices.utexas.edu</t>
  </si>
  <si>
    <t>U.S. Department of Energy Office of Science (DOE-SC), Advanced Scientific Computing Research (ASCR), Scientific Discovery through Advanced Computing (SciDAC) program [DE-FG02-09ER25914, DE-11018096, DE-FC02-13ER2612]; U.S. National Science Foundation (NSF) Cyber-enabled Discovery and Innovation (CDI) program [CMS-1028889, OPP-0941678]; Office of Science of the DOE [DE-AC05-00OR22725]; Div Of Civil, Mechanical, &amp; Manufact Inn; Directorate For Engineering [1028889] Funding Source: National Science Foundation</t>
  </si>
  <si>
    <t>U.S. Department of Energy Office of Science (DOE-SC), Advanced Scientific Computing Research (ASCR), Scientific Discovery through Advanced Computing (SciDAC) program; U.S. National Science Foundation (NSF) Cyber-enabled Discovery and Innovation (CDI) program(National Science Foundation (NSF)); Office of Science of the DOE(United States Department of Energy (DOE)); Div Of Civil, Mechanical, &amp; Manufact Inn; Directorate For Engineering(National Science Foundation (NSF)NSF - Directorate for Engineering (ENG))</t>
  </si>
  <si>
    <t>This work was supported by the U.S. Department of Energy Office of Science (DOE-SC), Advanced Scientific Computing Research (ASCR), Scientific Discovery through Advanced Computing (SciDAC) program, under award numbers DE-FG02-09ER25914, DE-11018096, and DE-FC02-13ER2612, and the U.S. National Science Foundation (NSF) Cyber-enabled Discovery and Innovation (CDI) program under awards CMS-1028889 and OPP-0941678. Allocations of computing time on TACC's Stampede under XSEDE, TG-DPP130002, and on ORNL's Titan, which is supported by the Office of Science of the DOE under DE-AC05-00OR22725 are gratefully acknowledged.</t>
  </si>
  <si>
    <t>SIAM PUBLICATIONS</t>
  </si>
  <si>
    <t>3600 UNIV CITY SCIENCE CENTER, PHILADELPHIA, PA 19104-2688 USA</t>
  </si>
  <si>
    <t>1064-8275</t>
  </si>
  <si>
    <t>1095-7197</t>
  </si>
  <si>
    <t>SIAM J SCI COMPUT</t>
  </si>
  <si>
    <t>SIAM J. Sci. Comput.</t>
  </si>
  <si>
    <t>B804</t>
  </si>
  <si>
    <t>B833</t>
  </si>
  <si>
    <t>10.1137/140974407</t>
  </si>
  <si>
    <t>CZ3QP</t>
  </si>
  <si>
    <t>WOS:000367019400025</t>
  </si>
  <si>
    <t>Addamo, AM; Martínez-Baraldés, I; Vertino, A; López-González, PJ; Taviani, M; Machordom, A</t>
  </si>
  <si>
    <t>Addamo, Anna Maria; Martinez-Baraldes, Irene; Vertino, Agostina; Lopez-Gonzalez, Pablo J.; Taviani, Marco; Machordom, Annie</t>
  </si>
  <si>
    <t>Morphological polymorphism of Desmophyllum dianthus (Anthozoa: Hexacorallia) over a wide ecological and biogeographic range: stability in deep habitats?</t>
  </si>
  <si>
    <t>ZOOLOGISCHER ANZEIGER</t>
  </si>
  <si>
    <t>Scleractinia; Morphology; 3D landmarks; Cnidocysts; Phenotypic plasticity; Intraspecific variation</t>
  </si>
  <si>
    <t>TAXONOMIC CLASSIFICATION; SCLERACTINIAN CORALS; STONY CORALS; REEF CORALS; CNIDARIA; SEA; MITOCHONDRIAL; ATLANTIC; SYSTEMATICS; EVOLUTION</t>
  </si>
  <si>
    <t>Although zooxanthellate corals are well known for their ecophenotypic variations, there is increasing evidence that azooxanthellate species also harbour a high degree of plasticity. Desmophyllum dianthus, a widespread solitary coral, exhibits a high degree of morphological variation in corallum forms that has never been analysed quantitatively. To assess if the clear morphological variation of D. dianthus follows a specific pattern based on environmental (or others) variables, this study combines three different morphometric approaches: (1) classical linear external morphology, (2) use of three-dimensional coordinates landmarks, and (3) linear measurements and counts made of cnidocyst features. Comparative morphological characterization of D. dianthus specimens shows a pattern of intraspecific variation over a wide ecological and biogeographic range. However, additional future studies on this and other proposed cosmopolitan species, including a similar sampling effort in localities and specimens, will be useful to explore the existence of common global patterns of morphological variability. Hypotheses for intraspecific polymorphism are discussed to explain the incongruence between the obtained results and the seemingly high morphological variability observed within D. dianthus. (C) 2015 Elsevier GmbH. All rights reserved.</t>
  </si>
  <si>
    <t>[Addamo, Anna Maria; Machordom, Annie] CSIC, MNCN, Dept Biodiversidad &amp; Biol Evolut, Madrid 28006, Spain; [Martinez-Baraldes, Irene; Lopez-Gonzalez, Pablo J.] US, Fac Biol, Dept Zool, Seville 41012, Spain; [Vertino, Agostina] Univ Milano Bicocca UNIMIB, Dipartimento Sci Ambiente &amp; Terr &amp; Sci Terra, Milan, Italy; [Taviani, Marco] CNR, Inst Sci Marine ISMAR, I-40129 Bologna, Italy; [Taviani, Marco] Woods Hole Oceanog Inst, Dept Biol, Woods Hole, MA 02543 USA</t>
  </si>
  <si>
    <t>Consejo Superior de Investigaciones Cientificas (CSIC); University of Sevilla; University of Milano-Bicocca; Consiglio Nazionale delle Ricerche (CNR); Istituto di Scienze Marine (ISMAR-CNR); Woods Hole Oceanographic Institution</t>
  </si>
  <si>
    <t>Addamo, AM (corresponding author), CSIC, MNCN, Dept Biodiversidad &amp; Biol Evolut, Jose Gutierrez Abascal 2, Madrid 28006, Spain.</t>
  </si>
  <si>
    <t>am.addamo@gmail.com</t>
  </si>
  <si>
    <t>Lopez-González, Pablo J./Y-6440-2018; Machordom, Annie/K-1737-2014; Taviani, Marco/AAF-2168-2020; Addamo, Anna Maria/R-9014-2018</t>
  </si>
  <si>
    <t>Lopez-González, Pablo J./0000-0002-7348-6270; Machordom, Annie/0000-0003-0341-0809; Taviani, Marco/0000-0003-0414-4274; Addamo, Anna Maria/0000-0002-1228-2143</t>
  </si>
  <si>
    <t>EU Hermes Programme; EUROFLEETS FP7; Spanish grants [CGL2011-23306, CTM2014-57949-R]; EU CoCoNET- Towards COast to COast NETworks of marine protected areas (from the shore to the high and deep sea), coupled with sea-based wind energy potential-from the VII FP of the European Commission; Spanish projects [REN2001-4920-E/ANT, CTM2005-07756-C02-02/MAR]</t>
  </si>
  <si>
    <t>EU Hermes Programme(European Union (EU)); EUROFLEETS FP7; Spanish grants(Spanish Government); EU CoCoNET- Towards COast to COast NETworks of marine protected areas (from the shore to the high and deep sea), coupled with sea-based wind energy potential-from the VII FP of the European Commission; Spanish projects(Spanish Government)</t>
  </si>
  <si>
    <t>Captain, crew and shipboard staff of RRVV Polarstern, Garcia del Cid, Meteor, Urania and Belgica are thanked for their efficient cooperation at sea. Cruises CORSARO and M70-1 onboard RRVV Urania and Meteor, respectively have been partly funded by EU Hermes Programme, and EUROFLEETS FP7. The authors are grateful to Stephen Cairns (NMNH) for providing coral samples on loan from the Smithsonian Institution NMNH. We thank Josep-Maria Gill and Covadonga Orejas (Institute of Marine Sciences in Barcelona, CSIC) for the opportunity to participate in Expedition CORAL-8 at Cap de Creus (NW Mediterranean Sea). Wolf Arntz (Alfred Wegener Institute, Bremerhaven) is thanked for the invitation to participate in the Polarstern cruise ANT XIX/5 (LAMPOS) and Andre Freiwald (Senckenberg am Meer) for the invitation to participate and providing the samples from M70-1Cruise.r This research was supported by Spanish grants (CGL2011-23306 and</t>
  </si>
  <si>
    <t>0044-5231</t>
  </si>
  <si>
    <t>ZOOL ANZ</t>
  </si>
  <si>
    <t>Zool. Anz.</t>
  </si>
  <si>
    <t>10.1016/j.jcz.2015.10.004</t>
  </si>
  <si>
    <t>CZ4ZP</t>
  </si>
  <si>
    <t>WOS:000367112200009</t>
  </si>
  <si>
    <t>Qiu, S; Shao, X; Cao, CY; Wang, WH</t>
  </si>
  <si>
    <t>Butler, JJ; Xiong, X; Gu, X</t>
  </si>
  <si>
    <t>Qiu, Shi; Shao, Xi; Cao, Changyong; Wang, Wenhui</t>
  </si>
  <si>
    <t>Vicarious validation of straylight correction for VIIRS Day/Night Band using Dome-C</t>
  </si>
  <si>
    <t>EARTH OBSERVING SYSTEMS XX</t>
  </si>
  <si>
    <t>Conference on Earth Observing Systems XX</t>
  </si>
  <si>
    <t>AUG 10-13, 2015</t>
  </si>
  <si>
    <t>San Diego, CA</t>
  </si>
  <si>
    <t>straylight correction; vicarious validation; VIIRS; Dome-C; Day/Night Band; IDPS data; NASA Land PEATE data</t>
  </si>
  <si>
    <t>LIGHT</t>
  </si>
  <si>
    <t>The Day/Night Band (DNB) of the Visible Infrared Imaging Radiometer Suite (VIIRS) onboard Suomi National Polar-orbiting Partnership (Suomi-NPP) represents a major advancement in night time imaging capabilities. The VIIRS DNB sensor is affected by stray light. Straylight effect on the DNB instrument is due to solar illumination entering the optical path after the satellite passes through the day-night terminator projected on Earth's surface. It results in an overall increase in the recorded radiance values. This effect is more significant during solstice. After the launch of Suomi-NPP in October 2011, there was a gray haze in radiance images observed by DNB due to straylight, and straylight correction has been implemented to remove this effect. This study performs vicarious validation of straylight correction for VIIRS DNB band using Dome C in Antarctic. Nadir observations of these high latitude regions by VIIRS are selected during perpetual night season, i.e. from April to July during the year 2014 under various lunar phases. The dependence of observed radiance over Dome C on lunar phases and the cross-comparison between DNB observations for events with/without straylight are shown in this paper. This paper presents an effective method to assess the performance of straylight correction for VIIRS DNB in Southern Hemisphere.</t>
  </si>
  <si>
    <t>[Qiu, Shi; Shao, Xi] Univ Maryland, Dept Astron, College Pk, MD 20742 USA; [Cao, Changyong] NOAA, NESDIS, STAR, Bethesda, MD USA; [Wang, Wenhui] ERT Inc, Silver Spring, MD USA</t>
  </si>
  <si>
    <t>University System of Maryland; University of Maryland College Park; National Oceanic Atmospheric Admin (NOAA) - USA</t>
  </si>
  <si>
    <t>Qiu, S (corresponding author), Univ Maryland, Dept Astron, College Pk, MD 20742 USA.</t>
  </si>
  <si>
    <t>Wang, Wenhui/D-3240-2012; Shao, Xi/H-9452-2016; Cao, Changyong/F-5578-2010</t>
  </si>
  <si>
    <t>Cao, Changyong/0000-0003-3572-6525</t>
  </si>
  <si>
    <t>978-1-62841-773-9</t>
  </si>
  <si>
    <t>96072H</t>
  </si>
  <si>
    <t>10.1117/12.2188401</t>
  </si>
  <si>
    <t>Instruments &amp; Instrumentation; Optics</t>
  </si>
  <si>
    <t>BE0OX</t>
  </si>
  <si>
    <t>WOS:000366503200069</t>
  </si>
  <si>
    <t>Wu, A; Chen, X; Angal, A; Li, Y; Xiong, X</t>
  </si>
  <si>
    <t>Wu, A.; Chen, X.; Angal, A.; Li, Y.; Xiong, X.</t>
  </si>
  <si>
    <t>Assessment of the Collection 6 Terra and Aqua MODIS Bands 1 and 2 Calibration Performance</t>
  </si>
  <si>
    <t>MODIS; reflective solar bands; vicarious calibration; BRDF; calibration difference</t>
  </si>
  <si>
    <t>REFLECTIVE SOLAR BANDS; INTERSATELLITE CALIBRATION; SATELLITES</t>
  </si>
  <si>
    <t>MODIS (Moderate Resolution Imaging Spectroradiometer) is a key sensor aboard the Terra (EOS AM) and Aqua (EOS PM) satellites. MODIS collects data in 36 spectral bands and generates over 40 data products for land, atmosphere, cryosphere and oceans. MODIS bands 1 and 2 have nadir spatial resolution of 250 m, compared with 500 m for bands 3 to 7 and 1000 m for all the remaining bands, and their measurements are crucial to derive key land surface products. This study evaluates the calibration performance of the Collection-6 L1B for both Terra and Aqua MODIS bands 1 and 2 using three vicarious approaches. The first and second approaches focus on stability assessment using data collected from two pseudo-invariant sites, Libya 4 desert and Antarctic Dome C snow surface. The third approach examines the relative stability between Terra and Aqua in reference to a third sensor from a series of NOAA 15-19 Advanced Very High Resolution Radiometer (AVHRR). The comparison is based on measurements from MODIS and AVHRR Simultaneous Nadir Overpasses (SNO) over a thirteen-year period from 2002 to 2015. Results from this study provide a quantitative assessment of Terra and Aqua MODIS bands 1 and 2 calibration stability and the relative calibration differences between the two sensors.</t>
  </si>
  <si>
    <t>[Wu, A.; Chen, X.; Angal, A.; Li, Y.] Sci Syst &amp; Applicat Inc, Lanham, MD 20706 USA; [Xiong, X.] NASA, Sci &amp; Explorat Directorate, GSFC, Greenbelt, MD 20771 USA</t>
  </si>
  <si>
    <t>Science Systems and Applications Inc; National Aeronautics &amp; Space Administration (NASA); NASA Goddard Space Flight Center</t>
  </si>
  <si>
    <t>Wu, A (corresponding author), Sci Syst &amp; Applicat Inc, 10210 Greenbelt Rd, Lanham, MD 20706 USA.</t>
  </si>
  <si>
    <t>96072B</t>
  </si>
  <si>
    <t>10.1117/12.2188260</t>
  </si>
  <si>
    <t>WOS:000366503200064</t>
  </si>
  <si>
    <t>Mozer, A; Pécskay, Z; Krajewski, KP</t>
  </si>
  <si>
    <t>Mozer, Anna; Pecskay, Zoltan; Krajewski, Krzysztof P.</t>
  </si>
  <si>
    <t>Eocene age of the Baranowski Glacier Group at Red Hill, King George Island, West Antarctica</t>
  </si>
  <si>
    <t>POLISH POLAR RESEARCH</t>
  </si>
  <si>
    <t>Antarctica; King George Island; Red Hill; Eocene; volcanogenic succession; K-Ar dating; flora</t>
  </si>
  <si>
    <t>SEISMIC STRUCTURE; MAGMATIC ROCKS; ISOTOPIC AGES; ICE-SHEET</t>
  </si>
  <si>
    <t>Radiometric and geochemical studies were carried out at Red Hill in the southern part of King George Island (South Shetland Islands, northern Antarctic Peninsula) on the Bransfield Strait coast. The rock succession at Red Hill has been determined to represent the Baranowski Glacier Group that was previously assigned a Late Cretaceous age. Two formations were distinguished within this succession: the lower Llano Point Formation and the upper Zamek Formation. These formations have stratotypes defined further to the north on the western coast of Admiralty Bay. On Red Hill the Llano Point Formation consists of terrestrial lavas and pyroclastic breccia; the Zamek Formation consist predominantly of fine to coarse tuff, pyroclastic breccia, lavas, tuffaceous mud-, silt-, and sandstone, locally conglomeratic. The lower part of the Zamek Formation contains plant detritus (Nothofagus, dicotyledonous, thermophilous ferns) and numerous coal seams (vitrinitic composition) that confirm the abundance of vegetation on stratovolcanic slopes and surrounding lowlands at that time. Selected basic to intermediate igneous rocks from the succession have been analysed for the whole-rock K-Ar age determination. The obtained results indicate that the Red Hill succession was formed in two stages: (1) from about 51-50 Ma; and (2) 46-42 Ma, i.e. during the Early to Middle Eocene. This, in combination with other data obtained from other Baranowski Glacier Group exposures on western coast of Admiralty Bay, confirms the recently defined position of the volcano-clastic succession in the stratigraphic scheme of King George Island. The new stratigraphic position and lithofacies development of the Red Hill succession strongly suggest its correlation with other Eocene formations containing fossil plants and coal seams that commonly occur on King George Island.</t>
  </si>
  <si>
    <t>[Mozer, Anna; Krajewski, Krzysztof P.] Inst Nauk Geol PAN, Osrodek Badawczy Warszawie, PL-00818 Warsaw, Poland; [Pecskay, Zoltan] Hungarian Acad Sci, Inst Nucl Res, H-4026 Debrecen, Hungary</t>
  </si>
  <si>
    <t>Polish Academy of Sciences; Institute of Geological Sciences of the Polish Academy of Sciences; Hungarian Academy of Sciences; Hungarian Research Network; HUN-REN Institute for Nuclear Research</t>
  </si>
  <si>
    <t>Mozer, A (corresponding author), Inst Nauk Geol PAN, Osrodek Badawczy Warszawie, Ul Twarda 51-55, PL-00818 Warsaw, Poland.</t>
  </si>
  <si>
    <t>amozer@twarda.pan.pl; zoltan.pecskay@gmail.com; kpkraj@twarda.pan.pl</t>
  </si>
  <si>
    <t>Polish Ministry of Science and Higher Education [DWM/N8IPY/2008]; Institute of Geological Sciences, Polish Academy of Sciences</t>
  </si>
  <si>
    <t>Polish Ministry of Science and Higher Education(Ministry of Science and Higher Education, Poland); Institute of Geological Sciences, Polish Academy of Sciences</t>
  </si>
  <si>
    <t>Reconnaissance research at Red Hill was conducted in 2006/07. The main field work on King George Island was done in 2010/2011. It was supported by the research grant of the Polish Ministry of Science and Higher Education (Grant No. DWM/N8IPY/2008). Supplementary financial support for the analytical work was provided by the grants for the development of young scientists 2013/14 and 2014/15 of the Institute of Geological Sciences, Polish Academy of Sciences (AM). Logistical support during field work was from the Arctowski Polish Antarctic Station. Field company of Piotr J. Horzela, Monika A. Kusiak, Andrzej Tatur and Mateusz Zablocki is greatly appreciated. This is a contribution to the Antarctic Climate Evolution (ACE), an official SCAR program. We thank Professor J.L. Smellie (Leicester) and Professor J. Nawrocki (Warszawa) for careful reviews, which helped to improve the manuscript.</t>
  </si>
  <si>
    <t>POLSKA AKAD NAUK, POLISH ACAD SCIENCES</t>
  </si>
  <si>
    <t>WARSZAWA</t>
  </si>
  <si>
    <t>PL DEFILAD 1, WARSZAWA, 00-901, POLAND</t>
  </si>
  <si>
    <t>0138-0338</t>
  </si>
  <si>
    <t>2081-8262</t>
  </si>
  <si>
    <t>POL POLAR RES</t>
  </si>
  <si>
    <t>Pol. Polar. Res.</t>
  </si>
  <si>
    <t>10.1515/popore-2015-0022</t>
  </si>
  <si>
    <t>CZ2SZ</t>
  </si>
  <si>
    <t>WOS:000366956200001</t>
  </si>
  <si>
    <t>Adamonis, S; Hara, U; Concheyro, A</t>
  </si>
  <si>
    <t>Adamonis, Susana; Hara, Urszula; Concheyro, Andrea</t>
  </si>
  <si>
    <t>Late Cenozoic Bryozoa from diamictites of Cape Lamb, Vega Island, Antarctic Peninsula</t>
  </si>
  <si>
    <t>Antarctica; James Ross Basin; upper Cenozoic diamictites; bryozoans; Pleistocene</t>
  </si>
  <si>
    <t>JAMES-ROSS; LITHOFACIES; DEPOSITS; MIOCENE; EOCENE; FORM</t>
  </si>
  <si>
    <t>Bryozoans were found in upper Cenozoic diamictite debris that crops out at the southwestern tip of Cape Lamb, Vega Island. The diamictite is the youngest deposit on the island and richly composed of foraminifers, brachiopods and scallops. The foraminifera assemblage recovered from the Cape Lamb diamictite and Sr-87/Sr-86 isotopic age obtained from the pectinid Adamussium colbecki in the nearby locality of Terrapin indicates a Pleistocene age for this deposit. The main goal of this contribution is to present a bryozoan assemblage of Microporella stenoporta Hayward et Taylor, Hippothoa flagellum Manzoni, Ellisina antarctica (Kluge), Micropora notialis Hayward et Ryland and an indeterminate crisiid constituting the first record of these bryozoan taxa in Cenozoic diamictites of the Antarctic Peninsula.</t>
  </si>
  <si>
    <t>[Adamonis, Susana; Concheyro, Andrea] Univ Buenos Aires, Fac Ciencias Exactas &amp; Nat, CONICET, IDEAN Inst Estudios Andinos Don Pablo Groeber, RA-1428 Buenos Aires, DF, Argentina; [Adamonis, Susana; Concheyro, Andrea] Univ Buenos Aires, Fac Ciencias Exactas &amp; Nat, Dept Ciencias Geol, RA-1428 Buenos Aires, DF, Argentina; [Hara, Urszula] Panstwowy Inst Badawczy, Panstwowy Inst Geol, PL-00975 Warsaw, Poland; [Concheyro, Andrea] Inst Antartico Argentino, Buenos Aires, DF, Argentina</t>
  </si>
  <si>
    <t>University of Buenos Aires; Consejo Nacional de Investigaciones Cientificas y Tecnicas (CONICET); University of Buenos Aires; Polish Geological Institute - National Research Institute; Instituto Antartico Argentino</t>
  </si>
  <si>
    <t>Adamonis, S (corresponding author), Univ Buenos Aires, Fac Ciencias Exactas &amp; Nat, CONICET, IDEAN Inst Estudios Andinos Don Pablo Groeber, Pabellon 2,Ciudad Univ, RA-1428 Buenos Aires, DF, Argentina.</t>
  </si>
  <si>
    <t>suad@gl.fcen.uba.ar; urszula.hara@pgi.gov.pl; andrea@gl.fcen.uba.ar</t>
  </si>
  <si>
    <t>ANPCYT [PICTO-DNA 2010-00112]; internal project run at the Polish Geological Institute-National Research Institute [61.3608.1503.00.0]</t>
  </si>
  <si>
    <t>ANPCYT(ANPCyT); internal project run at the Polish Geological Institute-National Research Institute</t>
  </si>
  <si>
    <t>The authors are indebted to J.M. Lirio for providing the studied samples. We thank the Instituto Antartico Argentino for the logistical assistance during the Argentine Summer Antarctic Expedition 2007. We are grateful to Dennis Gordon and Paul Taylor for help in systematic palaeontology and especially to J. Lopez Gappa for his valuable comments and suggestions. We also thank Claudia Marchi and the Servicio de Microscopia Avanzada de la Facultad de Ciencias Exactas y Naturales de la Universidad de Buenos Aires for SEM bryozoan photomicrographs. Miroslaw Slowakiewicz (University of Bristol) is thanked for reading the English text and comments. The authors are greatly indebted to both reviewers: Dr. Dennis Gordon (National Institute of Water and Atmospheric Research, Wellington, New Zealand) and Prof. Piotr Kuklinski (Institute of Oceanology PAS, Sopot, Poland) for the very precise review and appropriate suggestions, which improved this study. This paper is the number R-167 of the Instituto de Estudios Andinos Don Pablo Groeber (IDEAN-CONICET). This work was supported by grant ANPCYT, PICTO-DNA 2010-00112, as well as by the internal project run at the Polish Geological Institute-National Research Institute numbered 61.3608.1503.00.0 by one of us (UH).</t>
  </si>
  <si>
    <t>10.1515/popore-2015-0021</t>
  </si>
  <si>
    <t>WOS:000366956200002</t>
  </si>
  <si>
    <t>Slomska, AW; Panasiuk-Chodnicka, AA; Zmijewska, MI; Manko, MK</t>
  </si>
  <si>
    <t>Slomska, Angelika W.; Panasiuk-Chodnicka, Anna A.; Zmijewska, Maria I.; Manko, Maciej K.</t>
  </si>
  <si>
    <t>Variability of Salpa thompsoni population structure in the Drake Passage in summer season 2010</t>
  </si>
  <si>
    <t>Antarctic; planktonic tunicate; horizontal distribution; population structure; climate change</t>
  </si>
  <si>
    <t>SOUTHERN-OCEAN; ATLANTIC SECTOR; SALP/KRILL INTERACTIONS; EUPHAUSIA-SUPERBA; KRILL; ECOLOGY; WATERS; EXTENT</t>
  </si>
  <si>
    <t>Dynamic climate changes have become noticeable in recent decades, especially in the vulnerable region of the West Antarctic. The relatively simple food web of this area relies on krill - Euphausia superba. Presumably, as a result of climatic fluctuations, a decrease in the number of this crustacean has been recorded, followed by an increase in the population of the gelatinous zooplankter Salpa thompsoni. In the research presented herein, population and morphometric analyses of Salpa thompsoni have been conducted. Specimens for this research were collected from the Drake Passage, using a Bongo net in the summer season of 2010. It has been found that the horizontal distribution of this gelatinous zooplankter was significantly irregular (Kruskal-Wallis test, p&lt;0.001). In the northern part of the investigated area, both blastozooids and oozooids were recorded, which confirms the dynamic development of this species. The central part of the Drake Passage was characterized by the dominance of blastozooids, with embryos found at different stages of the development. Only in the region of the South Shetland Islands, the salpid population was characterized by reduced or even stopped reproduction. The immense reproductive efficiency observed in the Salpa thompsoni population was mostly induced by the favourable thermal conditions. These observations may suggest that the ongoing climat changes in the West Antarctic will promote the population expansion of this species.</t>
  </si>
  <si>
    <t>[Slomska, Angelika W.; Panasiuk-Chodnicka, Anna A.; Zmijewska, Maria I.; Manko, Maciej K.] Uniwersytet Gdanski, Wydzial Oceanog &amp; Geog, Zaklad Badan Planktonu Morskiego, PL-81378 Gdynia, Poland</t>
  </si>
  <si>
    <t>Slomska, AW (corresponding author), Uniwersytet Gdanski, Wydzial Oceanog &amp; Geog, Zaklad Badan Planktonu Morskiego, Al Pilsudskiego 46, PL-81378 Gdynia, Poland.</t>
  </si>
  <si>
    <t>angelika.slomska@ug.edu.pl; oceapc@ug.edu.pl; ocemiz@ug.edu.pl; mmanko@ug.edu.pl</t>
  </si>
  <si>
    <t>Man'ko, Margarita A/M-6264-2015; Panasiuk, Anna/HDO-1195-2022</t>
  </si>
  <si>
    <t>Man'ko, Margarita A/0000-0003-1282-4560; Manko, Maciej Karol/0000-0001-6872-0256; Panasiuk, Anna/0000-0002-1008-2922; Slomska, Angelika/0000-0001-6670-0040</t>
  </si>
  <si>
    <t>Ministry of Science and Higher Education (Poland) [N306 445 638]; Shirshov Institute of Oceanology of the Russian Academy of Sciences</t>
  </si>
  <si>
    <t>Ministry of Science and Higher Education (Poland)(Ministry of Science and Higher Education, Poland); Shirshov Institute of Oceanology of the Russian Academy of Sciences</t>
  </si>
  <si>
    <t>We would like to thank the Shirshov Institute of Oceanology of the Russian Academy of Sciences for the opportunity to collect zooplankton samples, and the crew of R/V Akademik Ioffe for their help in our research. Also, we would like to thank Dr Luiza Bielecka and Prof. Maciej Wolowicz for their assistance in collection of samples. The authors would also like to express their gratitude to E.A. Pakhomov and one anonymous reviewer. This work was supported by the research grant no. N306 445 638 (2010-2012) awarded to Institute of Oceanography (University of Gdansk) by Ministry of Science and Higher Education (Poland), and with scientific cooperation with the Shirshov Institute of Oceanology of the Russian Academy of Sciences.</t>
  </si>
  <si>
    <t>10.1515/popore-2015-0020</t>
  </si>
  <si>
    <t>WOS:000366956200006</t>
  </si>
  <si>
    <t>Zemko, K; Pabis, K; Sicinski, J; Blazewicz-Paszkowycz, M</t>
  </si>
  <si>
    <t>Zemko, Karol; Pabis, Krzysztof; Sicinski, Jacek; Blazewicz-Paszkowycz, Magdalena</t>
  </si>
  <si>
    <t>Diversity and abundance of isopod fauna associated with holdfasts of the brown alga Himantothallus grandifolius in Admiralty Bay, Antarctic</t>
  </si>
  <si>
    <t>Antarctic; Admiralty Bay; Isopoda; macroalgae; habitat complexity</t>
  </si>
  <si>
    <t>DOMINANT SUBTIDAL MACROALGAE; KELP MACROCYSTIS-PYRIFERA; CRUSTACEA; DISPERSAL; BIODIVERSITY; MALACOSTRACA; COMMUNITIES; ASSEMBLAGES; COMPLEXITY; PATTERNS</t>
  </si>
  <si>
    <t>Fifteen species of isopods, representing 10 families, were recorded on holdfasts of the brown alga Himantothallus grandifolius. Material was collected in the 15-75 m depth range during the austral summer of 1979/80. The isopod community was dominated by Caecognathia antarctica (mean density 12.4 +/- 13.1 ind./100 ml) followed by Cymodocella tubicauda (mean density 0.7 +/- 2.1 ind./100 ml). Mean total density of isopods reached the value of 16.1 +/- 14.0 ind./100 ml. The comparison with the other studies showed that holdfasts are inhabited by a distinctive isopod community that differs from the isopod fauna associated with soft bottom of Admiralty Bay.</t>
  </si>
  <si>
    <t>[Zemko, Karol; Pabis, Krzysztof; Sicinski, Jacek; Blazewicz-Paszkowycz, Magdalena] Uniwersytet Lodzki, Zaklad Biol Polarnej &amp; Oceanobiol, PL-90237 Lodz, Poland</t>
  </si>
  <si>
    <t>Blazewicz-Paszkowycz, M (corresponding author), Uniwersytet Lodzki, Zaklad Biol Polarnej &amp; Oceanobiol, Ul Banacha 12-16, PL-90237 Lodz, Poland.</t>
  </si>
  <si>
    <t>magdab@biol.uni.lodz.pl</t>
  </si>
  <si>
    <t>Błażewicz, Magdalena/J-5175-2017; Sicinski, Jacek/P-2033-2017; Pabis, Krzysztof/O-8628-2017</t>
  </si>
  <si>
    <t>Sicinski, Jacek/0000-0002-5235-3188; Pabis, Krzysztof/0000-0002-9625-3453; Blazewicz, Magdalena/0000-0002-4753-3424</t>
  </si>
  <si>
    <t>10.1515/popore-2015-0023</t>
  </si>
  <si>
    <t>WOS:000366956200007</t>
  </si>
  <si>
    <t>Tai, RTH; Pearre, NS; Kao, SM</t>
  </si>
  <si>
    <t>Tai, Ray Tsung-Han; Pearre, Nathaniel S.; Kao, Shih-Ming</t>
  </si>
  <si>
    <t>Analysis and Potential Alternatives for the Disputed South China Sea from Ocean Governance in the Polar Regions</t>
  </si>
  <si>
    <t>COASTAL MANAGEMENT</t>
  </si>
  <si>
    <t>climate change; ocean governance; polar regions; regimes; South China Sea</t>
  </si>
  <si>
    <t>ANTARCTICA; REGIME</t>
  </si>
  <si>
    <t>Sovereignty claims over insular features and maritime jurisdiction in the South China Sea have been disputed for decades, and a governance regime to address ocean-related issues is urgently needed. This article first introduces the notion of a regime, and examines details of cooperation mechanisms in the Polar Regions. Lessons that can be applied to the South China Sea include that both soft and hard law regimes work to bring States concerned together to cooperate on the commons issues even when military conflicts or sovereignty disputes still exist. Consensus among bordering States would be necessary to make the South China Sea a zone of peace. Mechanisms that accommodate the various sovereignty claims and freeze existing and new claims to, as well as to prohibit military activities in, the South China Sea are recommended. Lastly, if a cooperative mechanism were to be established in the future, the Arctic regime would be more applicable to the South China Sea than the Antarctic regime due to their geographic nature. Thus, only States bordering the South China Sea should have voting and decision-making rights in the cooperative mechanism. As always, the political will of all parties is paramount to the success of such an endeavor.</t>
  </si>
  <si>
    <t>[Tai, Ray Tsung-Han] Shandong Univ, Sch Law, Jinan, Shandong, Peoples R China; [Pearre, Nathaniel S.] Dalhousie Univ, Renewable Energy Storage Lab, Halifax, NS, Canada; [Kao, Shih-Ming] Natl Sun Yat Sen Univ, Inst Marine Affairs, Kaohsiung 80424, Taiwan</t>
  </si>
  <si>
    <t>Shandong University; Dalhousie University; National Sun Yat Sen University</t>
  </si>
  <si>
    <t>Kao, SM (corresponding author), Natl Sun Yat Sen Univ, Inst Marine Affairs, 70 Lien Hai Rd, Kaohsiung 80424, Taiwan.</t>
  </si>
  <si>
    <t>kaosm@mail.nsysu.edu.tw</t>
  </si>
  <si>
    <t>0892-0753</t>
  </si>
  <si>
    <t>1521-0421</t>
  </si>
  <si>
    <t>COAST MANAGE</t>
  </si>
  <si>
    <t>Coast. Manage.</t>
  </si>
  <si>
    <t>10.1080/08920753.2015.1086949</t>
  </si>
  <si>
    <t>CY1HX</t>
  </si>
  <si>
    <t>WOS:000366158400003</t>
  </si>
  <si>
    <t>Humbert, A; Steinhage, D; Helm, V; Hoerz, S; Berendt, J; Leipprand, E; Christmann, J; Plate, C; Müller, R</t>
  </si>
  <si>
    <t>Humbert, Angelika; Steinhage, Daniel; Helm, Veit; Hoerz, Sebastian; Berendt, Jacqueline; Leipprand, Elke; Christmann, Julia; Plate, Carolin; Mueller, Ralf</t>
  </si>
  <si>
    <t>On the link between surface and basal structures of the Jelbart Ice Shelf, Antarctica</t>
  </si>
  <si>
    <t>Antarctic glaciology; ice dynamics; ice shelves; remote sensing; structural glaciology</t>
  </si>
  <si>
    <t>MASS-BALANCE</t>
  </si>
  <si>
    <t>To understand the dynamics of ice shelves, a knowledge of their internal and basal structure is very important. As the capacity to perform local surveys is limited, remote sensing provides an opportunity to obtain the relevant information. We must prove, however, that the relevant information can be obtained from remote sensing of the surface. That is the aim of this study. The Jelbart Ice Shelf, Antarctica, exhibits a variety of surface structures appearing as stripe-like features in radar imagery. We performed an airborne geophysical survey across these features and compared the results to TerraSAR-X imagery. We find that the stripe-like structures indicate surface troughs coinciding with the location of basal channels and crevasse-like features, revealed by radio-echo sounding. HH and VV polarizations do not show different magnitude. In surface troughs, the local accumulation rate is larger than at the flat surface. Viscoelastic modelling is used to gain an understanding of the surface undulations and their origin. The surface displacement, computed with a Maxwell model, matches the observed surface reasonably well. Our simulations show that the surface troughs develop over decadal to centennial timescales.</t>
  </si>
  <si>
    <t>[Humbert, Angelika; Steinhage, Daniel; Helm, Veit; Hoerz, Sebastian] Alfred Wegener Inst Helmholtz Ctr Polar &amp; Marine, Bremerhaven, Germany; [Humbert, Angelika; Berendt, Jacqueline; Leipprand, Elke] Univ Bremen, Dept Geosci, D-28359 Bremen, Germany; [Christmann, Julia; Plate, Carolin; Mueller, Ralf] TU Kaiserslautern, Chair Tech Mech, Kaiserslautern, Germany</t>
  </si>
  <si>
    <t>Helmholtz Association; Alfred Wegener Institute, Helmholtz Centre for Polar &amp; Marine Research; University of Bremen; University of Kaiserslautern</t>
  </si>
  <si>
    <t>Humbert, A (corresponding author), Alfred Wegener Inst Helmholtz Ctr Polar &amp; Marine, Bremerhaven, Germany.</t>
  </si>
  <si>
    <t>angelika.humbert@awi.de</t>
  </si>
  <si>
    <t>Humbert, Angelika/0000-0002-0244-8760</t>
  </si>
  <si>
    <t>HGF Alliance Remote Sensing and Earth System Analysis</t>
  </si>
  <si>
    <t>This work was funded by the HGF Alliance Remote Sensing and Earth System Analysis. A.H. thanks Olaf Eisen for useful discussions on radar data analysis. We are grateful for two in-depth reviews by an anonymous reviewer, which were extremely helpful for improving the manuscript. A.H. thanks Marcel Humbert for rigorous criticism of presumptions.</t>
  </si>
  <si>
    <t>10.3189/2015JoG15J023</t>
  </si>
  <si>
    <t>CY3YE</t>
  </si>
  <si>
    <t>WOS:000366345000013</t>
  </si>
  <si>
    <t>Treverrow, A; Warner, RC; Budd, WF; Jacka, TH; Roberts, JL</t>
  </si>
  <si>
    <t>Treverrow, Adam; Warner, Roland C.; Budd, William F.; Jacka, T. H.; Roberts, Jason L.</t>
  </si>
  <si>
    <t>Modelled stress distributions at the Dome Summit South borehole, Law Dome, East Antarctica: a comparison of anisotropic ice flow relations</t>
  </si>
  <si>
    <t>anisotropic ice flow; ice dynamics; ice rheology; ice-sheet modelling</t>
  </si>
  <si>
    <t>STRAIN-RATE; MECHANICAL-PROPERTIES; POLYCRYSTALLINE ICE; TERTIARY CREEP; POLAR ICE; SHEET; DEFORMATION; GREENLAND; CORE; MICROSTRUCTURE</t>
  </si>
  <si>
    <t>In this study we compare the anisotropic flow relations for polycrystalline ice of Azuma and Goto-Azuma (1996), Thorsteinsson (2002), Placidi and others (2010) and Budd and others (2013). Observations from the Dome Summit South (DSS) ice-coring site at Law Dome, East Antarctica, are used to model the vertical distribution of deviatoric stress components at the borehole site. The flow relations in which the anisotropic rheology is parameterized by a scalar function, so that the strain-rate and deviatoric stress tensor components are collinear, provide simple shear and vertical compression deviatoric stress profiles that are most consistent with laboratory observations of tertiary creep in combined stress configurations. Those flow relations where (1) the anisotropy is derived from the magnitude of applied stresses resolved onto the basal planes of individual grains and (2) the macroscopic deformation is obtained via homogenization of individual grain responses provide stress estimates less consistent with laboratory observations. This is most evident in combined simple shear and vertical compression flow regimes where shear is dominant. Our results highlight the difficulties associated with developing flow relations which incorporate a physically based description of microdeformation processes. In particular, this requires that all relevant microdeformation, recrystallization and recovery processes are adequately parameterized.</t>
  </si>
  <si>
    <t>[Treverrow, Adam; Warner, Roland C.; Budd, William F.; Jacka, T. H.; Roberts, Jason L.] Univ Tasmania, Antarctic Climate &amp; Ecosyst Cooperat Res Ctr, Hobart, Tas, Australia; [Roberts, Jason L.] Australian Antarctic Div, Kingston, Tas, Australia</t>
  </si>
  <si>
    <t>Antarctic Climate &amp; Ecosystems Cooperative Research Centre (ACE CRC); University of Tasmania; Australian Antarctic Division</t>
  </si>
  <si>
    <t>Treverrow, A (corresponding author), Univ Tasmania, Antarctic Climate &amp; Ecosyst Cooperat Res Ctr, Hobart, Tas, Australia.</t>
  </si>
  <si>
    <t>adam.treverrow@utas.edu.au</t>
  </si>
  <si>
    <t>Warner, Robert R./M-5342-2013; Warner, Roland Charles/ISS-2485-2023; Roberts, Jason L/B-2235-2012; Treverrow, Adam/J-7450-2014</t>
  </si>
  <si>
    <t>Warner, Roland Charles/0000-0002-9778-3544; Roberts, Jason L/0000-0002-3477-4069; Treverrow, Adam/0000-0003-4666-0488</t>
  </si>
  <si>
    <t>Australian Government Cooperative Research Centres Programme, through the Antarctic Climate and Ecosystems Cooperative Research Centre (ACE CRC); Australian Antarctic Science Program through AAS project [4289]</t>
  </si>
  <si>
    <t>Australian Government Cooperative Research Centres Programme, through the Antarctic Climate and Ecosystems Cooperative Research Centre (ACE CRC)(Australian GovernmentDepartment of Industry, Innovation and ScienceCooperative Research Centres (CRC) Programme); Australian Antarctic Science Program through AAS project</t>
  </si>
  <si>
    <t>This work is supported by the Australian Government Cooperative Research Centres Programme, through the Antarctic Climate and Ecosystems Cooperative Research Centre (ACE CRC), and the by Australian Antarctic Science Program through AAS project 4289. We thank Ed Waddington, an anonymous reviewer and the scientific editor, Sergio H. Faria, for detailed comments which improved the manuscript.</t>
  </si>
  <si>
    <t>10.3189/2015JoG14J198</t>
  </si>
  <si>
    <t>WOS:000366345000014</t>
  </si>
  <si>
    <t>Young, RM; Schoenrock, KM; von Salm, JL; Amsler, CD; Baker, BJ</t>
  </si>
  <si>
    <t>Stengel, DB; Connan, S</t>
  </si>
  <si>
    <t>Young, Ryan M.; Schoenrock, Kathryn M.; von Salm, Jacqueline L.; Amsler, Charles D.; Baker, Bill J.</t>
  </si>
  <si>
    <t>Structure and Function of Macroalgal Natural Products</t>
  </si>
  <si>
    <t>NATURAL PRODUCTS FROM MARINE ALGAE: METHODS AND PROTOCOLS</t>
  </si>
  <si>
    <t>Methods in Molecular Biology</t>
  </si>
  <si>
    <t>Chemical ecology; Macroalgae; Natural products; Secondary metabolites</t>
  </si>
  <si>
    <t>WOUND-ACTIVATED TRANSFORMATION; ANTARCTIC MARINE ORGANISMS; MOLLUSK ELYSIA-RUFESCENS; ALGA CAULERPA-TAXIFOLIA; UV-B RADIATION; RED ALGA; BROWN ALGA; CHEMICAL DEFENSES; AMINO-ACIDS; SECONDARY METABOLITES</t>
  </si>
  <si>
    <t>Since the initial discovery of marine phyco-derived secondary metabolites in the 1950s there has been a rapid increase in the description of new algal natural products. These metabolites have multiple ecological roles as well as commercial value as potential drugs or lead compounds. With the emergence of resistance to our current arsenal of drugs as well as the development of new chemotherapies for currently untreatable diseases, new compounds must be sourced. As outlined in this chapter algae produce a diverse range of chemicals many of which have potential for the treatment of human afflictions. In this chapter we outline the classes of metabolites produced by this chemically rich group of organisms as well as their respective ecological roles in the environment. Algae are found in nearly every environment on earth, with many of these organisms possessing the ability to shape the ecosystem they inhabit. With current challenges to climate stability, understanding how these important organisms interact with their environment as well as one another might afford better insight into how they respond to a changing climate.</t>
  </si>
  <si>
    <t>[Young, Ryan M.; von Salm, Jacqueline L.; Baker, Bill J.] Univ S Florida, Dept Chem, Ctr Drug Discovery &amp; Innovat, Tampa, FL 33620 USA; [Schoenrock, Kathryn M.; Amsler, Charles D.] Univ Alabama Birmingham, Dept Biol, Birmingham, AL 35294 USA</t>
  </si>
  <si>
    <t>State University System of Florida; University of South Florida; University of Alabama System; University of Alabama Birmingham</t>
  </si>
  <si>
    <t>Young, RM (corresponding author), Univ S Florida, Dept Chem, Ctr Drug Discovery &amp; Innovat, Tampa, FL 33620 USA.</t>
  </si>
  <si>
    <t>Baker, Bill/N-4312-2019; Young, Ryan M/E-9698-2019; Schoenrock, Kathryn/B-9082-2018</t>
  </si>
  <si>
    <t>HUMANA PRESS INC</t>
  </si>
  <si>
    <t>TOTOWA</t>
  </si>
  <si>
    <t>999 RIVERVIEW DR, STE 208, TOTOWA, NJ 07512-1165 USA</t>
  </si>
  <si>
    <t>1064-3745</t>
  </si>
  <si>
    <t>1940-6029</t>
  </si>
  <si>
    <t>978-1-4939-2684-8; 978-1-4939-2683-1</t>
  </si>
  <si>
    <t>METHODS MOL BIOL</t>
  </si>
  <si>
    <t>Methods Mol. Biol.</t>
  </si>
  <si>
    <t>10.1007/978-1-4939-2684-8_2</t>
  </si>
  <si>
    <t>10.1007/978-1-4939-2684-8</t>
  </si>
  <si>
    <t>BE0GG</t>
  </si>
  <si>
    <t>WOS:000365987100003</t>
  </si>
  <si>
    <t>Key, J; Goodison, B; Schöner, W; Godoy, O; Ondrás, M; Snorrason, A</t>
  </si>
  <si>
    <t>Key, Jeffrey; Goodison, Barry; Schoener, Wolfgang; Godoy, Oystein; Ondras, Miroslav; Snorrason, Arni</t>
  </si>
  <si>
    <t>A Global Cryosphere Watch</t>
  </si>
  <si>
    <t>ARCTIC</t>
  </si>
  <si>
    <t>cryosphere; snow; ice; permafrost; Arctic; Antarctic; observing system</t>
  </si>
  <si>
    <t>There is now an unprecedented demand for authoritative information on the past, present, and future states of the world's snow and ice resources. The cryosphere is one of the most useful indicators of climate change, yet is one of the most under-sampled domains in the climate system. The Sixteenth World Meteorological Congress (Geneva, 2011) decided to embark on the development of a Global Cryosphere Watch (GCW) as an International Polar Year (IPY) legacy. Through WMO and its partners, GCW is now being implemented for sustained cryosphere observing and monitoring and provision of cryosphere data and-information. GCW will ensure a comprehensive, coordinated, and sustainable system of observations and information that will allow for a full understanding of the cryosphere and its changes. It will initiate a surface-based cryosphere observing network called CryoNet that, will establish best practices and guidelines for cryospheric measurement, data formats, and metadata by building on existing efforts. A complementary task involves developing an inventory of candidate satellite products that are mature and generally accepted by the scientific community. GCW is establishing interoperability between data management systems, and the GCW data portal will provide the ability to exchange data and information with a distributed network of providers.</t>
  </si>
  <si>
    <t>[Key, Jeffrey] NOAA, NOAA NESDIS, Madison, WI 53706 USA; [Goodison, Barry; Ondras, Miroslav] WMO, CH-1211 Geneva, Switzerland; [Schoener, Wolfgang] Graz Univ, Dept Geog &amp; Reg Sci, A-8010 Graz, Austria; [Godoy, Oystein] Norwegian Meteorol Inst, N-0313 Oslo, Norway; [Snorrason, Arni] Iceland Meteorol Off, IS-108 Reykjavik, Iceland</t>
  </si>
  <si>
    <t>National Oceanic Atmospheric Admin (NOAA) - USA; University of Graz; Norwegian Meteorological Institute</t>
  </si>
  <si>
    <t>Key, J (corresponding author), NOAA, NOAA NESDIS, 1225 West Dayton St, Madison, WI 53706 USA.</t>
  </si>
  <si>
    <t>jkey@ssec.wisc.edu</t>
  </si>
  <si>
    <t>Key, Jeffrey R./AAB-7248-2020; Schöner, Wolfgang/AAW-8026-2020</t>
  </si>
  <si>
    <t>Schöner, Wolfgang/0000-0001-6546-0639</t>
  </si>
  <si>
    <t>ARCTIC INST N AMER</t>
  </si>
  <si>
    <t>CALGARY</t>
  </si>
  <si>
    <t>UNIV OF CALGARY 2500 UNIVERSITY DRIVE NW 11TH FLOOR LIBRARY TOWER, CALGARY, ALBERTA T2N 1N4, CANADA</t>
  </si>
  <si>
    <t>0004-0843</t>
  </si>
  <si>
    <t>1923-1245</t>
  </si>
  <si>
    <t>Arctic</t>
  </si>
  <si>
    <t>10.14430/arctic4476</t>
  </si>
  <si>
    <t>CX1NS</t>
  </si>
  <si>
    <t>WOS:000365463500007</t>
  </si>
  <si>
    <t>McClelland, JW; Tank, SE; Spencer, RGM; Shiklomanov, AI</t>
  </si>
  <si>
    <t>McClelland, James W.; Tank, Suzanne E.; Spencer, Robert G. M.; Shiklomanov, Alexander I.</t>
  </si>
  <si>
    <t>Coordination and Sustainability of River Observing Activities in the Arctic</t>
  </si>
  <si>
    <t>Arctic; river; discharge; chemistry; observing network; monitoring</t>
  </si>
  <si>
    <t>DISCHARGE; REGIME; SHELF</t>
  </si>
  <si>
    <t>To understand and respond to changes in the world's northern regions, we need a coordinated system of long-term Arctic observations. River networks naturally integrate across landscapes and link the terrestrial and ocean domains. Changes in river discharge reflect changes in the terrestrial water balance, whereas changes in water chemistry are linked to changes in biogeochemical processes and water flow paths. Sustained measurements of river water discharge and water chemistry are therefore essential components of an Arctic observing network. As we strive to establish and sustain long-term observations in the Arctic, these two measurements must be coupled. Although river discharge and chemistry measurements are already coupled to some extent within national boundaries, this is not done in a consistent and coordinated fashion across the pan-Arctic domain. As a consequence, data quality and availability vary widely among regions. International coordination of river discharge and chemistry measurements in the Arctic would be greatly facilitated by formal commitments to maintain a set of core sites and associated measurements that are mutually agreed upon among pan-Arctic nations. Involvement of the agencies currently operating river discharge gauges around the Arctic and establishment of an overarching coordination entity to implement shared protocols, track data quality, and manage data streams would be essential in this endeavor. Focused studies addressing scale-dependent relationships between watershed characteristics and water chemistry, in-stream processes, and estuarine and coastal dynamics are also needed to support interpretation and application of Arctic river observing data as they relate to land and ocean change.</t>
  </si>
  <si>
    <t>[McClelland, James W.] Univ Texas Austin, Inst Marine Sci, Port Aransas, TX 78373 USA; [Tank, Suzanne E.] York Univ, Dept Geog, Toronto, ON M3J 1P3, Canada; [Tank, Suzanne E.] Univ Alberta, Dept Biol Sci, Edmonton, AB T6G 2E9, Canada; [Spencer, Robert G. M.] Florida State Univ, Dept Earth Ocean &amp; Atmospher Sci, Tallahassee, FL 32306 USA; [Shiklomanov, Alexander I.] Univ New Hampshire, Earth Syst Res Ctr, Durham, NH 03824 USA; [Shiklomanov, Alexander I.] Arctic &amp; Antarctic Res Inst, River Estuary Hydrol &amp; Water Resources Dept, St Petersburg 199397, Russia</t>
  </si>
  <si>
    <t>University of Texas System; University of Texas Austin; York University - Canada; University of Alberta; State University System of Florida; Florida State University; University System Of New Hampshire; University of New Hampshire; Arctic &amp; Antarctic Research Institute</t>
  </si>
  <si>
    <t>McClelland, JW (corresponding author), Univ Texas Austin, Inst Marine Sci, 750 Channel View Dr, Port Aransas, TX 78373 USA.</t>
  </si>
  <si>
    <t>jimm@utexas.edu</t>
  </si>
  <si>
    <t>McClelland, James W/IWE-5143-2023; Tank, Suzanne/I-4816-2012</t>
  </si>
  <si>
    <t>McClelland, James W/0000-0001-9619-8194; Tank, Suzanne/0000-0002-5371-6577; Shiklomanov, Alexander/0000-0001-9790-3510</t>
  </si>
  <si>
    <t>Office of Polar Programs (OPP); Directorate For Geosciences [1500169, 1204070] Funding Source: National Science Foundation; Office Of The Director; EPSCoR [1101245] Funding Source: National Science Foundation</t>
  </si>
  <si>
    <t>Office of Polar Programs (OPP); Directorate For Geosciences(National Science Foundation (NSF)NSF - Directorate for Geosciences (GEO)); Office Of The Director; EPSCoR(National Science Foundation (NSF)NSF - Office of the Director (OD)NSF - Office of Integrative Activities (OIA))</t>
  </si>
  <si>
    <t>10.14430/arctic4448</t>
  </si>
  <si>
    <t>WOS:000365463500008</t>
  </si>
  <si>
    <t>Moncel, R</t>
  </si>
  <si>
    <t>Moncel, Remi</t>
  </si>
  <si>
    <t>Dangerous Experiments: Scientific Integrity in International Environmental Adjudications after the ICJ's Decision in Whaling in the Antarctic</t>
  </si>
  <si>
    <t>ECOLOGY LAW QUARTERLY</t>
  </si>
  <si>
    <t>Scientific questions are central to many international environmental adjudications. They bear on the risk of harm to the environment and human health of many of the national policies and regulations challenged before international courts. Despite the importance for people and the environment of international courts correctly resolving these scientific questions, there is a surprising lack of procedural law governing courts' admission and handling of scientific evidence. This Note argues that this lack of procedure grants international courts too much discretion. The Note analyzes the recent International Court of Justice decision in Whaling in the Antarctic to explain why the status quo in international environmental adjudications threatens scientific integrity. The Note also draws on the International Court of Justice's decision in Pulp Mills and the World Trade Organization's rulings in the Beef Hormones dispute to further explain the need for greater procedural clarity. In closing, the Note offers possible solutions to improve scientific integrity in international environmental adjudications.</t>
  </si>
  <si>
    <t>[Moncel, Remi] Univ Calif Berkeley, Sch Law, Berkeley, CA 94720 USA</t>
  </si>
  <si>
    <t>University of California System; University of California Berkeley</t>
  </si>
  <si>
    <t>Moncel, R (corresponding author), Univ Calif Berkeley, Sch Law, Boalt Hall, Berkeley, CA 94720 USA.</t>
  </si>
  <si>
    <t>UNIV CALIFORNIA BERKELEY SCH LAW</t>
  </si>
  <si>
    <t>BERKELEY</t>
  </si>
  <si>
    <t>BOAT HALL, 588 SIMON HALL, BERKELEY, CA 94720-7200 USA</t>
  </si>
  <si>
    <t>0046-1121</t>
  </si>
  <si>
    <t>ECOL LAW QUART</t>
  </si>
  <si>
    <t>Ecol. Law Q.</t>
  </si>
  <si>
    <t>CW4RX</t>
  </si>
  <si>
    <t>WOS:000364980900006</t>
  </si>
  <si>
    <t>Sakerin, SM; Bobrikov, AA; Bukin, OA; Golobokova, LP; Pol'kin, VV; Pol'kin, VV; Shmirko, KA; Kabanov, DM; Khodzher, TV; Onischuk, NA; Pavlov, AN; Potemkin, VL; Radionov, VF</t>
  </si>
  <si>
    <t>Sakerin, S. M.; Bobrikov, A. A.; Bukin, O. A.; Golobokova, L. P.; Pol'kin, Vas. V.; Pol'kin, Vik. V.; Shmirko, K. A.; Kabanov, D. M.; Khodzher, T. V.; Onischuk, N. A.; Pavlov, A. N.; Potemkin, V. L.; Radionov, V. F.</t>
  </si>
  <si>
    <t>On measurements of aerosol-gas composition of the atmosphere during two expeditions in 2013 along the Northern Sea Route</t>
  </si>
  <si>
    <t>ATMOSPHERIC CHEMISTRY AND PHYSICS</t>
  </si>
  <si>
    <t>PLANETARY BOUNDARY-LAYER; BLACK CARBON MEASUREMENTS; OPTICAL DEPTH; CHEMICAL-COMPOSITION; TROPOSPHERIC AEROSOLS; DRY DEPOSITION; ICE LOSS; OCEAN; TRANSPORT; ATLANTIC</t>
  </si>
  <si>
    <t>We presented the results of expedition measurements of the set of physical-chemical characteristics of atmospheric aerosol in areas of the Arctic and Far East seas, performed onboard RV Akademik Fedorov (17 Augus-22 September 2013) and RV Professor Khljustin (24 July-7 September 2013). The specific features of spatial distribution and time variations of aerosol optical depth (AOD) of the atmosphere in the wavelength range of 0.34-2.14 mu m and boundary layer height, aerosol and black carbon mass concentrations, and disperse and chemical composition of aerosol are discussed. Over the Arctic Ocean (on the route of RV Akademik Fedorov) there is a decrease in aerosol and black carbon concentrations in a northeastern direction: higher values were observed in the region of Spitsbergen and near the Kola Peninsula; and minimum values were observed at northern margins of the Laptev Sea. Average AOD (0.5 mu m) values in this remote region were 0.03; the aerosol and black carbon mass concentrations were 875 and 22 ng m(-3), respectively. The spatial distributions of most aerosol characteristics over Far East seas show their latitudinal decrease in the northern direction. On transit of RV Professor Khljustin from the Japan Sea to the Chukchi Sea, the aerosol number concentration decreased on average from 23.7 to 2.5 cm(-3), the black carbon mass concentration decreased from 150 to 50 ng m(-3), and AOD decreased from 0.19 to 0.03. We analyzed the variations in the boundary layer height, measured by ship-based lidar: the average value was 520 m, and the maximal value was 1200 m. In latitudinal distribution of the boundary layer height, there is a characteristic minimum at a latitude of similar to 55 degrees N. For water basins of eight seas, we present the chemical compositions of the water-soluble aerosol fraction (ions, elements) and small gas-phase species, as well as estimates of their vertical fluxes. It is shown that substances are mainly (75-89 %) supplied from the atmosphere to the sea surface together with gas-phase species. The deposited ions account for from 11 to 24.5 %, and trace elements account for 0.2-0.4% of the total sum of water-soluble components. The average vertical fluxes of aerosol substance are a factor of 4-7 larger in the Japan Sea than in the water basins of Arctic seas.</t>
  </si>
  <si>
    <t>[Sakerin, S. M.; Pol'kin, Vas. V.; Pol'kin, Vik. V.; Kabanov, D. M.] Russian Acad Sci, Siberian Branch, VE Zuev Inst Atmospher Opt, Tomsk, Russia; [Bobrikov, A. A.; Bukin, O. A.] Admiral GI Nevelsky State Marine Univ, Vladivostok, Russia; [Golobokova, L. P.; Khodzher, T. V.; Onischuk, N. A.; Potemkin, V. L.] Russian Acad Sci, Siberian Branch, Limnol Inst, Irkutsk 664003, Russia; [Shmirko, K. A.; Pavlov, A. N.] Russian Acad Sci, Far East Branch, Inst Automat &amp; Control Proc, Vladivostok 690022, Russia; [Kabanov, D. M.] Far East Fed Univ, Vladivostok, Russia; [Radionov, V. F.] Arctic &amp; Antarctic Res Inst, St Petersburg, Russia</t>
  </si>
  <si>
    <t>Zuev Institute of Atmospheric Optics, Siberian Branch of the Russian Academy of Sciences; Russian Academy of Sciences; Irkutsk Science Centre of the Russian Academy of Sciences; Russian Academy of Sciences; Limnological Institute SB RAS; Russian Academy of Sciences; Institute of Automation &amp; Control Processes, Far East Branch of the Russian Academy of Sciences; Far Eastern Federal University; Arctic &amp; Antarctic Research Institute</t>
  </si>
  <si>
    <t>Sakerin, SM (corresponding author), Russian Acad Sci, Siberian Branch, VE Zuev Inst Atmospher Opt, Tomsk, Russia.</t>
  </si>
  <si>
    <t>Sakerin, Sergey/A-6508-2014; Pavlov, Andrey/HGB-3637-2022; Kabanov, Dmitry M./A-5805-2014; Radionov, Vladimir F./O-3038-2017; Golobokova, Liudmila Petrovna/J-4361-2018; Potemkin, Vladimir L/GQH-5906-2022; Pavlov, Andrey/Q-3147-2016; Kabanov, Dmitry/A-4871-2014; Shmirko, Konstantin/Q-5301-2016</t>
  </si>
  <si>
    <t>Pavlov, Andrey/0000-0001-7891-269X; Onishchuk, Natalya/0000-0001-8496-2757; Pavlov, Andrey/0000-0001-6099-1174; Shmirko, Konstantin/0000-0002-8801-9827</t>
  </si>
  <si>
    <t>Program of Basic Research of Presidium of the Russian Academy of Sciences [23]; Siberian Branch of the Russian Academy of Sciences [25]; Russian Science Foundation [14-50-00034, 14-19-00589]; Russian Science Foundation [14-19-00589] Funding Source: Russian Science Foundation</t>
  </si>
  <si>
    <t>Program of Basic Research of Presidium of the Russian Academy of Sciences; Siberian Branch of the Russian Academy of Sciences(Russian Academy of Sciences); Russian Science Foundation(Russian Science Foundation (RSF)); Russian Science Foundation(Russian Science Foundation (RSF))</t>
  </si>
  <si>
    <t>This work was supported by the Program of Basic Research of Presidium of the Russian Academy of Sciences no. 23 and projects of partnership basic research of the Siberian Branch of the Russian Academy of Sciences no. 25. The planetary boundary layer studies were supported by the Russian Science Foundation (Project No. 14-50-00034). The studies of variations of aerosol microphysical properties throughout the eastern Pacific were also supported by the Russian Science Foundation (Project No. 14-19-00589).</t>
  </si>
  <si>
    <t>1680-7316</t>
  </si>
  <si>
    <t>1680-7324</t>
  </si>
  <si>
    <t>ATMOS CHEM PHYS</t>
  </si>
  <si>
    <t>Atmos. Chem. Phys.</t>
  </si>
  <si>
    <t>10.5194/acp-15-12413-2015</t>
  </si>
  <si>
    <t>CW9OV</t>
  </si>
  <si>
    <t>WOS:000365329000017</t>
  </si>
  <si>
    <t>Martín-Cerezo, ML; García-López, E; Cid, C</t>
  </si>
  <si>
    <t>Luisa Martin-Cerezo, Maria; Garcia-Lopez, Eva; Cid, Cristina</t>
  </si>
  <si>
    <t>Isolation and Identification of a Red Pigment from the Antarctic Bacterium Shewanella frigidimarina</t>
  </si>
  <si>
    <t>PROTEIN AND PEPTIDE LETTERS</t>
  </si>
  <si>
    <t>Psychrophile; pigment; cytochrome; Shewanella; UV radiation; 2-D DIGE; HPLC; MALDI/TOF/TOF; Antarctica</t>
  </si>
  <si>
    <t>PROTEOMIC ANALYSIS; ASTAXANTHIN; CAROTENOIDS; ADAPTATION; RADIATION; STABILITY; STRAIN; SOLAR</t>
  </si>
  <si>
    <t>The present study dealt with the isolation, identification and characterization of pigments from red snow samples of the Quito coastal front glacier (S 62 degrees 27,217', W 059 degrees 45,960') in Greenwich, Archipelago South Shetland, Antarctica, during summer 2013. As a strain of Shewanella was found to be the most common and abundant species with maximum red color production, the pigment -contained in the protein fraction-was isolated and characterized by high performance liquid chromatography (HPLC), two-dimensional fluorescence Difference Gel Electrophoresis (2-D DIGE) and matrix- assisted laser desorption/ionization-time of flight mass spectrometry (MALDI/TOF/TOF). The identified pigment is a cytochrome c3 with apparent molecular weight of 10 kDa and apparent pI around 4.5. The maximum pigment concentration was produced at warm temperatures, 28 degrees C, and with increasing exposure time to UV radiation. Here we demonstrate that the synthesis of cytochrome c3 by the Antarctic bacterium is due to thermal adaptation and/or adaptation to radiation. Further, pigments such as cytochrome c3 enable this bacterial species to use an anaerobic and ferric metabolism. In addition, this study draws attention to the relevance of adaptation investigations; to the study of in vivo monitoring of environmental warming and UV radiation due to global warming; and to the study of the potential habitability of other worlds in the Solar System and beyond.</t>
  </si>
  <si>
    <t>[Luisa Martin-Cerezo, Maria; Garcia-Lopez, Eva; Cid, Cristina] Ctr Astrobiol CSIC INTA, Microbial Evolut Lab, Torrejon De Ardoz 28850, Spain</t>
  </si>
  <si>
    <t>Consejo Superior de Investigaciones Cientificas (CSIC); CSIC - Centro de Astrobiologia (INTA)</t>
  </si>
  <si>
    <t>Cid, C (corresponding author), Ctr Astrobiol CSIC INTA, Microbial Evolut Lab, Ctra Ajalvir,Km 4, Madrid 28850, Spain.</t>
  </si>
  <si>
    <t>cidsc@inta.es</t>
  </si>
  <si>
    <t>Martin Cerezo, Maria Luisa/AAY-1304-2021; Cid, Cristina/R-6821-2018; Lopez, Eva Garcia/AAC-4057-2021</t>
  </si>
  <si>
    <t>Cid, Cristina/0000-0001-5128-4558; Lopez, Eva Garcia/0000-0003-1086-3056; Martin Cerezo, Maria Luisa/0000-0003-3952-2853</t>
  </si>
  <si>
    <t>Spanish Ministerio de Economia y Competitividad (MINECO) [CTM2011-16003E/ANT]; MINECO Fellowship</t>
  </si>
  <si>
    <t>Spanish Ministerio de Economia y Competitividad (MINECO)(Spanish Government); MINECO Fellowship(Spanish Government)</t>
  </si>
  <si>
    <t>This research was supported by grant CTM2011-16003E/ANT from the Spanish Ministerio de Economia y Competitividad (MINECO). E.G.L. is recipient of a MINECO Fellowship (Programa Nacional de Contratacion e Incorporacion de RRHH, Spain).</t>
  </si>
  <si>
    <t>BENTHAM SCIENCE PUBL LTD</t>
  </si>
  <si>
    <t>SHARJAH</t>
  </si>
  <si>
    <t>EXECUTIVE STE Y-2, PO BOX 7917, SAIF ZONE, 1200 BR SHARJAH, U ARAB EMIRATES</t>
  </si>
  <si>
    <t>0929-8665</t>
  </si>
  <si>
    <t>1875-5305</t>
  </si>
  <si>
    <t>PROTEIN PEPTIDE LETT</t>
  </si>
  <si>
    <t>Protein Pept. Lett.</t>
  </si>
  <si>
    <t>10.2174/0929866522666150915122247</t>
  </si>
  <si>
    <t>Biochemistry &amp; Molecular Biology</t>
  </si>
  <si>
    <t>CW5NB</t>
  </si>
  <si>
    <t>WOS:000365041200004</t>
  </si>
  <si>
    <t>Truzzi, C; Annibaldi, A; Finale, C; Libani, G; Romagnoli, T; Scarponi, G; Illuminati, S</t>
  </si>
  <si>
    <t>Truzzi, C.; Annibaldi, A.; Finale, C.; Libani, G.; Romagnoli, T.; Scarponi, G.; Illuminati, S.</t>
  </si>
  <si>
    <t>Separation of micro-phytoplankton from inorganic particulate in Antarctic seawater (Ross Sea) for the determination of Cd, Pb and Cu: optimization of the analytical methodology (vol 7, pg 5490, 2015)</t>
  </si>
  <si>
    <t>ANALYTICAL METHODS</t>
  </si>
  <si>
    <t>[Truzzi, C.; Annibaldi, A.; Finale, C.; Libani, G.; Romagnoli, T.; Scarponi, G.; Illuminati, S.] Univ Politecn Marche, Dept Life &amp; Environm Sci, I-60131 Ancona, Italy</t>
  </si>
  <si>
    <t>Marche Polytechnic University</t>
  </si>
  <si>
    <t>Illuminati, S (corresponding author), Univ Politecn Marche, Dept Life &amp; Environm Sci, Via Brecce Bianche, I-60131 Ancona, Italy.</t>
  </si>
  <si>
    <t>s.illuminati@univpm.it</t>
  </si>
  <si>
    <t>Illuminati, Silvia/GXZ-5038-2022; Scarponi, Giuseppe/AAQ-6394-2021; Illuminati, Silvia/T-7873-2019</t>
  </si>
  <si>
    <t>Scarponi, Giuseppe/0000-0003-2932-0596; Illuminati, Silvia/0000-0001-6465-5477; Romagnoli, Tiziana/0009-0009-5181-987X</t>
  </si>
  <si>
    <t>ROYAL SOC CHEMISTRY</t>
  </si>
  <si>
    <t>THOMAS GRAHAM HOUSE, SCIENCE PARK, MILTON RD, CAMBRIDGE CB4 0WF, CAMBS, ENGLAND</t>
  </si>
  <si>
    <t>1759-9660</t>
  </si>
  <si>
    <t>1759-9679</t>
  </si>
  <si>
    <t>ANAL METHODS-UK</t>
  </si>
  <si>
    <t>Anal. Methods</t>
  </si>
  <si>
    <t>10.1039/c5ay90089a</t>
  </si>
  <si>
    <t>Chemistry, Analytical; Food Science &amp; Technology; Spectroscopy</t>
  </si>
  <si>
    <t>Chemistry; Food Science &amp; Technology; Spectroscopy</t>
  </si>
  <si>
    <t>CW2JR</t>
  </si>
  <si>
    <t>WOS:000364818700043</t>
  </si>
  <si>
    <t>Müller, MN; Ramos, JBE; Schulz, KG; Riebesell, U; Kazmierczak, J; Gallo, F; Mackinder, L; Li, Y; Nesterenko, PN; Trull, TW; Hallegraeff, GM</t>
  </si>
  <si>
    <t>Mueller, M. N.; Barcelos e Ramos, J.; Schulz, K. G.; Riebesell, U.; Kazmierczak, J.; Gallo, F.; Mackinder, L.; Li, Y.; Nesterenko, P. N.; Trull, T. W.; Hallegraeff, G. M.</t>
  </si>
  <si>
    <t>Phytoplankton calcification as an effective mechanism to alleviate cellular calcium poisoning</t>
  </si>
  <si>
    <t>BIOGEOSCIENCES</t>
  </si>
  <si>
    <t>EMILIANIA-HUXLEYI; SEAWATER CHEMISTRY; ALGAE; PHOTOSYNTHESIS; CHLOROPLAST; CONSTANTS; EVOLUTION; MAGNESIUM; PLANTS; PH</t>
  </si>
  <si>
    <t>Marine phytoplankton have developed the remarkable ability to tightly regulate the concentration of free calcium ions in the intracellular cytosol at a level of similar to 0.1 mu mol L-1 in the presence of seawater Ca2+ concentrations of 10 mmol L-1. The low cytosolic calcium ion concentration is of utmost importance for proper cell signalling function. While the regulatory mechanisms responsible for the tight control of intracellular Ca2+ concentration are not completely understood, phytoplankton taxonomic groups appear to have evolved different strategies, which may affect their ability to cope with changes in seawater Ca2+ concentrations in their environment on geological timescales. For example, the Cretaceous (145 to 66 Ma), an era known for the high abundance of coccolithophores and the production of enormous calcium carbonate deposits, exhibited seawater calcium concentrations up to 4 times present-day levels. We show that calcifying coccolithophore species (Emiliania huxleyi, Gephyrocapsa oceanica and Coccolithus braarudii) are able to maintain their relative fitness (in terms of growth rate and photosynthesis) at simulated Cretaceous seawater calcium concentrations, whereas these rates are severely reduced under these conditions in some non-calcareous phytoplankton species (Chaetoceros sp., Ceratoneis closterium and Heterosigma akashiwo). Most notably, this also applies to a non-calcifying strain of E. huxleyi which displays a calcium sensitivity similar to the non-calcareous species. We hypothesize that the process of calcification in coccolithophores provides an efficient mechanism to alleviate cellular calcium poisoning and thereby offered a potential key evolutionary advantage, responsible for the proliferation of coccolithophores during times of high seawater calcium concentrations. The exact function of calcification and the reason behind the highly ornate physical structures of coccoliths remain elusive.</t>
  </si>
  <si>
    <t>[Mueller, M. N.; Hallegraeff, G. M.] Univ Tasmania, Inst Marine &amp; Antarctic Studies, Hobart, Tas 7001, Australia; [Mueller, M. N.] Univ Sao Paulo, Inst Oceanog, BR-05508120 Sao Paulo, SP, Brazil; [Barcelos e Ramos, J.; Gallo, F.] Univ Azores, Ctr Climate Meteorol &amp; Global Change CMMG, P-9700042 Angra Do Heroismo, Acores, Portugal; [Schulz, K. G.] So Cross Univ, Sch Environm Sci &amp; Management, Ctr Coastal Biogeochem, Lismore, NSW 2480, Australia; [Riebesell, U.] GEOMAR Helmholtz Ctr Ocean Res Kiel, D-24105 Kiel, Germany; [Kazmierczak, J.] Polish Acad Sci, Inst Paleobiol, PL-00818 Warsaw, Poland; [Mackinder, L.] Carnegie Inst, Dept Plant Biol, Stanford, CA 94305 USA; [Li, Y.; Nesterenko, P. N.] Univ Tasmania, Sch Chem, Australian Ctr Res Separat Sci, Hobart, Tas 7001, Australia; [Trull, T. W.] Univ Tasmania, Antarctic Climate &amp; Ecosyst Cooperat Res Ctr, Hobart, Tas 7001, Australia; [Trull, T. W.] CSIRO Oceans &amp; Atmosphere Flagship, Hobart, Tas 7001, Australia</t>
  </si>
  <si>
    <t>University of Tasmania; Universidade de Sao Paulo; Universidade dos Acores; Southern Cross University; Helmholtz Association; GEOMAR Helmholtz Center for Ocean Research Kiel; Polish Academy of Sciences; Institute of Paleobiology of the Polish Academy of Sciences; Carnegie Institution for Science; University of Tasmania; University of Tasmania; Antarctic Climate &amp; Ecosystems Cooperative Research Centre (ACE CRC); Commonwealth Scientific &amp; Industrial Research Organisation (CSIRO)</t>
  </si>
  <si>
    <t>Müller, MN (corresponding author), Univ Tasmania, Inst Marine &amp; Antarctic Studies, Private Bag 129, Hobart, Tas 7001, Australia.</t>
  </si>
  <si>
    <t>mnmuller@usp.br</t>
  </si>
  <si>
    <t>Nesterenko, Pavel N./A-4766-2012; Barcelos e Ramos, Joana/ABD-3747-2020; Schulz, Kai/AEZ-9073-2022; Riebesell, Ulf/AAC-9717-2020; Barcelos e Ramos, Joana/HDN-3479-2022; Muller, Marius N./N-9338-2014; Hallegraeff, Gustaaf/C-8351-2013</t>
  </si>
  <si>
    <t>Nesterenko, Pavel N./0000-0002-9997-0650; Schulz, Kai/0000-0002-8481-4639; Barcelos e Ramos, Joana/0000-0002-0879-2298; Riebesell, Ulf/0000-0002-9442-452X; Muller, Marius N./0000-0003-4765-3933; Hallegraeff, Gustaaf/0000-0001-8464-7343</t>
  </si>
  <si>
    <t>Australian Research Council [DP 1093801]; Conselho Nacional de Desenvolvimento Cientifico e Tecnologico Brasil (CNPq) [405585/2013-6]; Australian Research Council Future Fellowship [FT120100384]</t>
  </si>
  <si>
    <t>Australian Research Council(Australian Research Council); Conselho Nacional de Desenvolvimento Cientifico e Tecnologico Brasil (CNPq)(Conselho Nacional de Desenvolvimento Cientifico e Tecnologico (CNPQ)); Australian Research Council Future Fellowship(Australian Research Council)</t>
  </si>
  <si>
    <t>We thank D. Davis for laboratory assistance and A. McMinn for providing a PAM fluorometer. We are grateful for the constructive comments of T. Tyrrell, J. Young and one anonymous reviewer. Additional comments from a research group meeting (composed of L. Munns, M. Duret, C. Daniels, K. Mayers, A. Poulton and R. Sheward) further increased the quality of the manuscript. The work was funded by the Australian Research Council (DP 1093801 to G. M. Hallegraeff and T. W. Trull) and the Conselho Nacional de Desenvolvimento Cientifico e Tecnologico Brasil (CNPq, Processo: 405585/2013-6). K. G. Schulz is the recipient of an Australian Research Council Future Fellowship (FT120100384). We thank the data publisher PANGAEA for hosting and making the data fully available under http://doi.pangaea.de/10.1594/PANGAEA.854719.</t>
  </si>
  <si>
    <t>1726-4170</t>
  </si>
  <si>
    <t>1726-4189</t>
  </si>
  <si>
    <t>Biogeosciences</t>
  </si>
  <si>
    <t>10.5194/bg-12-6493-2015</t>
  </si>
  <si>
    <t>CW6FB</t>
  </si>
  <si>
    <t>Green Accepted, Green Submitted, gold</t>
  </si>
  <si>
    <t>WOS:000365091900016</t>
  </si>
  <si>
    <t>Cavagna, AJ; Fripiat, F; Elskens, M; Mangion, P; Chirurgien, L; Closset, I; Lasbleiz, M; Florez-Leiva, L; Cardinal, D; Leblanc, K; Fernandez, C; Lefèvre, D; Oriol, L; Blain, S; Quéguiner, B; Dehairs, F</t>
  </si>
  <si>
    <t>Cavagna, A. J.; Fripiat, F.; Elskens, M.; Mangion, P.; Chirurgien, L.; Closset, I.; Lasbleiz, M.; Florez-Leiva, L.; Cardinal, D.; Leblanc, K.; Fernandez, C.; Lefevre, D.; Oriol, L.; Blain, S.; Queguiner, B.; Dehairs, F.</t>
  </si>
  <si>
    <t>Production regime and associated N cycling in the vicinity of Kerguelen Island, Southern Ocean</t>
  </si>
  <si>
    <t>NATURAL IRON FERTILIZATION; PHYTOPLANKTON BLOOM; CARBON EXPORT; ENRICHMENT EXPERIMENTS; COMMUNITY STRUCTURE; NITROGEN UPTAKE; POLAR FRONT; PLATEAU; NITRATE; AREA</t>
  </si>
  <si>
    <t>Although the Southern Ocean is considered a high-nutrient, low-chlorophyll (HNLC) area, massive and recurrent blooms are observed over and downstream of the Kerguelen Plateau. This mosaic of blooms is triggered by a higher iron supply resulting from the interaction between the Antarctic Circumpolar Current and the local bathymetry. Net primary production, N uptake (NO3- and NH4+), and nitrification rates were measured at eight stations in austral spring 2011 (October-November) during the KEOPS 2 cruise in the Kerguelen Plateau area. Natural iron fertilization stimulated primary production, with mixed layer integrated net primary production and growth rates much higher in the fertilized areas (up to 315 mmol C m(-2) d(-1) and up to 0.31 d(-1) respectively) compared to the HNLC reference site (12 mmol C m(-2) d(-1) and 0.06 d(-1) respectively). Primary production was mainly sustained by nitrate uptake, with f ratios (corresponding to NO3--uptake / (NO3--uptake + NH4+ uptake)) lying at the upper end of the observations for the Southern Ocean (up to 0.9). We report high rates of nitrification (up to similar to 3 mu mol N L-1 d(-1), with similar to 90% of them &lt; 1 mu mol N L(-1)d(-1)) typically occurring below the euphotic zone, as classically observed in the global ocean. The specificity of the studied area is that at most of the stations, the euphotic layer was shallower than the mixed layer, implying that nitrifiers can efficiently compete with phytoplankton for the ammonium produced by remineralization at low-light intensities. Nitrate produced by nitrification in the mixed layer below the euphotic zone is easily supplied to the euphotic zone waters above, and nitrification sustained 70 +/- 30% of the nitrate uptake in the productive area above the Kerguelen Plateau. This complicates estimations of new production as potentially exportable production. We conclude that high productivity in deep mixing system stimulates the N cycle by increasing both assimilation and regeneration.</t>
  </si>
  <si>
    <t>[Cavagna, A. J.; Fripiat, F.; Elskens, M.; Dehairs, F.] Vrije Univ Brussel, Analyt Environm &amp; Geochem Dept AMGC, Earth Syst Sci Res Grp, Brussels, Belgium; [Mangion, P.] So Cross Univ, Ctr Coastal Biogeochem Res, Lismore, NSW 2480, Australia; [Chirurgien, L.; Lasbleiz, M.; Leblanc, K.; Lefevre, D.; Queguiner, B.] Aix Marseille Univ, Univ Toulon, CNRS INSU, IRD,MIO,UM110, F-13288 Marseille 09, France; [Closset, I.; Cardinal, D.] Univ Paris 04, UPMC, LOCEAN Lab, F-75005 Paris, France; [Florez-Leiva, L.] Univ Antioquia, Program Oceanog, Medellin, Colombia; [Florez-Leiva, L.] Univ Magdalena, Program Biol, Santa Marta, Colombia; [Fernandez, C.] Univ Concepcion, COPAS SurAustral Program, Dept Oceanog, Concepcion, Chile; [Fernandez, C.] Univ Concepcion, Interdisciplinary Ctr Aquaculture Res INCAR, Concepcion, Chile; [Fernandez, C.; Oriol, L.; Blain, S.] Univ Paris 04, UPMC, UMR7621, Lab Oceanog Microbienne,Observ Oceanol, F-66650 Banyuls Sur Mer, France</t>
  </si>
  <si>
    <t>Vrije Universiteit Brussel; Southern Cross University; Institut de Recherche pour le Developpement (IRD); Centre National de la Recherche Scientifique (CNRS); CNRS - National Institute for Earth Sciences &amp; Astronomy (INSU); Aix-Marseille Universite; Museum National d'Histoire Naturelle (MNHN); Sorbonne Universite; Universidad de Antioquia; Universidad del Magdalena; Universidad de Concepcion; Universidad de Concepcion; Sorbonne Universite; Centre National de la Recherche Scientifique (CNRS); CNRS - National Institute for Earth Sciences &amp; Astronomy (INSU)</t>
  </si>
  <si>
    <t>Cavagna, AJ (corresponding author), Vrije Univ Brussel, Analyt Environm &amp; Geochem Dept AMGC, Earth Syst Sci Res Grp, Brussels, Belgium.</t>
  </si>
  <si>
    <t>acavagna@vub.ac.be</t>
  </si>
  <si>
    <t>Lefevre, Dominique/AAN-8201-2021; Fripiat, François/ABB-8918-2021; Leblanc, Karine/C-6029-2009; Quéguiner, Bernard/B-4060-2008; Cardinal, Damien/AAM-6215-2021; Mangion, Perrine/JDW-0725-2023; blain, stephane/F-6917-2010</t>
  </si>
  <si>
    <t>Lefevre, Dominique/0000-0003-1694-3807; Quéguiner, Bernard/0000-0001-5020-8297; Cardinal, Damien/0000-0003-1238-8412; Closset, Ivia/0000-0002-6286-3296; Elskens, Marc/0000-0002-8862-9422; /0000-0002-8492-5881; Fripiat, Francois/0000-0002-2591-6301; blain, stephane/0000-0002-5234-2446; Cavagna, Anne-Julie/0000-0002-0185-0360</t>
  </si>
  <si>
    <t>Federal Belgian Science Policy Office (BELSPO); Science for Sustainable Development (SSD) program [SD/CA/05A]; Flanders Research Foundation (FWO) [G071512N]; VUB Strategic Research Plan; Fondap [15110027]; LIA MORFUN project; French research program of INSU-CNRS LEFE-CYBER (Les enveloppes fluides et l'environnement - Cycles biogeochimiques, environnement et ressources); French ANR (Agence Nationale de la Recherche, SIMI-6 program); French CNES (Centre National d'Etudes Spatiales); French Polar Institute IPEV (Institut Polaire Paul-Emile Victor); CNES</t>
  </si>
  <si>
    <t>Federal Belgian Science Policy Office (BELSPO)(Belgian Federal Science Policy Office); Science for Sustainable Development (SSD) program; Flanders Research Foundation (FWO)(FWO); VUB Strategic Research Plan; Fondap; LIA MORFUN project; French research program of INSU-CNRS LEFE-CYBER (Les enveloppes fluides et l'environnement - Cycles biogeochimiques, environnement et ressources); French ANR (Agence Nationale de la Recherche, SIMI-6 program)(Agence Nationale de la Recherche (ANR)); French CNES (Centre National d'Etudes Spatiales); French Polar Institute IPEV (Institut Polaire Paul-Emile Victor); CNES(Centre National D'etudes Spatiales)</t>
  </si>
  <si>
    <t>Our warm thanks go to the captain, officers, and crew of the R/V Marion Dufresne for their support during the KEOPS 2 field work. This research was supported by the Federal Belgian Science Policy Office (BELSPO), Science for Sustainable Development (SSD) program (contract SD/CA/05A); Flanders Research Foundation (FWO grant G071512N); and VUB Strategic Research Plan. Francois Fripiat is a post-doctoral fellow with the Flanders Research Foundation (FWO, Belgium). Camila Fernandez was partially funded by Fondap 15110027. Lennin Florez-Leiva received support from the LIA MORFUN project. The KEOPS 2 project was supported by the French research program of INSU-CNRS LEFE-CYBER (Les enveloppes fluides et l'environnement - Cycles biogeochimiques, environnement et ressources), the French ANR (Agence Nationale de la Recherche, SIMI-6 program), the French CNES (Centre National d'Etudes Spatiales), and the French Polar Institute IPEV (Institut Polaire Paul-Emile Victor). The altimeter and colour/temperature products for the Kerguelen area were produced by Ssalto/Duacs and CLS with support from CNES.</t>
  </si>
  <si>
    <t>10.5194/bg-12-6515-2015</t>
  </si>
  <si>
    <t>WOS:000365091900018</t>
  </si>
  <si>
    <t>Bock, N; Anderson, OR</t>
  </si>
  <si>
    <t>Bock, Nicholas; Anderson, O. Roger</t>
  </si>
  <si>
    <t>Eukaryotic Microbial Communities Associated with Rock-dwelling Foliose Lichens: A Functional Morphological and Microecological Analysis</t>
  </si>
  <si>
    <t>ACTA PROTOZOOLOGICA</t>
  </si>
  <si>
    <t>Algal symbiosis; amebas; bacteria; carbon-biomass; Flavoparmelia; food webs; heterotrophic nanoflagellates; microbial communities</t>
  </si>
  <si>
    <t>BACTERIAL COMMUNITIES; ANTARCTIC FOLIOSE; NITROGEN; BIOMASS; AMEBAS; GROWTH; WATER; TEMPERATURE; DIVERSITY; FUNGI</t>
  </si>
  <si>
    <t>Lichens are widely recognized as important examples of a fungal-algal or fungal-cyanophyte symbiosis; and in some cases they are a major food source for some animal grazers such as caribou (Rangifer tarandus), especially in the Arctic during winter. However, relatively little is known about the ecology of their co-associated bacterial and protistan communities. This is one of the first reports of an analysis of microbial communities associated with rock-dwelling foliose lichens (Flavoparmelia sp.), including a more detailed analysis of the microbial communities associated with segments of the shield-like, radially arranged lobes. Samples were taken from lichens on granite boulders beneath an oak and maple tree stand on the Lamont-Doherty Earth Observatory Campus, Palisades, N.Y. The bacteria and protist members of the lichen associated microbial communities are comparable to recently reported associations for foliose lichens growing on tree bark at the same locale, including the presence of large myxomycete plasmodial amebas, heterotrophic nanoflagellates, and naked and testate amebas. To obtain evidence of possible differences in the microecology of different portions of each radial lobe, three segments of the radial lobe in the shield-like lichen were sampled: 1) inner, more mature, central segment; 2) middle section linking the central and peripheral segments; and 3) outer, peripheral, usually broader, less closely attached segment. The mean densities (number/g) and biomasses (mu g/g) of bacteria and heterotrophic nanoflagellates were highest in the older central segment and lowest in the peripheral segment of the radial lobes, especially when expressed on moist weight basis. Large myxomycete plasmodial amebas were typically located in the outermost segment of the radial lobe. The proportion of vannellid amebas (Vannella spp. and Cochliopodium spp.) were significantly more abundant in the samples of the inner lobes compared to non-vannellid amebas that were more prevalent in the outer lobes. The outer segment of the thallus lobe was typically more spongiose and absorbed more water per unit weight (based on a wet/dry-weight ratio) than the innermost segment. In general, patterns of densities and taxonomic composition of bacteria and eukaryotic microbes intergraded from the inner most segment to the outer part of each lobe - indicating a possible microecological gradient, coincident with the age-related and morphological radial gradations of the lobe. Overall, the evidence shows that the radial variation in the morphology and age-related variables of the three lobe segments may affect the microenvironment of the lobe segments and hence influence the organization of the microbial communities within each segment.</t>
  </si>
  <si>
    <t>[Bock, Nicholas; Anderson, O. Roger] Columbia Univ, Lamont Doherty Earth Observ, Biol &amp; Paleo Environm, Palisades, NY USA</t>
  </si>
  <si>
    <t>Anderson, OR (corresponding author), Lamont Doherty Earth Observ, Biol, Palisades, NY 10964 USA.</t>
  </si>
  <si>
    <t>ora@LDEO.columbia.edu</t>
  </si>
  <si>
    <t>Department of Mathematics, Science and Technology at Columbia University Teachers College</t>
  </si>
  <si>
    <t>This work was partially supported by funds from the Department of Mathematics, Science and Technology at Columbia University Teachers College, where N. Bock is a graduate student. This is Lamont-Doherty Earth Observatory Contribution Number 7876.</t>
  </si>
  <si>
    <t>JAGIELLONIAN UNIV, INST ENVIRONMENTAL SCIENCES</t>
  </si>
  <si>
    <t>KRAKOW</t>
  </si>
  <si>
    <t>GRONOSTAJOWA 7, KRAKOW, 30-387, POLAND</t>
  </si>
  <si>
    <t>0065-1583</t>
  </si>
  <si>
    <t>1689-0027</t>
  </si>
  <si>
    <t>ACTA PROTOZOOL</t>
  </si>
  <si>
    <t>Acta Protozool.</t>
  </si>
  <si>
    <t>10.4467/16890027AP.15.021.3535</t>
  </si>
  <si>
    <t>CW0XO</t>
  </si>
  <si>
    <t>WOS:000364713600001</t>
  </si>
  <si>
    <t>Sipilä, M; Sarnela, N; Jokinen, T; Junninen, H; Hakala, J; Rissanen, MP; Praplan, A; Simon, M; Kürten, A; Bianchi, F; Dommen, J; Curtius, J; Petäjä, T; Worsnop, DR</t>
  </si>
  <si>
    <t>Sipila, M.; Sarnela, N.; Jokinen, T.; Junninen, H.; Hakala, J.; Rissanen, M. P.; Praplan, A.; Simon, M.; Kuerten, A.; Bianchi, F.; Dommen, J.; Curtius, J.; Petaja, T.; Worsnop, D. R.</t>
  </si>
  <si>
    <t>Bisulfate - cluster based atmospheric pressure chemical ionization mass spectrometer for high-sensitivity (&lt; 100 ppqV) detection of atmospheric dimethyl amine: proof-of-concept and first ambient data from boreal forest</t>
  </si>
  <si>
    <t>ATMOSPHERIC MEASUREMENT TECHNIQUES</t>
  </si>
  <si>
    <t>SULFURIC-ACID; PARTICLE FORMATION; NUCLEATION; AMMONIA; AEROSOL; H2SO4; QUEST</t>
  </si>
  <si>
    <t>Atmospheric amines may play a crucial role in formation of new aerosol particles via nucleation with sulfuric acid. Recent studies have revealed that concentrations below 1 pptV can significantly promote nucleation of sulfuric acid particles. While sulfuric acid detection is relatively straightforward, no amine measurements to date have been able to reach the critical sub-pptV concentration range and atmospheric amine concentrations are in general poorly characterized. In this work we present a proof-of-concept of an instrument capable of detecting dimethyl amine (DMA) with concentrations even down to 70 ppqV (parts per quadrillion, 0.07 pptV) for a 15 min integration time. Detection of ammonia and amines other than dimethyl amine is discussed. We also report results from the first ambient measurements performed in spring 2013 at a boreal forest site. While minute signals above the signal-to-noise ratio that could be attributed to trimethyl or propyl amine were observed, DMA concentration never exceeded the detection threshold of ambient measurements (150 ppqV), thereby questioning, though not excluding, the role of DMA in nucleation at this location.</t>
  </si>
  <si>
    <t>[Sipila, M.; Sarnela, N.; Jokinen, T.; Junninen, H.; Hakala, J.; Rissanen, M. P.; Praplan, A.; Petaja, T.; Worsnop, D. R.] Univ Helsinki, Dept Phys, FIN-00014 Helsinki, Finland; [Hakala, J.] Carnegie Mellon Univ, Ctr Atmospher Particle Studies, Pittsburgh, PA 15213 USA; [Praplan, A.] Finnish Meteorol Inst, FIN-00101 Helsinki, Finland; [Simon, M.; Kuerten, A.; Curtius, J.] Goethe Univ Frankfurt, Inst Atmospher &amp; Environm Sci, D-60438 Frankfurt, Germany; [Bianchi, F.; Dommen, J.] Paul Scherrer Inst, Lab Atmospher Chem, CH-5232 Villigen, Switzerland; [Bianchi, F.] ETH, Inst Atmospher &amp; Climate Sci, CH-8092 Zurich, Switzerland; [Worsnop, D. R.] Univ Eastern Finland, Dept Appl Phys, Kuopio 70211, Finland; [Worsnop, D. R.] Aerodyne Res Inc, Billerica, MA 01821 USA</t>
  </si>
  <si>
    <t>University of Helsinki; Carnegie Mellon University; Finnish Meteorological Institute; Goethe University Frankfurt; Swiss Federal Institutes of Technology Domain; Paul Scherrer Institute; Swiss Federal Institutes of Technology Domain; ETH Zurich; University of Eastern Finland; Aerodyne Research</t>
  </si>
  <si>
    <t>Sipilä, M (corresponding author), Univ Helsinki, Dept Phys, POB 64, FIN-00014 Helsinki, Finland.</t>
  </si>
  <si>
    <t>mikko.sipila@helsinki.fi</t>
  </si>
  <si>
    <t>Curtius, Joachim/A-2681-2011; Jokinen, Tuija/B-3365-2014; Bianchi, Federico/JZT-6891-2024; Praplan, Arnaud P./F-8357-2011; Junninen, Heikki/C-2157-2014; Petäjä, Tuukka/A-8009-2008; Bianchi, Federico/G-8428-2012; Worsnop, Douglas R/D-2817-2009; Simon, Mario/AGI-2749-2022; Sarnela, Nina/AAE-1372-2020; Kürten, Andreas/O-3851-2019; Sipila, Mikko/G-3024-2010</t>
  </si>
  <si>
    <t>Curtius, Joachim/0000-0003-3153-4630; Jokinen, Tuija/0000-0002-1280-1396; Bianchi, Federico/0000-0002-6155-5531; Praplan, Arnaud P./0000-0002-9944-3084; Junninen, Heikki/0000-0001-7178-9430; Petäjä, Tuukka/0000-0002-1881-9044; Bianchi, Federico/0000-0003-2996-3604; Kürten, Andreas/0000-0002-8955-4450; Sipila, Mikko/0000-0002-8594-7003; Sarnela, Nina/0000-0003-1874-3235; Simon, Mario/0000-0002-4900-7460; Rissanen, Matti/0000-0003-0463-8098; Dommen, Josef/0000-0002-0006-0009</t>
  </si>
  <si>
    <t>CERN; Academy of Finland [251427, 139656, 264375]; Academy of Finland (Finnish Centre of Excellence) [141135]; Helsinki Institute of Physics; European Commission 7th Framework Programme via PEGASOS [FP7-ENV-2010-265148]; ACTRIS (Aerosols, Clouds, and Trace gases Research InfraStructure Network); Marie Curie Initial Training Network CLOUD-ITN and CLOUDTRAIN-ITN; Finnish Funding Agency for Innovation (TEKES) through APCI project; Academy of Finland (AKA) [251427, 264375, 141135] Funding Source: Academy of Finland (AKA)</t>
  </si>
  <si>
    <t>CERN; Academy of Finland(Research Council of Finland); Academy of Finland (Finnish Centre of Excellence)(Research Council of Finland); Helsinki Institute of Physics; European Commission 7th Framework Programme via PEGASOS; ACTRIS (Aerosols, Clouds, and Trace gases Research InfraStructure Network); Marie Curie Initial Training Network CLOUD-ITN and CLOUDTRAIN-ITN(Marie Curie ActionsEuropean Union (EU)); Finnish Funding Agency for Innovation (TEKES) through APCI project; Academy of Finland (AKA)(Research Council of Finland)</t>
  </si>
  <si>
    <t>We thank CERN for supporting CLOUD with technical and financial resources. Support of the Academy of Finland (251427, 139656, 264375, Finnish Centre of Excellence 141135) is acknowledged. Support from the Helsinki Institute of Physics is acknowledged. This research was partially funded by the European Commission 7th Framework Programme via PEGASOS (FP7-ENV-2010-265148), ACTRIS (Aerosols, Clouds, and Trace gases Research InfraStructure Network), Marie Curie Initial Training Network CLOUD-ITN and CLOUDTRAIN-ITN, and Finnish Funding Agency for Innovation (TEKES) through the APCI project. Tinja Olenius, Oona Kupiainen-Maatta, Kenty Ortega, Hanna Vehkamaki, Antti-Jussi Kieloaho and Markku Kulmala are acknowledged for useful discussions. We thank the tofTools team for providing tools for mass spectrometry analysis. The Finnish Antarctic Research Programme is acknowledged for providing high-quality facilities for preparing the manuscript.</t>
  </si>
  <si>
    <t>1867-1381</t>
  </si>
  <si>
    <t>1867-8548</t>
  </si>
  <si>
    <t>ATMOS MEAS TECH</t>
  </si>
  <si>
    <t>Atmos. Meas. Tech.</t>
  </si>
  <si>
    <t>10.5194/amt-8-4001-2015</t>
  </si>
  <si>
    <t>CV5NM</t>
  </si>
  <si>
    <t>WOS:000364317600002</t>
  </si>
  <si>
    <t>Fujita, S; Parrenin, F; Severi, M; Motoyama, H; Wolff, EW</t>
  </si>
  <si>
    <t>Fujita, S.; Parrenin, F.; Severi, M.; Motoyama, H.; Wolff, E. W.</t>
  </si>
  <si>
    <t>Volcanic synchronization of Dome Fuji and Dome C Antarctic deep ice cores over the past 216 kyr</t>
  </si>
  <si>
    <t>CLIMATE OF THE PAST</t>
  </si>
  <si>
    <t>DRONNING MAUD LAND; EAST ANTARCTICA; CHRONOLOGY AICC2012; CLIMATE VARIABILITY; TEPHRA LAYERS; AIR CONTENT; RECORD; SHEET; GREENLAND; SIGNATURE</t>
  </si>
  <si>
    <t>Two deep ice cores, Dome Fuji (DF) and EPICA Dome C (EDC), drilled at remote dome summits in Antarctica, were volcanically synchronized to improve our understanding of their chronologies. Within the past 216 kyr, 1401 volcanic tie points have been identified. DFO2006 is the chronology for the DF core that strictly follows O-2/N-2 age constraints with interpolation using an ice flow model. AICC2012 is the chronology for five cores, including the EDC core, and is characterized by glaciological approaches combining ice flow modelling with various age markers. A precise comparison between the two chronologies was performed. The age differences between them are within 2 kyr, except at Marine Isotope Stage (MIS) 5. DFO2006 gives ages older than AICC2012, with peak values of 4.5 and 3.1 kyr at MIS 5d and MIS 5b, respectively. Accordingly, the ratios of duration (AICC2012/DFO2006) range between 1.4 at MIS 5e and 0.7 at MIS 5a. When making a comparison with accurately dated speleothem records, the age of DFO2006 agrees well at MIS 5d, while the age of AICC2012 agrees well at MIS 5b, supporting their accuracy at these stages. In addition, we found that glaciological approaches tend to give chronologies with younger ages and with longer durations than age markers suggest at MIS 5d-6. Therefore, we hypothesize that the causes of the DFO2006-AICC2012 age differences at MIS 5 are (i) overestimation in surface mass balance at around MIS 5d-6 in the glaciological approach and (ii) an error in one of the O-2/N-2 age constraints by similar to 3 kyr at MIS 5b. Overall, we improved our knowledge of the timing and duration of climatic stages at MIS 5. This new understanding will be incorporated into the production of the next common age scale. Additionally, we found that the deuterium signals of ice, delta D-ice, at DF tends to lead the one at EDC, with the DF lead being more pronounced during cold periods. The lead of DF is by +710 years (maximum) at MIS 5d, -230 years (minimum) at MIS 7a and +60 to +126 years on average.</t>
  </si>
  <si>
    <t>[Fujita, S.; Motoyama, H.] Res Org Informat &amp; Syst, Natl Inst Polar Res, Tokyo, Japan; [Fujita, S.; Motoyama, H.] Grad Univ Adv Studies SOKENDAI, Dept Polar Sci, Tokyo, Japan; [Parrenin, F.] CNRS, LGGE, F-38041 Grenoble, France; [Parrenin, F.] Univ Grenoble Alpes, LGGE, F-38041 Grenoble, France; [Severi, M.] Univ Florence, Dept Chem, Florence, Italy; [Wolff, E. W.] Univ Cambridge, Dept Earth Sci, Cambridge CB2 1TN, England</t>
  </si>
  <si>
    <t>Research Organization of Information &amp; Systems (ROIS); National Institute of Polar Research (NIPR) - Japan; Graduate University for Advanced Studies - Japan; Communaute Universite Grenoble Alpes; Universite Grenoble Alpes (UGA); Centre National de la Recherche Scientifique (CNRS); Communaute Universite Grenoble Alpes; Universite Grenoble Alpes (UGA); University of Florence; University of Cambridge</t>
  </si>
  <si>
    <t>Fujita, S (corresponding author), Res Org Informat &amp; Syst, Natl Inst Polar Res, Tokyo, Japan.</t>
  </si>
  <si>
    <t>sfujita@nipr.ac.jp; parrenin@ujf-grenoble.fr</t>
  </si>
  <si>
    <t>Wolff, Eric W/D-7925-2014; Parrenin, Frédéric/H-3054-2014; Severi, Mirko/J-2508-2012; Motoyama, Hideaki/E-6103-2013; Fujita, Shuji/A-7884-2016</t>
  </si>
  <si>
    <t>Wolff, Eric W/0000-0002-5914-8531; Parrenin, Frédéric/0000-0002-9489-3991; Severi, Mirko/0000-0003-1511-6762; Motoyama, Hideaki/0000-0003-2533-320X; Fujita, Shuji/0000-0003-0127-0777</t>
  </si>
  <si>
    <t>European Union; Japan Society for the Promotion of Science (JSPS) [20241007]; Grants-in-Aid for Scientific Research [15H01731, 15K12194, 20241007] Funding Source: KAKEN</t>
  </si>
  <si>
    <t>European Union(European Union (EU)); Japan Society for the Promotion of Science (JSPS)(Ministry of Education, Culture, Sports, Science and Technology, Japan (MEXT)Japan Society for the Promotion of Science); Grants-in-Aid for Scientific Research(Ministry of Education, Culture, Sports, Science and Technology, Japan (MEXT)Japan Society for the Promotion of ScienceGrants-in-Aid for Scientific Research (KAKENHI))</t>
  </si>
  <si>
    <t>We thank Kenji Kawamura, Ryu Uemura and Valerie Masson-Delmotte for helpful comments on the manuscript. We wish to thank all participants in the field seasons at Dome C. The main logistic support was provided by IPEV and PNRA (at Dome C). This work is a contribution to the European Project for Ice Coring in Antarctica (EPICA), a joint European Science Foundation-European Commission scientific programme, funded by the European Union and by national contributions from Belgium, Denmark, France, Germany, Italy, the Netherlands, Norway, Sweden, Switzerland and the United Kingdom. This is EPICA publication no. 302. We also thank all the Dome Fuji Deep Ice Core Project members who contributed to obtaining the ice core samples, either through logistics, drilling or core processing. The main logistics support was provided by the Japanese Antarctic Research Expedition (JARE), managed by the Ministry of Education, Culture, Sports, Science and Technology (MEXT). This study was supported in part by a grant-in-aid for scientific research (A; 20241007) from the Japan Society for the Promotion of Science (JSPS). The manuscript was prepared with the support of a National Institute of Polar Research (NIPR) publication subsidy. This paper was greatly improved by thoughtful comments by five anonymous referees and by the editor, Ed Brook.</t>
  </si>
  <si>
    <t>1814-9324</t>
  </si>
  <si>
    <t>1814-9332</t>
  </si>
  <si>
    <t>CLIM PAST</t>
  </si>
  <si>
    <t>Clim. Past.</t>
  </si>
  <si>
    <t>10.5194/cp-11-1395-2015</t>
  </si>
  <si>
    <t>CV5PZ</t>
  </si>
  <si>
    <t>WOS:000364324600009</t>
  </si>
  <si>
    <t>Ivanova, N; Pedersen, LT; Tonboe, RT; Kern, S; Heygster, G; Lavergne, T; Sorensen, A; Saldo, R; Dybkjær, G; Brucker, L; Shokr, M</t>
  </si>
  <si>
    <t>Ivanova, N.; Pedersen, L. T.; Tonboe, R. T.; Kern, S.; Heygster, G.; Lavergne, T.; Sorensen, A.; Saldo, R.; Dybkjaer, G.; Brucker, L.; Shokr, M.</t>
  </si>
  <si>
    <t>Inter-comparison and evaluation of sea ice algorithms: towards further identification of challenges and optimal approach using passive microwave observations</t>
  </si>
  <si>
    <t>AMSR-E; THICKNESS RETRIEVAL; MELT PONDS; OCEAN; VARIABILITY; SURFACE; SUMMER; WINTER; MODEL; EMISSIVITY</t>
  </si>
  <si>
    <t>Sea ice concentration has been retrieved in polar regions with satellite microwave radiometers for over 30 years. However, the question remains as to what is an optimal sea ice concentration retrieval method for climate monitoring. This paper presents some of the key results of an extensive algorithm inter-comparison and evaluation experiment. The skills of 30 sea ice algorithms were evaluated systematically over low and high sea ice concentrations. Evaluation criteria included standard deviation relative to independent validation data, performance in the presence of thin ice and melt ponds, and sensitivity to error sources with seasonal to inter-annual variations and potential climatic trends, such as atmospheric water vapour and water-surface roughening by wind. A selection of 13 algorithms is shown in the article to demonstrate the results. Based on the findings, a hybrid approach is suggested to retrieve sea ice concentration globally for climate monitoring purposes. This approach consists of a combination of two algorithms plus dynamic tie points implementation and atmospheric correction of input brightness temperatures. The method minimizes inter-sensor calibration discrepancies and sensitivity to the mentioned error sources.</t>
  </si>
  <si>
    <t>[Ivanova, N.] Nansen Environm &amp; Remote Sensing Ctr, Bergen, Norway; [Pedersen, L. T.; Tonboe, R. T.; Dybkjaer, G.] Danish Meteorol Inst, Copenhagen, Denmark; [Kern, S.] Univ Hamburg, Hamburg, Germany; [Heygster, G.] Univ Bremen, D-28359 Bremen, Germany; [Lavergne, T.; Sorensen, A.] Norwegian Meteorol Inst, Oslo, Norway; [Saldo, R.] Tech Univ Denmark, DK-2800 Lyngby, Denmark; [Brucker, L.] NASA, Goddard Space Flight Ctr, Cryospher Sci Lab, Greenbelt, MD 20771 USA; [Brucker, L.] Univ Space Res Assoc, Goddard Earth Sci Technol &amp; Res Studies &amp; Invest, Columbia, MD 21044 USA; [Shokr, M.] Environm Canada, Toronto, ON, Canada</t>
  </si>
  <si>
    <t>Nansen Environmental &amp; Remote Sensing Center (NERSC); Danish Meteorological Institute DMI; University of Hamburg; University of Bremen; Norwegian Meteorological Institute; Technical University of Denmark; National Aeronautics &amp; Space Administration (NASA); NASA Goddard Space Flight Center; Universities Space Research Association (USRA); Environment &amp; Climate Change Canada</t>
  </si>
  <si>
    <t>Ivanova, N (corresponding author), Nansen Environm &amp; Remote Sensing Ctr, Bergen, Norway.</t>
  </si>
  <si>
    <t>natalia.ivanova@nersc.no</t>
  </si>
  <si>
    <t>Brucker, Ludovic/L-5412-2019; Brucker, Ludovic/ACJ-3763-2022; Heygster, Georg C./B-4928-2014; Brucker, Ludovic/A-8029-2010; Pedersen, Leif Toudal/ABA-9687-2020</t>
  </si>
  <si>
    <t>Brucker, Ludovic/0000-0001-7102-8084; Pedersen, Leif Toudal/0000-0001-7913-6282; Lavergne, Thomas/0000-0002-9498-4551; Kern, Stefan/0000-0001-7281-3746; Tonboe, Rasmus Tage/0000-0003-1463-4832; Heygster, Georg/0000-0003-2232-7429; Sorensen, Atle/0000-0002-7401-3416; Saldo, Roberto/0000-0003-4716-438X</t>
  </si>
  <si>
    <t>ESA; Center of Excellence for Climate System Analysis and Prediction (CliSAP); International Space Science Institute (ISSI), Bern, Switzerland [245]</t>
  </si>
  <si>
    <t>ESA(European Space Agency); Center of Excellence for Climate System Analysis and Prediction (CliSAP); International Space Science Institute (ISSI), Bern, Switzerland</t>
  </si>
  <si>
    <t>This work was completed in the context of ESA Climate Change Initiative, Sea Ice project (SICCI) and was funded by ESA. The work of S. Kern was supported by the Center of Excellence for Climate System Analysis and Prediction (CliSAP). Support from the International Space Science Institute (ISSI), Bern, Switzerland, under project No. 245: Perta Heil and Stefan Kern, Towards an integrated retrieval of Antarctic sea ice volume is acknowledged. The EUMETSAT OSISAF (http://osisaf.met.no) granted access to an implementation of its SIC processing software, in particular the dynamic tie point retrieval process (see Appendix B). The authors would like to thank Timothy Williams and Richard Danielson for their proofreading of the manuscript.</t>
  </si>
  <si>
    <t>10.5194/tc-9-1797-2015</t>
  </si>
  <si>
    <t>CV5SF</t>
  </si>
  <si>
    <t>WOS:000364330700004</t>
  </si>
  <si>
    <t>Bland, RL</t>
  </si>
  <si>
    <t>Bland, Richard L.</t>
  </si>
  <si>
    <t>Bellingshausen and the Russian Antarctic Expedition, 1819-21</t>
  </si>
  <si>
    <t>MARINERS MIRROR</t>
  </si>
  <si>
    <t>[Bland, Richard L.] Univ Oregon, Eugene, OR 97403 USA</t>
  </si>
  <si>
    <t>University of Oregon</t>
  </si>
  <si>
    <t>Bland, RL (corresponding author), Univ Oregon, Eugene, OR 97403 USA.</t>
  </si>
  <si>
    <t>4 PARK SQUARE, MILTON PARK, ABINGDON OX14 4RN, OXFORDSHIRE, ENGLAND</t>
  </si>
  <si>
    <t>0025-3359</t>
  </si>
  <si>
    <t>2049-680X</t>
  </si>
  <si>
    <t>Mar. Mirror</t>
  </si>
  <si>
    <t>10.1080/00253359.2015.1097151</t>
  </si>
  <si>
    <t>CV8VB</t>
  </si>
  <si>
    <t>WOS:000364565000016</t>
  </si>
  <si>
    <t>Marvin, UB</t>
  </si>
  <si>
    <t>Righter, K; Corrigan, CM; McCoy, TJ; Harvey, RP</t>
  </si>
  <si>
    <t>Marvin, Ursula B.</t>
  </si>
  <si>
    <t>The Origin and Early History of the US Antarctic Search for Meteorites Program (ANSMET)</t>
  </si>
  <si>
    <t>35 SEASONS OF U.S. ANTARCTIC METEORITES (1976-2010): A PICTORIAL GUIDE TO THE COLLECTION</t>
  </si>
  <si>
    <t>American Geophysical Union Special Publications</t>
  </si>
  <si>
    <t>Harvard Smithsonian Ctr Astrophys, HCO SAO, Cambridge, MA 02138 USA</t>
  </si>
  <si>
    <t>Smithsonian Institution; Smithsonian Astrophysical Observatory; Harvard University</t>
  </si>
  <si>
    <t>Marvin, UB (corresponding author), Harvard Smithsonian Ctr Astrophys, HCO SAO, 60 Garden St, Cambridge, MA 02138 USA.</t>
  </si>
  <si>
    <t>978-1-118-79847-8; 978-1-118-79832-4</t>
  </si>
  <si>
    <t>AM GEOPHYS UNION SP</t>
  </si>
  <si>
    <t>Astronomy &amp; Astrophysics; Geochemistry &amp; Geophysics</t>
  </si>
  <si>
    <t>BD6LC</t>
  </si>
  <si>
    <t>WOS:000362338600002</t>
  </si>
  <si>
    <t>35 Seasons of U.S. Antarctic Meteorites (1976-2010): A Pictorial Guide to the Collection</t>
  </si>
  <si>
    <t>Book</t>
  </si>
  <si>
    <t>WOS:000362338600012</t>
  </si>
  <si>
    <t>Harvey, RP; Schutt, J; Karner, J</t>
  </si>
  <si>
    <t>Harvey, Ralph P.; Schutt, John; Karner, Jim</t>
  </si>
  <si>
    <t>Fieldwork Methods of the US Antarctic Search for Meteorites Program</t>
  </si>
  <si>
    <t>[Harvey, Ralph P.; Schutt, John; Karner, Jim] Case Western Reserve Univ, Dept Earth Environm &amp; Planetary Sci, Cleveland, OH 44106 USA</t>
  </si>
  <si>
    <t>University System of Ohio; Case Western Reserve University</t>
  </si>
  <si>
    <t>Harvey, RP (corresponding author), Case Western Reserve Univ, Dept Earth Environm &amp; Planetary Sci, Cleveland, OH 44106 USA.</t>
  </si>
  <si>
    <t>WOS:000362338600003</t>
  </si>
  <si>
    <t>Righter, K; Satterwhite, CE; McBride, KM; Corrigan, CM; Welzenbach, LC</t>
  </si>
  <si>
    <t>Righter, Kevin; Satterwhite, Cecilia E.; McBride, Kathleen M.; Corrigan, Catherine M.; Welzenbach, Linda C.</t>
  </si>
  <si>
    <t>Curation and Allocation of Samples in the US Antarctic Meteorite Collection</t>
  </si>
  <si>
    <t>AMINO-ACIDS; SMITHSONIAN-INSTITUTION; CHEMICAL-ANALYSES; PARENT BODIES; MARS; CHONDRITES; CHEMISTRY; ALH84001; SEARCH</t>
  </si>
  <si>
    <t>[Righter, Kevin] NASA, Lyndon B Johnson Space Ctr, Mailcode KT, Houston, TX 77058 USA; [Satterwhite, Cecilia E.; McBride, Kathleen M.] NASA, Lyndon B Johnson Space Ctr, Jacobs Technol, Houston, TX 77058 USA; [Corrigan, Catherine M.; Welzenbach, Linda C.] Smithsonian Inst, Dept Mineral Sci, Natl Museum Nat Hist, Washington, DC 20560 USA</t>
  </si>
  <si>
    <t>National Aeronautics &amp; Space Administration (NASA); NASA Johnson Space Center; National Aeronautics &amp; Space Administration (NASA); NASA Johnson Space Center; Smithsonian Institution; Smithsonian National Museum of Natural History</t>
  </si>
  <si>
    <t>Righter, K (corresponding author), NASA, Lyndon B Johnson Space Ctr, Mailcode KT, Houston, TX 77058 USA.</t>
  </si>
  <si>
    <t>WOS:000362338600004</t>
  </si>
  <si>
    <t>Weisberg, MK; Righter, K</t>
  </si>
  <si>
    <t>Weisberg, Michael K.; Righter, Kevin</t>
  </si>
  <si>
    <t>Primitive Asteroids: Expanding the Range of Known Primitive Materials</t>
  </si>
  <si>
    <t>ZONED METAL GRAINS; CARBONACEOUS PRESOLAR GRAINS; HAMMADAH AL HAMRA-237; FENI METAL; ISOTOPIC COMPOSITIONS; CHONDRITE; ORIGIN; MINERALOGY; CHEMISTRY; METEORITE</t>
  </si>
  <si>
    <t>[Weisberg, Michael K.] CUNY, Kingsborough Community Coll, Dept Phys Sci, Brooklyn, NY 11210 USA; [Weisberg, Michael K.] CUNY, Grad Ctr, Earth &amp; Environm Sci, New York, NY 10021 USA; [Weisberg, Michael K.] Amer Museum Nat Hist, Dept Earth Planetary Sci, New York, NY 10024 USA; [Righter, Kevin] NASA, Lyndon B Johnson Space Ctr, Mailcode KT, Houston, TX 77058 USA</t>
  </si>
  <si>
    <t>City University of New York (CUNY) System; City University of New York (CUNY) System; American Museum of Natural History (AMNH); National Aeronautics &amp; Space Administration (NASA); NASA Johnson Space Center</t>
  </si>
  <si>
    <t>Weisberg, MK (corresponding author), CUNY, Kingsborough Community Coll, Dept Phys Sci, Brooklyn, NY 11210 USA.</t>
  </si>
  <si>
    <t>WOS:000362338600005</t>
  </si>
  <si>
    <t>Mittlefehldt, DW; McCoy, TJ</t>
  </si>
  <si>
    <t>Mittlefehldt, David W.; McCoy, Timothy J.</t>
  </si>
  <si>
    <t>Achondrites and Irons: Products of Magmatism on Strongly Heated Asteroids</t>
  </si>
  <si>
    <t>UREILITE PARENT BODY; ANGRA-DOS-REIS; CORE FORMATION; NOBLE-GASES; BASALTIC ACHONDRITES; SIDEROPHILE ELEMENTS; EUCRITIC METEORITES; OLIVINE DIOGENITES; POLYMICT EUCRITES; NEBULAR PROCESSES</t>
  </si>
  <si>
    <t>[Mittlefehldt, David W.] NASA, Lyndon B Johnson Space Ctr, Astromat Res Off, Mailcode KR, Houston, TX 77058 USA; [McCoy, Timothy J.] Smithsonian Inst, Dept Mineral Sci, Natl Museum Nat Hist, Washington, DC 20560 USA</t>
  </si>
  <si>
    <t>National Aeronautics &amp; Space Administration (NASA); NASA Johnson Space Center; Smithsonian Institution; Smithsonian National Museum of Natural History</t>
  </si>
  <si>
    <t>Mittlefehldt, DW (corresponding author), NASA, Lyndon B Johnson Space Ctr, Astromat Res Off, Mailcode KR, Houston, TX 77058 USA.</t>
  </si>
  <si>
    <t>Mittlefehldt, David/JUV-2877-2023</t>
  </si>
  <si>
    <t>WOS:000362338600006</t>
  </si>
  <si>
    <t>Korotev, RL; Zeigler, RA</t>
  </si>
  <si>
    <t>Korotev, Randy L.; Zeigler, Ryan A.</t>
  </si>
  <si>
    <t>ANSMET Meteorites from the Moon</t>
  </si>
  <si>
    <t>ALEXANDRA RANGE 93069; FELDSPATHIC LUNAR METEORITES; HIGHLAND REGOLITH BRECCIA; U-TH-PB; LAPAZ-ICEFIELD; IMPACT-MELT; SM-ND; ISOTOPIC SYSTEMATICS; BASALT METEORITES; GEOLOGIC HISTORY</t>
  </si>
  <si>
    <t>[Korotev, Randy L.] Washington Univ, Dept Earth &amp; Planetary Sci, St Louis, MO 63130 USA; [Korotev, Randy L.] Washington Univ, McDonnell Ctr Space Sci, St Louis, MO USA; [Zeigler, Ryan A.] NASA, Lyndon B Johnson Space Ctr, Astromat Res &amp; Explorat Sci Directorate, Acquisit &amp; Curat,Mailcode KT, Houston, TX 77058 USA</t>
  </si>
  <si>
    <t>Washington University (WUSTL); Washington University (WUSTL); National Aeronautics &amp; Space Administration (NASA); NASA Johnson Space Center</t>
  </si>
  <si>
    <t>Korotev, RL (corresponding author), Washington Univ, Dept Earth &amp; Planetary Sci, St Louis, MO 63130 USA.</t>
  </si>
  <si>
    <t>WOS:000362338600007</t>
  </si>
  <si>
    <t>McCoy, TJ</t>
  </si>
  <si>
    <t>McCoy, Timothy J.</t>
  </si>
  <si>
    <t>Meteorite Misfits: Fuzzy Clues to Solar System Processes</t>
  </si>
  <si>
    <t>AL-RICH CHONDRULES; ORDINARY CHONDRITES; 4 VESTA; PETROLOGY; ORIGIN; HISTORY; AGES</t>
  </si>
  <si>
    <t>Smithsonian Inst, Dept Mineral Sci, Natl Museum Nat Hist, Washington, DC 20560 USA</t>
  </si>
  <si>
    <t>Smithsonian Institution; Smithsonian National Museum of Natural History</t>
  </si>
  <si>
    <t>McCoy, TJ (corresponding author), Smithsonian Inst, Dept Mineral Sci, Natl Museum Nat Hist, Washington, DC 20560 USA.</t>
  </si>
  <si>
    <t>WOS:000362338600009</t>
  </si>
  <si>
    <t>Herzog, GF; Caffee, MW; Jull, AJT</t>
  </si>
  <si>
    <t>Herzog, Gregory F.; Caffee, Marc W.; Jull, A. J. Timothy</t>
  </si>
  <si>
    <t>Cosmogenic Nuclides in Antarctic Meteorites</t>
  </si>
  <si>
    <t>C-14 TERRESTRIAL AGES; RAY-EXPOSURE HISTORY; H-CHONDRITES; NOBLE-GASES; NATURAL THERMOLUMINESCENCE; THERMO-LUMINESCENCE; FRONTIER MOUNTAIN; VICTORIA LAND; WEATHERING PRODUCTS; METEOROID STREAMS</t>
  </si>
  <si>
    <t>[Herzog, Gregory F.] Rutgers State Univ, Dept Chem &amp; Chem Biol, Piscataway, NJ 08854 USA; [Caffee, Marc W.] Purdue Univ, Dept Phys, W Lafayette, IN 47907 USA; [Jull, A. J. Timothy] Univ Arizona, Dept Geosci, NSF Arizona Accelerator Mass Spectrometry Lab, Tucson, AZ 85721 USA; [Jull, A. J. Timothy] Univ Arizona, Dept Phys, NSF Arizona Accelerator Mass Spectrometry Lab, Tucson, AZ 85721 USA</t>
  </si>
  <si>
    <t>Rutgers University System; Rutgers University New Brunswick; Purdue University System; Purdue University; National Science Foundation (NSF); University of Arizona; University of Arizona; National Science Foundation (NSF)</t>
  </si>
  <si>
    <t>Herzog, GF (corresponding author), Rutgers State Univ, Dept Chem &amp; Chem Biol, Piscataway, NJ 08854 USA.</t>
  </si>
  <si>
    <t>WOS:000362338600010</t>
  </si>
  <si>
    <t>Corrigan, CM; Welzenbach, LC; Righter, K; McBride, KM; McCoy, TJ; Harvey, RP; Satterwhite, CE</t>
  </si>
  <si>
    <t>Corrigan, Catherine M.; Welzenbach, Linda C.; Righter, Kevin; McBride, Kathleen M.; McCoy, Timothy J.; Harvey, Ralph P.; Satterwhite, Cecilia E.</t>
  </si>
  <si>
    <t>A Statistical Look at the US Antarctic Meteorite Collection</t>
  </si>
  <si>
    <t>H CHONDRITES; MODERN FALLS; FINDS; MASS; DISTRIBUTIONS; RECOVERY</t>
  </si>
  <si>
    <t>[Corrigan, Catherine M.; Welzenbach, Linda C.; McCoy, Timothy J.] Smithsonian Inst, Dept Mineral Sci, Natl Museum Nat Hist, Washington, DC 20560 USA; [Righter, Kevin; McBride, Kathleen M.; Satterwhite, Cecilia E.] NASA, Lyndon B Johnson Space Ctr, Jacobs Technol, Houston, TX 77058 USA; [Harvey, Ralph P.] Case Western Reserve Univ, Dept Earth Environm &amp; Planetary Sci, Cleveland, OH 44106 USA</t>
  </si>
  <si>
    <t>Smithsonian Institution; Smithsonian National Museum of Natural History; National Aeronautics &amp; Space Administration (NASA); NASA Johnson Space Center; University System of Ohio; Case Western Reserve University</t>
  </si>
  <si>
    <t>Corrigan, CM (corresponding author), Smithsonian Inst, Dept Mineral Sci, Natl Museum Nat Hist, Washington, DC 20560 USA.</t>
  </si>
  <si>
    <t>WOS:000362338600011</t>
  </si>
  <si>
    <t>Ellis, A; Edwards, R; Saunders, M; Chakrabarty, RK; Subramanian, R; van Riessen, A; Smith, AM; Lambrinidis, D; Nunes, LJ; Vallelonga, P; Goodwin, ID; Moy, AD; Curran, MAJ; van Ommen, TD</t>
  </si>
  <si>
    <t>Ellis, A.; Edwards, R.; Saunders, M.; Chakrabarty, R. K.; Subramanian, R.; van Riessen, A.; Smith, A. M.; Lambrinidis, D.; Nunes, L. J.; Vallelonga, P.; Goodwin, I. D.; Moy, A. D.; Curran, M. A. J.; van Ommen, T. D.</t>
  </si>
  <si>
    <t>Characterizing black carbon in rain and ice cores using coupled tangential flow filtration and transmission electron microscopy</t>
  </si>
  <si>
    <t>LAW DOME; OPTICAL-PROPERTIES; AEROSOL-PARTICLES; SIZE DISTRIBUTION; EAST ANTARCTICA; MIXING STATE; SOOT; SNOW; AD; NANOPARTICLES</t>
  </si>
  <si>
    <t>Antarctic ice cores have been used to study the history of black carbon (BC), but little is known with regards to the physical and chemical characteristics of these particles in the remote atmosphere. Characterization remains limited by ultra-trace concentrations in ice core samples and the lack of adequate methods to isolate the particles unaltered from the melt water. To investigate the physical and chemical characteristics of these particles, we have developed a tangential flow filtration (TFF) method combined with transmission electron microscopy (TEM). Tests using ultrapure water and polystyrene latex particle standards resulted in excellent blanks and significant particle recovery. This approach has been applied to melt water from Antarctic ice cores as well as tropical rain from Darwin, Australia with successful results: TEM analysis revealed a variety of BC particle morphologies, insoluble coatings, and the attachment of BC to mineral dust particles. The TFF-based concentration of these particles has proven to give excellent results for TEM studies of BC particles in Antarctic ice cores and can be used for future studies of insoluble aerosols in rainwater and ice core samples.</t>
  </si>
  <si>
    <t>[Ellis, A.; Edwards, R.; van Riessen, A.; Nunes, L. J.] Curtin Univ, Phys &amp; Astron, Perth, WA 6845, Australia; [Edwards, R.] Univ Western Australia, Ctr Microscopy Characterisat &amp; Anal, Perth, WA 6009, Australia; [Chakrabarty, R. K.] Washington Univ, Dept Energy Environm &amp; Chem Engn, St Louis, MO USA; [Subramanian, R.] Carnegie Mellon Univ, Dept Mech Engn, Pittsburgh, PA 15213 USA; [Smith, A. M.] Australian Nucl Sci &amp; Technol Org, Sydney, NSW, Australia; [Lambrinidis, D.] Charles Darwin Univ, Res Inst Environm &amp; Livelihoods, Darwin, NT 0909, Australia; [Vallelonga, P.] Univ Copenhagen, Niels Bohr Inst, Ctr Ice &amp; Climate, DK-2100 Copenhagen, Denmark; [Goodwin, I. D.] Macquarie Univ, Dept Environm Sci, Marine Climate Risk Grp, N Ryde, NSW 2109, Australia; [Moy, A. D.; Curran, M. A. J.; van Ommen, T. D.] Australian Antarctic Div, Kingston, Tas, Australia; [Moy, A. D.; Curran, M. A. J.; van Ommen, T. D.] Univ Tasmania, Antarct Climate &amp; Ecosyst Cooperat Res Ctr, Hobart, Tas, Australia</t>
  </si>
  <si>
    <t>Curtin University; University of Western Australia; Washington University (WUSTL); Carnegie Mellon University; Australian Nuclear Science &amp; Technology Organisation; Charles Darwin University; University of Copenhagen; Niels Bohr Institute; Macquarie University; Australian Antarctic Division; University of Tasmania</t>
  </si>
  <si>
    <t>Ellis, A (corresponding author), Curtin Univ, Phys &amp; Astron, Perth, WA 6845, Australia.</t>
  </si>
  <si>
    <t>aja.a.ellis@gmail.com</t>
  </si>
  <si>
    <t>Subramanian, R/A-4913-2013; , Andrew/HLX-8550-2023; Saunders, Martin/B-3082-2011; van Ommen, Tas/B-5020-2012; Vallelonga, Paul/I-9650-2016; Edwards, Ross/B-1433-2013</t>
  </si>
  <si>
    <t>Saunders, Martin/0000-0001-6873-7816; Ellis, Aja/0000-0002-4593-294X; Smith, Andrew/0000-0002-9193-2617; van Ommen, Tas/0000-0002-2463-1718; Goodwin, Ian/0000-0001-8682-6409; Vallelonga, Paul/0000-0003-1055-7235; Edwards, Ross/0000-0002-9233-8775; Subramanian, R/0000-0002-5553-5913</t>
  </si>
  <si>
    <t>Australian Antarctic Sciences Grant [4144]; Commonwealth Government; State Government</t>
  </si>
  <si>
    <t>Australian Antarctic Sciences Grant; Commonwealth Government; State Government</t>
  </si>
  <si>
    <t>This work was supported by Australian Antarctic Sciences Grant 4144. The authors acknowledge the use of Curtin University's Microscopy &amp; Microanalysis Facility, whose instrumentation has been partially funded by the University, State and Commonwealth Governments. The authors acknowledge the facilities, and the scientific and technical assistance of the Australian Microscopy &amp; Microanalysis Research Facility at the Centre for Microscopy, Characterisation &amp; Analysis, The University of Western Australia, a facility funded by the University, State, and Commonwealth Governments.</t>
  </si>
  <si>
    <t>10.5194/amt-8-3959-2015</t>
  </si>
  <si>
    <t>CT0BF</t>
  </si>
  <si>
    <t>Green Submitted, Green Accepted, gold</t>
  </si>
  <si>
    <t>WOS:000362458000024</t>
  </si>
  <si>
    <t>Bashmachnikov, I; Nascimento, A; Neves, F; Menezes, T; Koldunov, NV</t>
  </si>
  <si>
    <t>Bashmachnikov, I.; Nascimento, A.; Neves, F.; Menezes, T.; Koldunov, N. V.</t>
  </si>
  <si>
    <t>Distribution of intermediate water masses in the subtropical northeast Atlantic</t>
  </si>
  <si>
    <t>OCEAN SCIENCE</t>
  </si>
  <si>
    <t>OPTIMUM MULTIPARAMETER ANALYSIS; MID-DEPTH CIRCULATION; LABRADOR SEA-WATER; MEDITERRANEAN OUTFLOW; MODE WATER; IBERIAN PENINSULA; INORGANIC CARBON; EASTERN BOUNDARY; MIXING ANALYSIS; SOUTH-ATLANTIC</t>
  </si>
  <si>
    <t>This work presents the quantitative study of climatological distributions of mid-depth source water types in the northeast (NE) Atlantic using the optimum multi-parameter analysis (OMP). It generalises a number of regional results from particular synoptic sections. The cores of the Mediterranean Water (MW), the modified Antarctic Intermediate Water (mAAIW) and the Subarctic Intermediate Water (SAIW) are detected and spatial variations of their depth/density are obtained: as expected, spreading of the water types is predominantly isopycnic and follows the major mid-depth circulation patterns. In some areas the turbulent transport also makes a considerable contribution. MW in the Atlantic spreads in three cores of different density: the upper MW core (northwest of the line 28 degrees W, 35 degrees N14 degrees W, 44 degrees N) is found in the neutral density range of 27.65-27.70 kgm(-3) at depths of 900-1000 m; the main MW core (between the line above and the line 35 degrees W, 28 degrees N-10 degrees W, 37 degrees N) has neutral density of around 27.75 kgm(-3) and is found at 1000-1100 m; the lower MW core (southeast of the line 35 degrees W, 28 degrees N-10 degrees W, 37 degrees N) has neutral density of around 27.80 kg m(-3) and is found at 1250-1350 m. The upper MW core has a comparatively low MW content (below 30 %) and is speculated to be transported by the mean flow from the northern Iberian Peninsula and the Bay of Biscay to the northern Azores. The main MW core contains the majority of the outflowing MW. It primarily originates from the Mediterranean undercurrent around Estremadura Promontory, where the Joint Effect of Baroclinicity and Bottom Relief (JEBAR) overrides the topographic beta effect. It is transported west to the Azores Islands mostly along 39 degrees N. The lower MW core originates in the Gulf of Cadiz, from where it is transported by the dominating flows southwestwards. The SAIW core is detected between 27.70 and 27.75 kgm(-3). It is found to spread south along both slopes of the Mid-Atlantic Ridge (MAR). SAIW east of the MAR mixes with the upper and the main MW cores and re-circulates in a cyclonic gyre at 15-25 degrees W and 34-39 degrees N, penetrating as far south as the Azores Current. The mAAIW core is detected between 27.60 and 27.65 kgm(-3). Its northernmost spreading limit is between 25 and 29 degrees N, but its influence can be observed along the African coast and immediately west of the Canary Islands up to 32 degrees N. The maximum concentration of the mAAIW core is found south of the Canary Islands, from where mAAIW is advected westwards, along with the westward spreading of the deep fraction of MW.</t>
  </si>
  <si>
    <t>[Bashmachnikov, I.; Nascimento, A.; Neves, F.; Menezes, T.] Univ Nova Lisboa, Fac Ciencias, MARE Marine &amp; Environm Sci Ctr, P-1749016 Lisbon, Portugal; [Bashmachnikov, I.] Univ Nova Lisboa, Fac Ciencias, DEGGE, P-1749016 Lisbon, Portugal; [Bashmachnikov, I.] St Petersburg State Univ, Inst Earth Sci, Oceanog Lab, St Petersburg 199034, Russia; [Koldunov, N. V.] Helmholtz Zentrum Geesthacht, Climate Serv Ctr Germany GERICS, Hamburg, Germany</t>
  </si>
  <si>
    <t>Universidade Nova de Lisboa; Universidade de Lisboa; Universidade de Lisboa; Universidade Nova de Lisboa; Saint Petersburg State University; Helmholtz Association; Helmholtz-Zentrum Hereon</t>
  </si>
  <si>
    <t>Bashmachnikov, I (corresponding author), Univ Nova Lisboa, Fac Ciencias, MARE Marine &amp; Environm Sci Ctr, P-1749016 Lisbon, Portugal.</t>
  </si>
  <si>
    <t>igorb@fc.ul.pt</t>
  </si>
  <si>
    <t>Neves, Filipe/B-3712-2012; Calheiros, Tomás LT/O-7682-2015; Bashmachnikov, Igor/B-2879-2012; Koldunov, Nikolay V. V./A-5439-2011</t>
  </si>
  <si>
    <t>Bashmachnikov, Igor/0000-0002-1257-4197; Koldunov, Nikolay V. V./0000-0002-3365-8146; Calheiros, Tomas/0000-0002-8240-3502</t>
  </si>
  <si>
    <t>Portuguese Foundation for Science and Technology (FCT) [PTDC/MAR/117265/2010]; MARE - Marine and Environmental Sciences Centre of the University of Lisbon [CO-Pest-OE/MAR/UI0199/2011]; Foundation for Science and Technology (FCT) [C2008-UL-CO-3]; University of Lisbon (UL) [C2008-UL-CO-3]; Fundação para a Ciência e a Tecnologia [PTDC/MAR/117265/2010] Funding Source: FCT</t>
  </si>
  <si>
    <t>Portuguese Foundation for Science and Technology (FCT)(Fundacao para a Ciencia e a Tecnologia (FCT)); MARE - Marine and Environmental Sciences Centre of the University of Lisbon; Foundation for Science and Technology (FCT)(Fundacao para a Ciencia e a Tecnologia (FCT)); University of Lisbon (UL); Fundação para a Ciência e a Tecnologia(Fundacao para a Ciencia e a Tecnologia (FCT))</t>
  </si>
  <si>
    <t>The authors acknowledge the scientific project MEDTRANS (PTDC/MAR/117265/2010), sponsored by the Portuguese Foundation for Science and Technology (FCT) and the MARE - Marine and Environmental Sciences Centre of the University of Lisbon (CO-Pest-OE/MAR/UI0199/2011). I. Bashmachnikov also acknowledges the contract C2008-UL-CO-3 of Ciencia 2008 between Foundation for Science and Technology (FCT) and the University of Lisbon (UL) and Federico Ienna for help in preparation of the manuscript for publication. The authors also acknowledge the data centres, from where the data were used for this study: MEDTRANS climatology from MARE-University of Lisbon (http://www.mare-centre.pt/en/research/medtrans-data), the World Ocean Atlas climatology from NOAA National Center for Environmental Information (http://www.nodc.noaa.gov/OC5/woa13), the WOCE Subsurface Float Data Assembly Center from the Woods Hole Oceanographic Institute (http://wfdac.whoi.edu/), the Coriolis operational data centre from IFREMER (ftp://ftp.ifremer.fr) and GEBCO's bathymetry data (http://www.gebco.net/data_and_products/gridded_bathymetry_data/).</t>
  </si>
  <si>
    <t>1812-0784</t>
  </si>
  <si>
    <t>OCEAN SCI</t>
  </si>
  <si>
    <t>Ocean Sci.</t>
  </si>
  <si>
    <t>10.5194/os-11-803-2015</t>
  </si>
  <si>
    <t>CV5RW</t>
  </si>
  <si>
    <t>WOS:000364329800003</t>
  </si>
  <si>
    <t>Filler, DM; Kennicutt, MC; Snape, I; Sweet, ST; Klein, AG</t>
  </si>
  <si>
    <t>Fingas, M</t>
  </si>
  <si>
    <t>Filler, D. M.; Kennicutt, Mahlon C., II; Snape, Ian; Sweet, Stephen T.; Klein, Andrew G.</t>
  </si>
  <si>
    <t>ARCTIC AND ANTARCTIC SPILLS</t>
  </si>
  <si>
    <t>HANDBOOK OF OIL SPILL SCIENCE AND TECHNOLOGY</t>
  </si>
  <si>
    <t>POLYCYCLIC AROMATIC-HYDROCARBONS; PETROLEUM-HYDROCARBONS; MCMURDO STATION; REMEDIATION; SOILS; CONTAMINATION; SITE</t>
  </si>
  <si>
    <t>[Filler, D. M.] Univ Cent Florida, Dept Civil Environm &amp; Construct Engn, Orlando, FL 32816 USA; [Kennicutt, Mahlon C., II] Texas A&amp;M Univ, Dept Oceanog, College Stn, TX 77843 USA; [Snape, Ian] Australian Antarctic Div, Environm Protect &amp; Change Program, Kingston, Tas, Australia; [Sweet, Stephen T.] Texas A&amp;M Univ, Geochem &amp; Environm Res Grp, Coll Geosci, College Stn, TX USA; [Klein, Andrew G.] Texas A&amp;M Univ, Dept Geog, College Stn, TX USA</t>
  </si>
  <si>
    <t>State University System of Florida; University of Central Florida; Texas A&amp;M University System; Texas A&amp;M University College Station; Australian Antarctic Division; Texas A&amp;M University System; Texas A&amp;M University College Station; Texas A&amp;M University System; Texas A&amp;M University College Station</t>
  </si>
  <si>
    <t>Filler, DM (corresponding author), Univ Cent Florida, Dept Civil Environm &amp; Construct Engn, Orlando, FL 32816 USA.</t>
  </si>
  <si>
    <t>Klein, Andrew/AGK-9609-2022</t>
  </si>
  <si>
    <t>Klein, Andrew/0000-0003-3804-8205; Sweet, Stephen/0000-0002-1441-8198</t>
  </si>
  <si>
    <t>JOHN WILEY &amp; SONS INC</t>
  </si>
  <si>
    <t>978-1-118-98998-2; 978-0-470-45551-7</t>
  </si>
  <si>
    <t>Engineering, Environmental; Engineering, Petroleum</t>
  </si>
  <si>
    <t>BD5TI</t>
  </si>
  <si>
    <t>WOS:000361809100022</t>
  </si>
  <si>
    <t>Andrady, AL</t>
  </si>
  <si>
    <t>Andrady, Anthony L.</t>
  </si>
  <si>
    <t>PLASTICS IN THE OCEANS</t>
  </si>
  <si>
    <t>PLASTICS AND ENVIRONMENTAL SUSTAINABILITY</t>
  </si>
  <si>
    <t>PERSISTENT ORGANIC POLLUTANTS; ANTARCTIC FUR SEALS; MARINE DEBRIS; SYNTHETIC-POLYMERS; MICROPLASTICS; ENVIRONMENT; INGESTION; PARTICLES; CONTAMINANTS; POLYETHYLENE</t>
  </si>
  <si>
    <t>N Carolina State Univ, Chem &amp; Biomol Engn, Raleigh, NC 27695 USA</t>
  </si>
  <si>
    <t>North Carolina State University</t>
  </si>
  <si>
    <t>Andrady, AL (corresponding author), N Carolina State Univ, Chem &amp; Biomol Engn, Raleigh, NC 27695 USA.</t>
  </si>
  <si>
    <t>978-1-119-00940-5; 978-1-118-31260-5</t>
  </si>
  <si>
    <t>10.1002/9781119009405</t>
  </si>
  <si>
    <t>Engineering, Chemical; Environmental Sciences</t>
  </si>
  <si>
    <t>BD5TT</t>
  </si>
  <si>
    <t>WOS:000361816800011</t>
  </si>
  <si>
    <t>Rogers, AD; Yesson, C; Gravestock, P</t>
  </si>
  <si>
    <t>Curry, BE</t>
  </si>
  <si>
    <t>Rogers, Alex D.; Yesson, Christopher; Gravestock, Pippa</t>
  </si>
  <si>
    <t>A Biophysical and Economic Profile of South Georgia and the South Sandwich Islands as Potential Large-Scale Antarctic Protected Areas</t>
  </si>
  <si>
    <t>ADVANCES IN MARINE BIOLOGY, VOL 70</t>
  </si>
  <si>
    <t>Advances in Marine Biology</t>
  </si>
  <si>
    <t>Review; Book Chapter</t>
  </si>
  <si>
    <t>WHITE-CHINNED PETRELS; TOOTHFISH DISSOSTICHUS-ELEGINOIDES; PENGUIN APTENODYTES PATAGONICUS; ALBATROSSES DIOMEDEA-EXULANS; MANTLED SOOTY ALBATROSS; SCOTIA ARC ISLANDS; SEABIRD BY-CATCH; CHINSTRAP PENGUINS; PROCELLARIA-AEQUINOCTIALIS; MACARONI PENGUINS</t>
  </si>
  <si>
    <t>The current hiatus in the establishment of a network of marine protected areas (MPAs) in the Antarctic means that other routes to conservation are required. The protection of overseas territories in the Antarctic and sub-Antarctic represents one way to advance the initiation of such a network. This review of the physical and biological features of the United Kingdom (U.K.) overseas territories of South Georgia and South Sandwich Islands (SGSSI) is undertaken to estimate the importance of the islands in terms of marine conservation in the Southern Ocean and globally. The economy and management of SGSSI are also analysed, and the question of whether the islands already have sufficient protection to constitute part of an Antarctic network of MPAs is assessed. The SGSSI comprise unique geological and physical features, a diverse marine biota, including a significant proportion of endemic species and globally important breeding populations of marine predators. Regardless of past exploitation of biotic resources, such as seals, whales and finfish, SGSSI would make a significant contribution to biological diversity in an Antarctic network of MPAs. At present, conservation measures do not adequately protect all of the biological features that render the islands so important in terms of conservation at a regional and global level. However, a general lack of data on Antarctic marine ecosystems (particularly needed for SGSSSI) makes it difficult to assess this fully. One barrier to achieving more complete protection is the continuing emphasis on fishing effort in these waters by U.K. government. Other non-U.K. Antarctic overseas territories of conservation importance are also compromised as MPAs because of the exploitation of fisheries resources in their waters. The possible non-use values of SGSSI as well as the importance of ecosystem services that are indirectly used by people are outlined in this review. Technology is improving the potential for management of remote MPAs, particularly in the context of incursion by illegal fishing activities and use of satellite surveillance for enforcement of fisheries and conservation regulations. The conflict between commercial exploitation and conservation of Antarctic marine living resources is explored.</t>
  </si>
  <si>
    <t>[Rogers, Alex D.] Univ Oxford, Dept Zool, Oxford, England; [Yesson, Christopher] Zool Soc London, Inst Zool, London NW1 4RY, England; [Gravestock, Pippa] Prospect House, London, England</t>
  </si>
  <si>
    <t>University of Oxford; Zoological Society of London</t>
  </si>
  <si>
    <t>Rogers, AD (corresponding author), Univ Oxford, Dept Zool, S Parks Rd, Oxford, England.</t>
  </si>
  <si>
    <t>alex.rogers@zoo.ox.ac.uk</t>
  </si>
  <si>
    <t>Yesson, Chris/Q-1196-2017</t>
  </si>
  <si>
    <t>Yesson, Chris/0000-0002-6731-4229; Rogers, Alex David/0000-0002-4864-2980</t>
  </si>
  <si>
    <t>ELSEVIER ACADEMIC PRESS INC</t>
  </si>
  <si>
    <t>525 B STREET, SUITE 1900, SAN DIEGO, CA 92101-4495 USA</t>
  </si>
  <si>
    <t>0065-2881</t>
  </si>
  <si>
    <t>2162-5875</t>
  </si>
  <si>
    <t>978-0-12-802355-6; 978-0-12-802140-8</t>
  </si>
  <si>
    <t>ADV MAR BIOL</t>
  </si>
  <si>
    <t>Adv. Mar. Biol.</t>
  </si>
  <si>
    <t>10.1016/bs.amb.2015.06.001</t>
  </si>
  <si>
    <t>Book Citation Index – Science (BKCI-S); Science Citation Index Expanded (SCI-EXPANDED)</t>
  </si>
  <si>
    <t>BD7MQ</t>
  </si>
  <si>
    <t>WOS:000363312800001</t>
  </si>
  <si>
    <t>de Moor, CL; Johnston, SJ; Brandao, A; Rademeyer, RA; Glazer, JP; Furman, LB; Butterworth, DS</t>
  </si>
  <si>
    <t>de Moor, C. L.; Johnston, S. J.; Brandao, A.; Rademeyer, R. A.; Glazer, J. P.; Furman, L. B.; Butterworth, D. S.</t>
  </si>
  <si>
    <t>A review of the assessments of the major fisheries resources in South Africa</t>
  </si>
  <si>
    <t>AFRICAN JOURNAL OF MARINE SCIENCE</t>
  </si>
  <si>
    <t>abalone; anchovy; assessment methods; assessment uncertainty; hake; horse mackerel; kingklip; monkfish; Patagonian toothfish; rock lobster; sardine; squid; stock status</t>
  </si>
  <si>
    <t>DISSOSTICHUS-ELEGINOIDES RESOURCE; MANAGEMENT PROCEDURE APPROACH; LOLIGO-VULGARIS-REYNAUDII; ROCK LOBSTER; SARDINE; ANCHOVY; IMPACT; CATCH</t>
  </si>
  <si>
    <t>The waters off South Africa's coastline boast a rich mix of commercially fished species. Quantitative assessments of these marine resources have developed from simple methods first applied in the 1970s, to models that encompass a wide range of methodologies. The more valuable resources have undergone regular assessments in recent decades, with frequencies closely related to the management approach employed for each fishery. Many of these assessments form the operating models used to simulation-test candidate management procedures. This paper provides a comprehensive review of the assessments of 11 of the most important fisheries resources in South Africa. Some assessments use simple biomass dynamics models, whereas others are a hybrid of age- and length-based models, each designed to model the specific characteristics of the resource and fishery concerned. Many of the assessments have been disaggregated by species/stock and/or area as related multispecies/stock/distribution hypotheses have arisen. This paper explores the similarities and differences in the data available and the methods applied. The review indicates that, whereas the status of three of these resources cannot be estimated reliably at present, the status of six resources is considered to be reasonable to good, whereas that of abalone Haliotis midae and West Coast rock lobster Jasus lalandii remains poor.</t>
  </si>
  <si>
    <t>[de Moor, C. L.; Johnston, S. J.; Brandao, A.; Rademeyer, R. A.; Furman, L. B.; Butterworth, D. S.] Univ Cape Town, Dept Math &amp; Appl Math, Marine Resource Assessment &amp; Management Grp MARAM, ZA-7700 Rondebosch, South Africa; [Glazer, J. P.] Dept Agr Forestry &amp; Fisheries, Branch Fisheries Management, Cape Town, South Africa</t>
  </si>
  <si>
    <t>University of Cape Town</t>
  </si>
  <si>
    <t>de Moor, CL (corresponding author), Univ Cape Town, Dept Math &amp; Appl Math, Marine Resource Assessment &amp; Management Grp MARAM, ZA-7700 Rondebosch, South Africa.</t>
  </si>
  <si>
    <t>carryn.demoor@uct.ac.za</t>
  </si>
  <si>
    <t>de Moor, Carryn/GXF-7603-2022</t>
  </si>
  <si>
    <t>de Moor, Carryn/0000-0001-5948-0123</t>
  </si>
  <si>
    <t>DAFF; South African National Antarctic Programme for the University of Cape Town; National Research Foundation</t>
  </si>
  <si>
    <t>These assessments have all been reviewed and accepted by the relevant Scientific Working Groups (SWGs) of the Fisheries Management Branch of the South African Department of Agriculture, Forestry and Fisheries (DAFF). We wish to thank the members and observers of these SWGs for their provision of data and comments on earlier versions of the assessments reported here. In addition, many of these assessments have been reviewed at the annual International Stock Assessment Workshops hosted in Cape Town which are partly funded by the National Research Foundation, and the international members of the review panels are thanked for their constructive feedback. Eva Plaganyi is thanked for providing some historical time-series for Figure 2. Andre Punt and two anonymous reviewers are thanked for their constructive comments on an earlier version of this manuscript. Financial support from DAFF and the South African National Antarctic Programme for the University of Cape Town contribution towards the development of these assessments is gratefully acknowledged.</t>
  </si>
  <si>
    <t>1814-232X</t>
  </si>
  <si>
    <t>1814-2338</t>
  </si>
  <si>
    <t>AFR J MAR SCI</t>
  </si>
  <si>
    <t>Afr. J. Mar. Sci.</t>
  </si>
  <si>
    <t>10.2989/1814232X.2015.1070201</t>
  </si>
  <si>
    <t>CU2GP</t>
  </si>
  <si>
    <t>WOS:000363342200001</t>
  </si>
  <si>
    <t>Simmonds, I</t>
  </si>
  <si>
    <t>Simmonds, Ian</t>
  </si>
  <si>
    <t>Comparing and contrasting the behaviour of Arctic and Antarctic sea ice over the 35 year period 1979-2013</t>
  </si>
  <si>
    <t>ANNALS OF GLACIOLOGY</t>
  </si>
  <si>
    <t>Antarctic glaciology; Arctic glaciology; atmosphere/ice/ocean interactions; climate change; ice and climate</t>
  </si>
  <si>
    <t>SOUTHERN ANNULAR MODE; CLIMATE-CHANGE; VARIABILITY; TRENDS; OCEAN; ATLANTIC; IMPACT; DRIVEN; ENERGY; EXTENT</t>
  </si>
  <si>
    <t>We examine the evolution of sea-ice extent (SIE) over both polar regions for 35 years from November 1978 to December 2013, as well as for the global total ice (Arctic plus Antarctic). Our examination confirms the ongoing loss of Arctic sea ice, and we find significant (p&lt;0.001) negative trends in all months, seasons and in the annual mean. The greatest rate of decrease occurs in September, and corresponds to a loss of 3 x 10(6) km(2) over 35 years. The Antarctic shows positive trends in all seasons and for the annual mean (p&lt;0.01), with summer attaining a reduced significance (p&lt;0.10). Based on our longer record (which includes the remarkable year 2013) the positive Antarctic ice trends can no longer be considered 'small', and the positive trend in the annual mean of (15.29 +/- 3.85) x 10(3) km(2) a(-1) is almost one-third of the magnitude of the Arctic annual mean decrease. The global annual mean SIE series exhibits a trend of (-35.29 +/- 5.75) x 10(3) km(2) a(-1) (p&lt;0.01). Finally we offer some thoughts as to why the SIE trends in the Coupled Model Intercomparison Phase 5 (CMIP5) simulations differ from the observed Antarctic increases.</t>
  </si>
  <si>
    <t>Univ Melbourne, Sch Earth Sci, Parkville, Vic 3052, Australia</t>
  </si>
  <si>
    <t>Simmonds, I (corresponding author), Univ Melbourne, Sch Earth Sci, Parkville, Vic 3052, Australia.</t>
  </si>
  <si>
    <t>simmonds@unimelb.edu.au</t>
  </si>
  <si>
    <t>Simmonds, Ian/0000-0002-4479-3255</t>
  </si>
  <si>
    <t>Australian Research Council; Australian Antarctic Science Advisory Committee</t>
  </si>
  <si>
    <t>Australian Research Council(Australian Research Council); Australian Antarctic Science Advisory Committee</t>
  </si>
  <si>
    <t>Parts of this research were made possible by grants from the Australian Research Council and from the Australian Antarctic Science Advisory Committee.</t>
  </si>
  <si>
    <t>0260-3055</t>
  </si>
  <si>
    <t>1727-5644</t>
  </si>
  <si>
    <t>ANN GLACIOL</t>
  </si>
  <si>
    <t>Ann. Glaciol.</t>
  </si>
  <si>
    <t>10.3189/2015AoG69A909</t>
  </si>
  <si>
    <t>CT8RE</t>
  </si>
  <si>
    <t>WOS:000363082900004</t>
  </si>
  <si>
    <t>Yang, QH; Losa, SN; Losch, M; Liu, JP; Zhang, ZH; Nerger, L; Yang, H</t>
  </si>
  <si>
    <t>Yang, Qinghua; Losa, Svetlana N.; Losch, Martin; Liu, Jiping; Zhang, Zhanhai; Nerger, Lars; Yang, Hu</t>
  </si>
  <si>
    <t>Assimilating summer sea-ice concentration into a coupled ice-ocean model using a LSEIK filter</t>
  </si>
  <si>
    <t>sea ice; sea-ice modelling</t>
  </si>
  <si>
    <t>OPERATIONAL CIRCULATION MODEL; NOAA SST DATA; CLIMATE MODEL; TOPOGRAPHY; THICKNESS; NORTH</t>
  </si>
  <si>
    <t>The decrease in summer sea-ice extent in the Arctic Ocean opens shipping routes and creates potential for many marine operations. For these activities accurate predictions of sea-ice conditions are required to maintain marine safety. In an attempt at Arctic sea-ice prediction, the summer of 2010 is selected to implement an Arctic sea-ice data assimilation (DA) study. The DA system is based on a regional Arctic configuration of the Massachusetts Institute of Technology general circulation model (MITgcm) and a local singular evolutive interpolated Kalman (LSEIK) filter to assimilate Special Sensor Microwave Imager/Sounder (SSMIS) sea-ice concentration operational products from the US National Snow and Ice Data Center (NSIDC). Based on comparisons with both the assimilated NSIDC SSMIS concentration and concentration data from the Ocean and Sea Ice Satellite Application Facility, the forecasted sea-ice edge and concentration improve upon simulations without data assimilation. By the nature of the assimilation algorithm with multivariate covariance between ice concentration and thickness, sea-ice thickness fields are also updated, and the evaluation with in situ observation shows some improvement compared to the forecast without data assimilation.</t>
  </si>
  <si>
    <t>[Yang, Qinghua] Natl Marine Environm Forecasting Ctr, Polar Environm Res &amp; Forecasting Div, Beijing, Peoples R China; [Yang, Qinghua; Losa, Svetlana N.; Losch, Martin; Nerger, Lars; Yang, Hu] Helmholtz Ctr Polar &amp; Marine Res, Alfred Wegener Inst, Bremerhaven, Germany; [Liu, Jiping] SUNY Albany, Dept Atmospher &amp; Environm Sci, Albany, NY 12222 USA; [Zhang, Zhanhai] Polar Res Inst China, State Ocean Adm, Key Lab Polar Sci, Shanghai, Peoples R China</t>
  </si>
  <si>
    <t>National Marine Environmental Forecasting Center; Helmholtz Association; Alfred Wegener Institute, Helmholtz Centre for Polar &amp; Marine Research; State University of New York (SUNY) System; State University of New York (SUNY) Albany; Polar Research Institute of China</t>
  </si>
  <si>
    <t>Yang, QH (corresponding author), Natl Marine Environm Forecasting Ctr, Polar Environm Res &amp; Forecasting Div, Beijing, Peoples R China.</t>
  </si>
  <si>
    <t>yqh@nmefc.gov.cn</t>
  </si>
  <si>
    <t>Loza, Svetlana N./E-3099-2019; Yang, Hu/AAA-1437-2021; Nerger, Lars/G-4845-2013; LIU, JIPING/N-6696-2016; Nerger, Lars/AAD-9248-2020; Losch, Martin/S-5896-2016</t>
  </si>
  <si>
    <t>Loza, Svetlana N./0000-0003-2153-1954; Yang, Hu/0000-0003-2054-2256; Nerger, Lars/0000-0002-1908-1010; Yang, Qinghua/0000-0002-7114-2036; Losch, Martin/0000-0002-3824-5244</t>
  </si>
  <si>
    <t>BMBF (Federal Ministry of Education and Research, Germany)-SOA (State Oceanic Administration, China); Ocean Public Welfare Project of China [2012418007]; National Natural Science Foundation of China [41376005, 41376188, 41106165]; Chinese Arctic and Antarctic Administration Project [IC201014, IC201102]; China Scholarship Council</t>
  </si>
  <si>
    <t>BMBF (Federal Ministry of Education and Research, Germany)-SOA (State Oceanic Administration, China); Ocean Public Welfare Project of China; National Natural Science Foundation of China(National Natural Science Foundation of China (NSFC)); Chinese Arctic and Antarctic Administration Project; China Scholarship Council(China Scholarship Council)</t>
  </si>
  <si>
    <t>We thank An T. Nguyen of the Massachusetts Institute of Technology, USA, for providing data of the modeling configuration. We thank the US National Snow and Ice Data Center (NSIDC) and the OSISAF High Latitude Processing Centre for providing the ice concentration data, the Japan Meteorological Agency (JMA) for the JRA analysis data, the Woods Hole Oceanographic Institution, USA, for the sea-ice draft data (http://www.whoi.edu/beaufortgyre), and the Cold Regions Research and Engineering Laboratory, USA, for the IMB data (http://IMB.crrel.usace.army.mil). This study is supported by the BMBF (Federal Ministry of Education and Research, Germany)-SOA (State Oceanic Administration, China) Joint Project, the Ocean Public Welfare Project of China (2012418007), the National Natural Science Foundation of China (41376005, 41376188 and 41106165), the Chinese Arctic and Antarctic Administration Project (IC201014 and IC201102) and the China Scholarship Council. Two anonymous reviewers are thanked for comments that helped improve the manuscript.</t>
  </si>
  <si>
    <t>10.3189/2015AoG69A740</t>
  </si>
  <si>
    <t>WOS:000363082900006</t>
  </si>
  <si>
    <t>Zhao, X; Su, HY; Stein, A; Pang, XP</t>
  </si>
  <si>
    <t>Zhao, Xi; Su, Haoyue; Stein, Alfred; Pang, Xiaoping</t>
  </si>
  <si>
    <t>Comparison between AMSR-E ASI sea-ice concentration product, MODIS and pseudo-ship observations of the Antarctic sea-ice edge</t>
  </si>
  <si>
    <t>sea ice</t>
  </si>
  <si>
    <t>SATELLITE; MICROWAVE; IMAGERY; EXTENT; SSM/I</t>
  </si>
  <si>
    <t>The performance of passive microwave sea-ice concentration products in the marginal ice zone and at the ice edge draws much attention in accuracy assessments. In this study, we generated 917 pseudo-ship observations from four Moderate Resolution Imaging Spectroradiometer (MODIS) images based on the Antarctic Sea Ice Processes and Climate (ASPeCt) protocol to assess the quality of the Advanced Microwave Scanning Radiometer for Earth Observing System (AMSR-E) ARTIST (Arctic Radiation and Turbulence Interaction STudy) Sea Ice (ASI) concentrations at the ice edge in Antarctica. The results indicate that the ASI pixels in the pseudo-ASPeCt observations have a mean ice concentration of 13% and are significantly different from the well-established 15% threshold. The average distance between the pseudo-ice edge and the 15% threshold contour is similar to 10 km. The correlation between the sea-ice concentration (SIC), SICASI and SICMODIS values at the ice edge was considerably lower than the high coefficients obtained from a transect analysis. Underestimation of SICASI, occurred in summer, whereas no clear bias was observed in winter. The proposed method provides an opportunity to generate a new source of reference data in which the spatial coverage is wider and more flexible than in traditional in situ observations.</t>
  </si>
  <si>
    <t>[Zhao, Xi; Su, Haoyue; Pang, Xiaoping] Wuhan Univ, Chinese Antarctic Ctr Surveying &amp; Mapping, Wuhan 430072, Peoples R China; [Stein, Alfred] Univ Twente, Fac Geoinformat Sci &amp; Earth Observat, Twente, Netherlands</t>
  </si>
  <si>
    <t>Wuhan University; University of Twente</t>
  </si>
  <si>
    <t>Zhao, X (corresponding author), Wuhan Univ, Chinese Antarctic Ctr Surveying &amp; Mapping, Wuhan 430072, Peoples R China.</t>
  </si>
  <si>
    <t>pxp@whu.edu.cn</t>
  </si>
  <si>
    <t>Zhao, Xi/0000-0003-2274-891X</t>
  </si>
  <si>
    <t>National Natural Science Foundation of China [41301463]; Specialized Research Fund for the Doctoral Program of Higher Education [20130141120009]; Key Laboratory of Global Change and Marine-Atmospheric Chemistry, SOA [GCMAC1305]</t>
  </si>
  <si>
    <t>National Natural Science Foundation of China(National Natural Science Foundation of China (NSFC)); Specialized Research Fund for the Doctoral Program of Higher Education(Specialized Research Fund for the Doctoral Program of Higher Education (SRFDP)); Key Laboratory of Global Change and Marine-Atmospheric Chemistry, SOA</t>
  </si>
  <si>
    <t>This work was partially supported by the National Natural Science Foundation of China (grant No. 41301463), Specialized Research Fund for the Doctoral Program of Higher Education (grant No. 20130141120009) and the Fund of Key Laboratory of Global Change and Marine-Atmospheric Chemistry, SOA (GCMAC1305). We thank the Institute of Environmental Physics (IUP), University of Bremen, Germany, for providing ASI concentration data, and NASA Goddard Space Flight Center (GSFC) for providing the MODIS dataset. We also thank two anonymous referees, Hiroyuki Enomoto and Petra Heil for the review and editorial comments, which improved the manuscript.</t>
  </si>
  <si>
    <t>10.3189/2015AoG69A588</t>
  </si>
  <si>
    <t>WOS:000363082900007</t>
  </si>
  <si>
    <t>Zatko, MC; Warren, SG</t>
  </si>
  <si>
    <t>Zatko, Maria C.; Warren, Stephen G.</t>
  </si>
  <si>
    <t>East Antarctic sea ice in spring: spectral albedo of snow, nilas, frost flowers and slush, and light-absorbing impurities in snow</t>
  </si>
  <si>
    <t>Antarctic glaciology; sea ice; snow; snow chemistry; snow physics</t>
  </si>
  <si>
    <t>CLIMATE MODEL SENSITIVITY; SOLAR-RADIATION; OPTICAL-PROPERTIES; SURFACE ALBEDO; TRANSMISSION; ABSORPTION; CLOUDS; PARAMETERIZATION; ULTRAVIOLET; THICKNESS</t>
  </si>
  <si>
    <t>Spectral albedos of open water, nilas, nilas with frost flowers, slush, and first-year ice with both thin and thick snow cover were measured in the East Antarctic sea-ice zone during the Sea Ice Physics and Ecosystems experiment II (SIPEX II) from September to November 2012, near 65 degrees S, 120 degrees E. Albedo was measured across the ultraviolet (UV), visible and near-infrared (nIR) wavelengths, augmenting a dataset from prior Antarctic expeditions with spectral coverage extended to longer wavelengths, and with measurement of slush and frost flowers, which had not been encountered on the prior expeditions. At visible and UV wavelengths, the albedo depends on the thickness of snow or ice; in the nIR the albedo is determined by the specific surface area. The growth of frost flowers causes the nilas albedo to increase by 0.2-0.3 in the UV and visible wavelengths. The spectral albedos are integrated over wavelength to obtain broadband albedos for wavelength bands commonly used in climate models. The albedo spectrum for deep snow on first-year sea ice shows no evidence of light-absorbing particulate impurities (LAI), such as black carbon (BC) or organics, which is consistent with the extremely small quantities of LAI found by filtering snow meltwater. Estimated BC mixing ratios were in the range 0.1-0.5 ng of carbon per gram of snow.</t>
  </si>
  <si>
    <t>[Zatko, Maria C.; Warren, Stephen G.] Univ Washington, Dept Atmospher Sci, Seattle, WA 98195 USA</t>
  </si>
  <si>
    <t>University of Washington; University of Washington Seattle</t>
  </si>
  <si>
    <t>Zatko, MC (corresponding author), Univ Washington, Dept Atmospher Sci, Seattle, WA 98195 USA.</t>
  </si>
  <si>
    <t>mzatko@uw.edu</t>
  </si>
  <si>
    <t>Australian Antarctic Division; US National Science Foundation [ANT-1141275]; Office of Polar Programs (OPP); Directorate For Geosciences [1141275] Funding Source: National Science Foundation</t>
  </si>
  <si>
    <t>Australian Antarctic Division; US National Science Foundation(National Science Foundation (NSF)); Office of Polar Programs (OPP); Directorate For Geosciences(National Science Foundation (NSF)NSF - Directorate for Geosciences (GEO))</t>
  </si>
  <si>
    <t>We thank Tony Worby for initially sponsoring our participation in SIPEX II, and Andy Cianchi and Klaus Meiners for their friendly support as Voyage Leader and Chief Scientist, respectively. The crew of Aurora Australis, under Captain Murray Doyle, were helpful in many ways, particularly in the launching and operation of the IRB. Chris Gallagher, the Field Training Officer, kept us on-belay and otherwise attended to our safety during our measurements on thin ice. Friendly interactions with other researchers from many nations on the voyage were much appreciated. Rich Brandt, Bonnie Light and Peter Mullen provided training on operation of the ASD spectral radiometer in advance of the expedition. Rich Brandt wrote the data-processing programs for spectral albedo. Sarah Doherty, Tom Grenfell and Cheng Dang provided instruction on operation of the laboratory spectrophotometer for analysis of light-absorbing impurities. We benefited from discussions about ice types with Rob Massom, Rich Brandt and Tom Grenfell. Don Perovich provided the albedo spectrum of Arctic frost flowers. The research was supported by the Australian Antarctic Division and by grant ANT-1141275 from the US National Science Foundation.</t>
  </si>
  <si>
    <t>10.3189/2015AoG69A574</t>
  </si>
  <si>
    <t>WOS:000363082900008</t>
  </si>
  <si>
    <t>Reid, P; Stammerjohn, S; Massom, R; Scambos, T; Lieser, J</t>
  </si>
  <si>
    <t>Reid, Phil; Stammerjohn, Sharon; Massom, Rob; Scambos, Ted; Lieser, Jan</t>
  </si>
  <si>
    <t>The record 2013 Southern Hemisphere sea-ice extent maximum</t>
  </si>
  <si>
    <t>atmosphere/ice/ocean interactions; climate change; sea ice</t>
  </si>
  <si>
    <t>ANTARCTIC PENINSULA; OPEN WATER; VARIABILITY; CLIMATE; TRENDS; SHELF; IMPACTS; REGION; OCEAN; DRIVEN</t>
  </si>
  <si>
    <t>Observations of Southern Hemisphere sea ice from passive microwave satellite measurements show that a new record maximum extent of 19.58 x 10(6) km(2) was reached on 30 September 2013; the extent is just over two standard deviations above the 1979-2012 mean and follows a similar record (19.48 x 10(6) km(2)) in 2012. On the record day in 2013, sea-ice extent was greater than the 30 year average (1981-2010) in nearly all Southern Ocean regions. For the year as a whole, Southern Hemisphere sea-ice area and extent were well above average, and numerous monthly and daily records were broken. Analysis of anomaly patterns and the atmospheric and oceanic events suggests that a sequence of regional wind and cold-freshened surface waters is likely responsible for the record maximum and the generally high 2013 extent. In particular, the Ross Sea sector experienced a combination of cold southerly winds associated with the position and depth of the Amundsen Sea low, and lower than normal sea surface temperatures (up to 2 degrees C below normal). The resulting very high anomaly in ice extent in this region was a major component of the overall record maximum.</t>
  </si>
  <si>
    <t>[Reid, Phil] Ctr Australian Weather &amp; Climate Res &amp; Antarctic, Bur Meteorol, Hobart, Tas, Australia; [Stammerjohn, Sharon] Univ Colorado, Inst Arctic &amp; Alpine Res, Boulder, CO 80309 USA; [Massom, Rob] Australian Antarctic Div &amp; Antarctic Climate &amp; Ec, Hobart, Tas, Australia; [Scambos, Ted] Univ Colorado, Natl Snow &amp; Ice Data Ctr, Boulder, CO 80309 USA; [Lieser, Jan] Antarctic Climate &amp; Ecosyst CRC, Hobart, Tas, Australia</t>
  </si>
  <si>
    <t>Bureau of Meteorology - Australia; University of Colorado System; University of Colorado Boulder; Australian Antarctic Division; University of Colorado System; University of Colorado Boulder; University of Tasmania</t>
  </si>
  <si>
    <t>Reid, P (corresponding author), Ctr Australian Weather &amp; Climate Res &amp; Antarctic, Bur Meteorol, Hobart, Tas, Australia.</t>
  </si>
  <si>
    <t>p.reid@bom.gov.au</t>
  </si>
  <si>
    <t>Lieser, Jan/J-7157-2014; Scambos, Ted A/B-1856-2009</t>
  </si>
  <si>
    <t>Lieser, Jan/0000-0001-6870-1311; STAMMERJOHN, SHARON/0000-0002-1697-8244; SCAMBOS, Ted A./0000-0003-4268-6322; Massom, Robert/0000-0003-1533-5084</t>
  </si>
  <si>
    <t>Australian Government's Cooperative Research Centre (CRC) programme through the Antarctic Climate and Ecosystems CRC, Australian Antarctic Science project [4116]; US NASA grant [NNX11AF44G]; US National Science Foundation [ANT-0823101]; Office of Polar Programs (OPP); Directorate For Geosciences [1440435] Funding Source: National Science Foundation; NASA [NNX11AF44G, 147246] Funding Source: Federal RePORTER</t>
  </si>
  <si>
    <t>Australian Government's Cooperative Research Centre (CRC) programme through the Antarctic Climate and Ecosystems CRC, Australian Antarctic Science project(Australian GovernmentDepartment of Industry, Innovation and ScienceCooperative Research Centres (CRC) Programme); US NASA grant; US National Science Foundation(National Science Foundation (NSF)); Office of Polar Programs (OPP); Directorate For Geosciences(National Science Foundation (NSF)NSF - Directorate for Geosciences (GEO)); NASA(National Aeronautics &amp; Space Administration (NASA))</t>
  </si>
  <si>
    <t>We thank Melanie Webb, Andrew Watkins and anonymous reviewers for providing comments and advice on earlier drafts of this paper. Sea-ice data were obtained from the NASA Earth Observing System Distributed Active Archive Center (DAAC) at the US National Snow and Ice Data Center, University of Colorado, Boulder, CO, USA (http://www.nsidc.org). Mean sea-level and precipitation data were from the ACCESS dataset provided by the Australian Bureau of Meteorology, Hobart, Australia. Sea surface salinity data were obtained from http://podaac.jpl.nasa.gov, maintained by the NASA Jet Propulsion Laboratory (JPL) Physical Oceanography DAAC, Pasadena, CA, USA. The SST data were obtained from Reynolds and Smith O1.v2, which are available from late 1981 onwards (Reynolds and others, 2002; Smith and others, 2008). The monthly mean SST climatologies were obtained from the US National Oceanic and Atmospheric Administration at http://origin.cpc.ncep.noaa.gov/products/people/yxue/sstclim/. SAM data are those derived by Marshall (2003) and acquired from the British Antarctic Survey: http://www.nerc-bas.ac.uk/icd/gjma/sam.html. This work was supported by the Australian Government's Cooperative Research Centre (CRC) programme through the Antarctic Climate and Ecosystems CRC under Australian Antarctic Science project 4116 (R.M., P.R., J.L.), US NASA grant NNX11AF44G (T.S.) and US National Science Foundation grant ANT-0823101 (S.S.).</t>
  </si>
  <si>
    <t>10.3189/2015AoG69A892</t>
  </si>
  <si>
    <t>WOS:000363082900013</t>
  </si>
  <si>
    <t>Wongpan, P; Langhorne, PJ; Dempsey, DE; Hahn-Woernle, L; Sun, ZF</t>
  </si>
  <si>
    <t>Wongpan, Pat; Langhorne, Patricia J.; Dempsey, David E.; Hahn-Woernle, Lisa; Sun, Zhifa</t>
  </si>
  <si>
    <t>Simulation of the crystal growth of platelet sea ice with diffusive heat and mass transfer</t>
  </si>
  <si>
    <t>Antarctic glaciology; sea ice; sea-ice growth and decay; sea-ice modelling; sea-ice/ice-shelf interactions</t>
  </si>
  <si>
    <t>MCMURDO SOUND; GREASE ICE; ANTARCTICA; OCEAN; SOLIDIFICATION; RATES; WATER</t>
  </si>
  <si>
    <t>Antarctic coastal sea ice often grows in water that has been supercooled by interaction with an ice shelf. In these situations, ice crystals can form at depth, rise and deposit under the sea-ice cover to form a porous layer that eventually consolidates near the base of the existing sea ice. The least consolidated portion is called the sub-ice platelet layer. Congelation growth eventually causes the sub-ice platelet layer to become frozen into the sea-ice cover as incorporated platelet ice. In this study, we simulate these processes in three dimensions using Voronoi dynamics to govern crystal growth kinetics. Platelet deposition, in situ growth and incorporation into the sea-ice cover are integrated into the model. Heat and mass transfer are controlled by diffusion. We extract and compare spatial temporal distributions of porosity, salinity, temperature and crystallographic c-axes with observations from McMurdo Sound, Antarctica. The model captures the crystallographic structure of incorporated platelet ice as well as the topology of the sub-ice platelet layer. The solid fraction, which has previously been poorly constrained, is simulated to be similar to 0.22, in good agreement with an earlier estimate of 0.25 +/- 0.06. This property of the sub-ice platelet layer is important for biological processes, and for the freeboard-thickness relationship around Antarctica.</t>
  </si>
  <si>
    <t>[Wongpan, Pat; Langhorne, Patricia J.; Dempsey, David E.; Hahn-Woernle, Lisa; Sun, Zhifa] Univ Otago, Dept Phys, Dunedin, New Zealand; [Dempsey, David E.] Los Alamos Natl Lab, Los Alamos, NM USA; [Hahn-Woernle, Lisa] Swiss Fed Inst Technol, Zurich, Switzerland; [Hahn-Woernle, Lisa] Univ Utrecht, Utrecht, Netherlands</t>
  </si>
  <si>
    <t>University of Otago; United States Department of Energy (DOE); Los Alamos National Laboratory; Swiss Federal Institutes of Technology Domain; ETH Zurich; Utrecht University</t>
  </si>
  <si>
    <t>Wongpan, P (corresponding author), Univ Otago, Dept Phys, Dunedin, New Zealand.</t>
  </si>
  <si>
    <t>pat.wongpan@postgrad.otago.ac.nz</t>
  </si>
  <si>
    <t>Wongpan, Pat/AAX-6946-2020; Dempsey, David/B-9115-2015; Langhorne, Pat/C-3539-2018</t>
  </si>
  <si>
    <t>Wongpan, Pat/0000-0002-7113-8221; Hahn-Woernle, Lisa/0000-0002-5945-589X; Dempsey, David/0000-0003-2135-5129; Langhorne, Pat/0000-0003-0239-7657</t>
  </si>
  <si>
    <t>University of Otago publishing bursary</t>
  </si>
  <si>
    <t>P.W. has been supported by a University of Otago publishing bursary. We acknowledge Craig Stevens, Michael Williams and Sarah Wakes for helpful suggestions. The numerical results were simulated on the University of Otago Vulcan cluster. We acknowledge Lars Smedsrud, an anonymous reviewer and the editors, whose suggestions and comments helped improve and clarify earlier versions of the manuscript.</t>
  </si>
  <si>
    <t>10.3189/2015AoG69A777</t>
  </si>
  <si>
    <t>WOS:000363082900016</t>
  </si>
  <si>
    <t>Hunkeler, PA; Hendricks, S; Hoppmann, M; Paul, S; Gerdes, R</t>
  </si>
  <si>
    <t>Hunkeler, Priska A.; Hendricks, Stefan; Hoppmann, Mario; Paul, Stephan; Gerdes, Ruediger</t>
  </si>
  <si>
    <t>Towards an estimation of sub-sea-ice platelet-layer volume with multi-frequency electromagnetic induction sounding</t>
  </si>
  <si>
    <t>basal melt; sea ice; sea-ice/ice-shelf interactions</t>
  </si>
  <si>
    <t>THICKNESS MEASUREMENTS; MCMURDO SOUND; WEDDELL SEA; ANTARCTICA; CALIBRATION; SUMMER; BRINE</t>
  </si>
  <si>
    <t>Ice-platelet clusters modify the heat and mass balance of sea ice near Antarctic ice shelves and provide a unique habitat for ice-associated organisms. The amount and distribution of these ice crystals below the solid sea ice provide insight into melt rates and circulation regimes in the ice-shelf cavities, which are difficult to observe directly. However, little is known about the circum-Antarctic volume of the sub-sea-ice platelet layer, because observations have mostly been limited to point measurements. In this study, we present a new application of multi-frequency electromagnetic (EM) induction sounding to quantify platelet-layer properties. Combining in situ data with the theoretical response yields a bulk platelet-layer conductivity of 1154 +/- 271 mS m(-1) and ice-volume fractions of 0.29-0.43. Calibration routines and uncertainties are discussed in detail to facilitate future studies. Our results suggest that multi-frequency EM induction sounding is a promising method to efficiently map platelet-layer volume on a larger scale than has previously been feasible.</t>
  </si>
  <si>
    <t>[Hunkeler, Priska A.; Hendricks, Stefan; Hoppmann, Mario; Gerdes, Ruediger] Helmholtz Zentrum Polar &amp; Meeresforsch, Alfred Wegener Inst, Bremerhaven, Germany; [Paul, Stephan] Univ Trier, Environm Meteorol, Trier, Germany</t>
  </si>
  <si>
    <t>Helmholtz Association; Alfred Wegener Institute, Helmholtz Centre for Polar &amp; Marine Research; Universitat Trier</t>
  </si>
  <si>
    <t>Hunkeler, PA (corresponding author), Helmholtz Zentrum Polar &amp; Meeresforsch, Alfred Wegener Inst, Bremerhaven, Germany.</t>
  </si>
  <si>
    <t>priska.hunkeler@awi.de</t>
  </si>
  <si>
    <t>Hoppmann, Mario/KFB-0363-2024; Hendricks, Stefan/D-5168-2011; Paul, Stephan/I-5918-2019</t>
  </si>
  <si>
    <t>Hoppmann, Mario/0000-0003-1294-9531; Hendricks, Stefan/0000-0002-1412-3146; Paul, Stephan/0000-0002-5136-714X</t>
  </si>
  <si>
    <t>German Research Council (DFG) [SPP1158, NI1092/2, HE2740/12]; graduate school POLMAR; Alfred-Wegener-Institut Helmholtz-Zentrum fur Polar- und Meeresforschung</t>
  </si>
  <si>
    <t>German Research Council (DFG)(German Research Foundation (DFG)); graduate school POLMAR; Alfred-Wegener-Institut Helmholtz-Zentrum fur Polar- und Meeresforschung</t>
  </si>
  <si>
    <t>We thank Thomas Schmidt, Meike Kuhnel and Uwe Baltes for their fieldwork at Atka Bay. We thank the German Space Agency (DLR) for the TerraSAR-X image, and Christine Wesche for post-processing and calibrating the data. We are grateful to Robert Ricker, Thomas Krumpen and Martin Schiller for their fieldwork on board RV Polarstern (ANT-XXIX/6 and 7) and Xenia II. We thank Jean-Louis Tison for providing the sea-ice core data from the Weddell Sea campaign, and AWI logistics for their support. This work was partly supported by the German Research Council (DFG) in the framework of the priority program Antarctic Research, with comparative investigations in Arctic ice areas by grants SPP1158, NI1092/2 and HE2740/12, the graduate school POLMAR and the Alfred-Wegener-Institut Helmholtz-Zentrum fur Polar- und Meeresforschung. We are also grateful to the reviewers whose comments and suggestions improved the clarity of the manuscript.</t>
  </si>
  <si>
    <t>10.3189/2015AoG69A705</t>
  </si>
  <si>
    <t>WOS:000363082900017</t>
  </si>
  <si>
    <t>Meylan, MH; Yiew, LJ; Bennetts, LG; French, BJ; Thomas, GA</t>
  </si>
  <si>
    <t>Meylan, Michael H.; Yiew, Lucas J.; Bennetts, Luke G.; French, Benjamin J.; Thomas, Giles A.</t>
  </si>
  <si>
    <t>Surge motion of an ice floe in waves: comparison of a theoretical and an experimental model</t>
  </si>
  <si>
    <t>sea-ice modelling</t>
  </si>
  <si>
    <t>A theoretical model and an experimental model of surge motions of an ice floe due to regular waves are presented. The theoretical model is a modified version of Morrison's equation, valid for small floating bodies. The experimental model is implemented in a wave basin at a scale 1: 100, using a thin plastic disc to model the floe. The processed experimental data display a regime change in surge amplitude when the incident wavelength is approximately twice the floe diameter. It is shown that the theoretical model is accurate in the high-wavelength regime, but highly inaccurate in the low-wavelength regime.</t>
  </si>
  <si>
    <t>[Meylan, Michael H.] Univ Newcastle, Sch Math &amp; Phys Sci, Newcastle, NSW 2300, Australia; [Yiew, Lucas J.; Bennetts, Luke G.] Univ Adelaide, Sch Math Sci, Adelaide, SA, Australia; [French, Benjamin J.; Thomas, Giles A.] Australian Maritime Coll, Natl Ctr Maritime Engn &amp; Hydrodynam, Launceston, Tas, Australia</t>
  </si>
  <si>
    <t>University of Newcastle; University of Adelaide; University of Tasmania; Australian Maritime College</t>
  </si>
  <si>
    <t>Meylan, MH (corresponding author), Univ Newcastle, Sch Math &amp; Phys Sci, Newcastle, NSW 2300, Australia.</t>
  </si>
  <si>
    <t>mike.meylan@newcastle.edu.au</t>
  </si>
  <si>
    <t>Bennetts, Luke/0000-0001-9386-7882; Meylan, Michael/0000-0002-3164-1367; Yiew, Lucas/0000-0002-4162-4827; Thomas, Giles/0000-0002-6122-4329</t>
  </si>
  <si>
    <t>Australian Maritime College; Australian Research Council [DE130101571]; Australian Antarctic Science Grant Program [4123]; Australian Research Council [DE130101571] Funding Source: Australian Research Council</t>
  </si>
  <si>
    <t>Australian Maritime College; Australian Research Council(Australian Research Council); Australian Antarctic Science Grant Program; Australian Research Council(Australian Research Council)</t>
  </si>
  <si>
    <t>Experiments were funded by the Australian Maritime College. L.G.B. acknowledges funding support from the Australian Research Council (DE130101571). M.H.M. and L.G.B. acknowledge funding support from the Australian Antarctic Science Grant Program (Project 4123).</t>
  </si>
  <si>
    <t>10.3189/2015AoG69A646</t>
  </si>
  <si>
    <t>Green Submitted, Green Accepted, Bronze</t>
  </si>
  <si>
    <t>WOS:000363082900019</t>
  </si>
  <si>
    <t>Hoppmann, M; Nicolaus, M; Paul, S; Hunkeler, PA; Heinemann, G; Willmes, S; Timmermann, R; Boebel, O; Schmidt, T; Kühnel, M; König-Langlo, G; Gerdes, R</t>
  </si>
  <si>
    <t>Hoppmann, Mario; Nicolaus, Marcel; Paul, Stephan; Hunkeler, Priska A.; Heinemann, Guenther; Willmes, Sascha; Timmermann, Ralph; Boebel, Olaf; Schmidt, Thomas; Kuehnel, Meike; Koenig-Langlo, Gert; Gerdes, Ruediger</t>
  </si>
  <si>
    <t>Ice platelets below Weddell Sea landfast sea ice</t>
  </si>
  <si>
    <t>basal melt; ice/ocean interactions; sea ice; sea-ice growth and decay; sea-ice/ice-shelf interactions</t>
  </si>
  <si>
    <t>MCMURDO-SOUND; STRUCTURAL CHARACTERISTICS; SHELF; ANTARCTICA; THICKNESS; VARIABILITY; GROWTH; SNOW; ACCRETION; FREEBOARD</t>
  </si>
  <si>
    <t>Basal melt of ice shelves may lead to an accumulation of disc-shaped ice platelets underneath nearby sea ice, to form a sub-ice platelet layer. Here we present the seasonal cycle of sea ice attached to the Ekstrom Ice Shelf, Antarctica, and the underlying platelet layer in 2012. Ice platelets emerged from the cavity and interacted with the fast-ice cover of Atka Bay as early as June. Episodic accumulations throughout winter and spring led to an average platelet-layer thickness of 4 m by December 2012, with local maxima of up to 10 m. The additional buoyancy partly prevented surface flooding and snow-ice formation, despite a thick snow cover. Subsequent thinning of the platelet layer from December onwards was associated with an inflow of warm surface water. The combination of model studies with observed fast-ice thickness revealed an average ice-volume fraction in the platelet layer of 0.25 +/- 0.1. We found that nearly half of the combined solid sea-ice and ice-platelet volume in this area is generated by heat transfer to the ocean rather than to the atmosphere. The total ice-platelet volume underlying Atka Bay fast ice was equivalent to more than one-fifth of the annual basal melt volume under the Ekstrom Ice Shelf.</t>
  </si>
  <si>
    <t>[Hoppmann, Mario; Nicolaus, Marcel; Hunkeler, Priska A.; Timmermann, Ralph; Boebel, Olaf; Schmidt, Thomas; Kuehnel, Meike; Koenig-Langlo, Gert; Gerdes, Ruediger] Helmholtz Zentrum Polar &amp; Meeresforsch, Alfred Wegener Inst, Bremerhaven, Germany; [Paul, Stephan; Heinemann, Guenther; Willmes, Sascha] Univ Trier, Environm Meteorol, Trier, Germany</t>
  </si>
  <si>
    <t>mario.hoppmann@awi.de</t>
  </si>
  <si>
    <t>Nicolaus, Marcel/A-3658-2013; Paul, Stephan/I-5918-2019; Willmes, Sascha/J-5796-2012; Hoppmann, Mario/KFB-0363-2024; Paul, Stephan/F-7596-2015; Konig-Langlo, Gert/K-5048-2012</t>
  </si>
  <si>
    <t>Nicolaus, Marcel/0000-0003-0903-1746; Paul, Stephan/0000-0002-5136-714X; Hoppmann, Mario/0000-0003-1294-9531; Heinemann, Gunther/0000-0002-4831-9016; Paul, Stephan/0000-0002-8813-0437; Konig-Langlo, Gert/0000-0002-6100-4107</t>
  </si>
  <si>
    <t>German Research Council (DFG) [SPP1158, NI 1092/2, HE2740/12]; Alfred-Wegener-Institut Helmholtz Zentrum fur Polar- und Meeresforschung</t>
  </si>
  <si>
    <t>German Research Council (DFG)(German Research Foundation (DFG)); Alfred-Wegener-Institut Helmholtz Zentrum fur Polar- und Meeresforschung</t>
  </si>
  <si>
    <t>We thank the Neumayer III overwintering teams 2010-13 for their dedicated fieldwork. We thank the German Aerospace Center (DLR) for the TerraSAR-X image, and Christine Wesche for post-processing and calibrating the satellite data. We are grateful to Holger Schmithusen and Clemens Drue for help with the meteorological and flux data. We also appreciate the helpful suggestions of Christof Lupkes, Wolfgang Dierking and Martin Losch, and the technical support of Bernd Loose and Uwe Baltes. We thank Lars Kindermann for the CTD data and Ilse van Opzeeland for inspiring us with the platelet video recordings. We also thank Sepp Kipfstuhl and Ilka Weikusat for help with c-axis determination. Our research at Neumayer III would not have been possible without the support of the AWI logistics. This work was supported by the German Research Council (DFG) in the framework of the priority programme 'Antarctic Research with comparative investigations in Arctic ice areas' grants SPP1158, NI 1092/2 and HE2740/12, and the Alfred-Wegener-Institut Helmholtz Zentrum fur Polar- und Meeresforschung. Supplementary data to this paper are available at http://dx.doi.org/10.1594/PANGAEA.824434. Finally, we thank two anonymous reviewers whose comments significantly improved the manuscript.</t>
  </si>
  <si>
    <t>10.3189/2015AoG69A678</t>
  </si>
  <si>
    <t>Green Accepted, Green Submitted, Bronze</t>
  </si>
  <si>
    <t>WOS:000363082900022</t>
  </si>
  <si>
    <t>Tang, PY; Liu, JJ; Zhang, GY; Wang, J</t>
  </si>
  <si>
    <t>Xiangli, B; Kim, DW; Xue, S</t>
  </si>
  <si>
    <t>Tang, Peng-Yi; Liu, Jia-Jing; Zhang, Guang-yu; Wang, Jian</t>
  </si>
  <si>
    <t>Automatic focusing system of BSST in Antarctic</t>
  </si>
  <si>
    <t>AOPC 2015: TELESCOPE AND SPACE OPTICAL INSTRUMENTATION</t>
  </si>
  <si>
    <t>Conference on Applied Optics and Photonics (AOPC) - Telescope and Space Optical Instrumentation</t>
  </si>
  <si>
    <t>MAY 05-07, 2015</t>
  </si>
  <si>
    <t>Beijing, PEOPLES R CHINA</t>
  </si>
  <si>
    <t>FWHM(full width at half maximum); HFD(half flux diameter); OpenCV; curve fitting</t>
  </si>
  <si>
    <t>Automatic focusing (AF) technology plays an important role in modern astronomical telescopes. Based on the focusing requirement of BSST (Bright Star Survey Telescope) in Antarctic, an AF system is set up. In this design, functions in OpenCV is used to find stars, the algorithm of area, HFD or FWHM are used to degree the focus metric by choosing. Curve fitting method is used to find focus position as the method of camera moving. All these design are suitable for unattended small telescope.</t>
  </si>
  <si>
    <t>[Tang, Peng-Yi; Liu, Jia-Jing; Zhang, Guang-yu; Wang, Jian] Univ Sci &amp; Technol China, Dept Modern Phys, State Key Lab Technol Particle Detect &amp; Elect, Anhui Key Lab Phys Elect, Hefei 230026, Anhui, Peoples R China</t>
  </si>
  <si>
    <t>Chinese Academy of Sciences; University of Science &amp; Technology of China, CAS</t>
  </si>
  <si>
    <t>Tang, PY (corresponding author), Univ Sci &amp; Technol China, Dept Modern Phys, State Key Lab Technol Particle Detect &amp; Elect, Anhui Key Lab Phys Elect, Hefei 230026, Anhui, Peoples R China.</t>
  </si>
  <si>
    <t>WANG, Jian/B-8138-2013</t>
  </si>
  <si>
    <t>978-1-62841-903-0</t>
  </si>
  <si>
    <t>10.1117/12.2202802</t>
  </si>
  <si>
    <t>Astronomy &amp; Astrophysics; Instruments &amp; Instrumentation; Optics</t>
  </si>
  <si>
    <t>BD7MG</t>
  </si>
  <si>
    <t>WOS:000363283600042</t>
  </si>
  <si>
    <t>Marinsek, S; Ermolin, E</t>
  </si>
  <si>
    <t>Marinsek, Sebastian; Ermolin, Evgeniy</t>
  </si>
  <si>
    <t>10 year mass balance by glaciological and geodetic methods of Glaciar Bahia del Diablo, Vega Island, Antarctic Peninsula</t>
  </si>
  <si>
    <t>Antarctic glaciology; glacier mass balance</t>
  </si>
  <si>
    <t>ICE SHELVES; AREAL</t>
  </si>
  <si>
    <t>We present new glacier mass-balance field data from Glaciar Bahia del Diablo, Vega Island, northeastern Antarctic Peninsula. The results provided here represent glacier mass-balance data over a 10 year period (2001-11) obtained by the glaciological and geodetic methods relying on field measurements. Glacier surface digital elevation models (DEMs) were obtained in 2001 and 2011 from a kinematic GPS field survey with high horizontal and vertical accuracies. In situ mass-balance data were collected from yearly stake measurements. The results attained by the two methods agree, which may be considered a measure of their accuracy. A cumulative mass change of -1.90 +/- 0.31 m w.e. over the 10 year period was obtained from the annual mass-balance field surveys. The total mass change derived from DEM differencing was -2.16 +/- 0.23 m w.e.</t>
  </si>
  <si>
    <t>[Marinsek, Sebastian; Ermolin, Evgeniy] Inst Antartico Argentino, Buenos Aires, DF, Argentina; [Marinsek, Sebastian] Univ Tecnol Nacl, Fac Reg Buenos Aires, Buenos Aires, DF, Argentina</t>
  </si>
  <si>
    <t>Marinsek, S (corresponding author), Inst Antartico Argentino, Buenos Aires, DF, Argentina.</t>
  </si>
  <si>
    <t>smarinsek@dna.gov.ar</t>
  </si>
  <si>
    <t>Instituto Antartico Argentino - Direccion Nacional del Antartico</t>
  </si>
  <si>
    <t>This study, including field campaigns and data analyses, was supported by different projects and programs funded by Instituto Antartico Argentino - Direccion Nacional del Antartico. We thank the people from Servicio de Hidrografia Naval and from Instituto Geografico Nacional who participated in the field campaigns and helped carry them out. We thank the Scientific Editor Shin Sugiyama, Francisco Navarro, Daniel Nyvlt and two anonymous reviewers for constructive comments and suggestions that helped to improve the manuscript.</t>
  </si>
  <si>
    <t>10.3189/2015AoG70A958</t>
  </si>
  <si>
    <t>CT7NL</t>
  </si>
  <si>
    <t>WOS:000363001700017</t>
  </si>
  <si>
    <t>Paul, S; Willmes, S; Hoppmann, M; Hunkeler, PA; Wesche, C; Nicolaus, M; Heinemann, G; Timmermann, R</t>
  </si>
  <si>
    <t>Paul, Stephan; Willmes, Sascha; Hoppmann, Mario; Hunkeler, Priska A.; Wesche, Christine; Nicolaus, Marcel; Heinemann, Guenther; Timmermann, Ralph</t>
  </si>
  <si>
    <t>The impact of early-summer snow properties on Antarctic landfast sea-ice X-band backscatter</t>
  </si>
  <si>
    <t>remote sensing; sea ice; snow; snow metamorphosis; snow physics</t>
  </si>
  <si>
    <t>MICROWAVE BACKSCATTER; 1ST-YEAR; SCATTERING; COVER</t>
  </si>
  <si>
    <t>Up to now, snow cover on Antarctic sea ice and its impact on radar backscatter, particularly after the onset of freeze/thaw processes, are not well understood. Here we present a combined analysis of in situ observations of snow properties from the landfast sea ice in Atka Bay, Antarctica, and high-resolution TerraSAR-X backscatter data, for the transition from austral spring (November 2012) to summer (January 2013). The physical changes in the seasonal snow cover during that time are reflected in the evolution of TerraSAR-X backscatter. We are able to explain 76-93% of the spatio-temporal variability of the TerraSAR-X backscatter signal with up to four snowpack parameters with a root-mean-squared error of 0.87-1.62 dB, using a simple multiple linear model. Over the complete study, and especially after the onset of early-melt processes and freeze/thaw cycles, the majority of variability in the backscatter is influenced by changes in snow/ice interface temperature, snow depth and top-layer grain size. This suggests it may be possible to retrieve snow physical properties over Antarctic sea ice from X-band SAR backscatter.</t>
  </si>
  <si>
    <t>[Paul, Stephan; Willmes, Sascha; Heinemann, Guenther] Univ Trier, Environm Meteorol, Trier, Germany; [Hoppmann, Mario; Hunkeler, Priska A.; Wesche, Christine; Nicolaus, Marcel; Timmermann, Ralph] Hemlholtz Zentrum Polar &amp; Meeresforsch, Alfred Wegener Inst, Bremerhaven, Germany</t>
  </si>
  <si>
    <t>Universitat Trier; Helmholtz Association; Alfred Wegener Institute, Helmholtz Centre for Polar &amp; Marine Research</t>
  </si>
  <si>
    <t>Paul, S (corresponding author), Univ Trier, Environm Meteorol, Trier, Germany.</t>
  </si>
  <si>
    <t>Nicolaus, Marcel/A-3658-2013; Paul, Stephan/I-5918-2019; Hoppmann, Mario/KFB-0363-2024; Willmes, Sascha/J-5796-2012</t>
  </si>
  <si>
    <t>Nicolaus, Marcel/0000-0003-0903-1746; Paul, Stephan/0000-0002-5136-714X; Hoppmann, Mario/0000-0003-1294-9531; Heinemann, Gunther/0000-0002-4831-9016</t>
  </si>
  <si>
    <t>Deutsche Forschungsgemeinschaft [SPP1158, HE2740/12, NI1092/2]; German Space Agency [OCE1592]</t>
  </si>
  <si>
    <t>Deutsche Forschungsgemeinschaft(German Research Foundation (DFG)); German Space Agency(Helmholtz AssociationGerman Aerospace Centre (DLR))</t>
  </si>
  <si>
    <t>This study was funded by the Deutsche Forschungsgemeinschaft in the framework of the priority programme SPP1158 'Antarctic Research with comparative investigations in Arctic ice areas' by grants HE2740/12 and NI1092/2. We thank the Neumayer III overwintering teams for their field support and also the Alfred Wegener Institute (AWI) logistics team for providing the infrastructure. We also thank the German Space Agency for the acquisition and provision of the TerraSAR-X data within the OCE1592 project and Gert Konig-Langlo for provision of the meteorological data. The help of Oliver Gutjahr with the statistical modelling is very much appreciated. We are also grateful to two anonymous reviewers, chief editor, Petra Heil, and scientific editor, Rob Massom, who helped to improve this study with their positive and constructive feedback.</t>
  </si>
  <si>
    <t>10.3189/2015AoG69A715</t>
  </si>
  <si>
    <t>CT8RH</t>
  </si>
  <si>
    <t>WOS:000363083200006</t>
  </si>
  <si>
    <t>Ito, M; Ohshima, KI; Fukamachi, Y; Simizu, D; Iwamoto, K; Matsumura, Y; Mahoney, AR; Eicken, H</t>
  </si>
  <si>
    <t>Ito, Masato; Ohshima, Kay I.; Fukamachi, Yasushi; Simizu, Daisuke; Iwamoto, Katsushi; Matsumura, Yoshimasa; Mahoney, Andrew R.; Eicken, Hajo</t>
  </si>
  <si>
    <t>Observations of supercooled water and frazil ice formation in an Arctic coastal polynya from moorings and satellite imagery</t>
  </si>
  <si>
    <t>polar and subpolar oceans; remote sensing; sea ice; sea-ice growth and decay</t>
  </si>
  <si>
    <t>ANTARCTIC SEA-ICE; LOOKING SONAR; CHUKCHI SEA; THICKNESS; WINTER; OCEAN; ALASKAN; ZONE</t>
  </si>
  <si>
    <t>Formation of supercooled water and frazil ice was studied in the Chukchi Sea coastal polynya off Barrow, Alaska, USA, in winter 2009/10, using moored salinity/temperature sensors and Ice Profiling Sonar (IPS) data along with satellite data. Oceanographic data from two moorings revealed episodic events of potential supercooling at 30-40 m depth, including the possibility of in situ supercooling, while the polynya was open. We identified frazil ice-like signals in the IPS data down to 5-15 m depth, associated with large heat loss and windy, turbulent conditions in an active polynya. This likely represents the first IPS observation of frazil ice in the marine environment. On the day of the maximum signal of frazil ice, spaceborne synthetic aperture radar shows streaks of high backscatter within the polynya, indicating active frazil ice formation just downwind of the mooring sites. In addition, the longer-term potential supercooling that persisted for 1-3 weeks occurred twice despite the absence of polynya activity at the mooring sites. These events occurred during periods dominated by the northeastward current. A series of coastal polynyas had formed southwest of the mooring sites prior to these events. Thus, the water masses with potential supercooling were likely advected from these polynyas.</t>
  </si>
  <si>
    <t>[Ito, Masato] Hokkaido Univ, Grad Sch Environm Sci, Sapporo, Hokkaido, Japan; [Ito, Masato; Ohshima, Kay I.; Fukamachi, Yasushi; Matsumura, Yoshimasa] Hokkaido Univ, Inst Low Temp Sci, Sapporo, Hokkaido 060, Japan; [Simizu, Daisuke; Iwamoto, Katsushi] Natl Inst Polar Res, Tachikawa, Tokyo, Japan; [Iwamoto, Katsushi] Niigata Univ, Dept Environm Sci, Niigata, Japan; [Mahoney, Andrew R.; Eicken, Hajo] Univ Alaska Fairbanks, Inst Geophys, Fairbanks, AK 99775 USA</t>
  </si>
  <si>
    <t>Hokkaido University; Hokkaido University; Research Organization of Information &amp; Systems (ROIS); National Institute of Polar Research (NIPR) - Japan; Niigata University; University of Alaska System; University of Alaska Fairbanks</t>
  </si>
  <si>
    <t>Ito, M (corresponding author), Hokkaido Univ, Grad Sch Environm Sci, Sapporo, Hokkaido, Japan.</t>
  </si>
  <si>
    <t>itoh-m@ees.hokudai.ac.jp</t>
  </si>
  <si>
    <t>Fukamachi, Yasushi/D-1895-2012; Eicken, Hajo/M-6901-2016; Ohshima, Kay I/D-6909-2012</t>
  </si>
  <si>
    <t>Fukamachi, Yasushi/0000-0001-5798-9380; SIMIZU, Daisuke/0000-0003-4214-6756</t>
  </si>
  <si>
    <t>Green Network of Excellence (GRENE) Arctic Climate Change Research Project of the Ministry of Education, Culture, Sports, Science and Technology; research fund for Global Change Observation Mission 1st-Water of the Japan Aerospace Exploration Agency in Japan; US National Science Foundation Seasonal Ice Observing Network award [OPP-0856867]; [20221001]; [23654163]; [25241001]; Directorate For Geosciences; Office of Polar Programs (OPP) [0856867] Funding Source: National Science Foundation; Grants-in-Aid for Scientific Research [25241001] Funding Source: KAKEN</t>
  </si>
  <si>
    <t>Green Network of Excellence (GRENE) Arctic Climate Change Research Project of the Ministry of Education, Culture, Sports, Science and Technology; research fund for Global Change Observation Mission 1st-Water of the Japan Aerospace Exploration Agency in Japan; US National Science Foundation Seasonal Ice Observing Network award; ; ; ; Directorate For Geosciences; Office of Polar Programs (OPP)(National Science Foundation (NSF)NSF - Directorate for Geosciences (GEO)); Grants-in-Aid for Scientific Research(Ministry of Education, Culture, Sports, Science and Technology, Japan (MEXT)Japan Society for the Promotion of ScienceGrants-in-Aid for Scientific Research (KAKENHI))</t>
  </si>
  <si>
    <t>AMSR-E data were provided by the US National Snow and Ice Data Center. ASAR data were provided by the European Space Agency. We appreciate the help of J.C. George, H. Brower and B. Adams as well as the North Slope Borough Department of Wildlife Management for the logistical support as well as in boating operations. Thanks are extended to C. Petrich and K. Kitagawa for their support. Special thanks go to J. Marko and D. Fissel for comments about the IPS measurement. We also thank two anonymous reviewers and P. Langhorne (Scienctific Editor) for valuable comments on the manuscript. This work was supported by Grants-in-Aid for Scientific Research (20221001, 23654163 and 25241001), the Green Network of Excellence (GRENE) Arctic Climate Change Research Project of the Ministry of Education, Culture, Sports, Science and Technology and research fund for Global Change Observation Mission 1st-Water of the Japan Aerospace Exploration Agency in Japan, and by the US National Science Foundation Seasonal Ice Observing Network award OPP-0856867.</t>
  </si>
  <si>
    <t>10.3189/2015AoG69A839</t>
  </si>
  <si>
    <t>WOS:000363083200010</t>
  </si>
  <si>
    <t>Bernstein, ER; Geiger, CA; DeLiberty, TL; Lemcke-Stampone, MD</t>
  </si>
  <si>
    <t>Bernstein, E. Rachel; Geiger, Cathleen A.; DeLiberty, Tracy L.; Lemcke-Stampone, Mary D.</t>
  </si>
  <si>
    <t>Antarctic sea-ice thickness and volume estimates from ice charts between 1995 and 1998</t>
  </si>
  <si>
    <t>WEDDELL SEA; OCEAN; MOTION; TRENDS</t>
  </si>
  <si>
    <t>This work evaluates two distinct calculations of central tendency for sea-ice thickness and quantifies the impact such calculations have on ice volume for the Southern Ocean. The first calculation, area-weighted average thickness, is computed from polygonal ice features and then upscaled to regions. The second calculation, integrated thickness, is a measure of the central value of thickness categories tracked across different scales and subsequently summed to chosen regions. Both methods yield the same result from one scale to the next, but subsequent scales develop diverging solutions when distributions are strongly non-Gaussian. Data for this evaluation are sea-ice stage-of-development records from US National Ice Center ice charts from 1995 to 1998, as proxy records of ice thickness. Results show regionally integrated thickness exceeds area-weighted average thickness by as much as 60% in summer with as few as five bins in thickness distribution. Year-round, the difference between the two calculations yields volume differences consistently &gt;10%. The largest discrepancies arise due to bimodal distributions which are common in ice charts based on current subjective-analysis protocols. We recommend that integrated distribution be used for regional-scale sea-ice thickness and volume estimates from ice charts and encourage similar testing of other large-scale thickness data archives.</t>
  </si>
  <si>
    <t>[Bernstein, E. Rachel; Geiger, Cathleen A.; DeLiberty, Tracy L.] Univ Delaware, Dept Geog, Newark, DE 19716 USA; [Lemcke-Stampone, Mary D.] Univ New Hampshire, Dept Geog, New Hampshire State Climate Off, Durham, NH 03824 USA</t>
  </si>
  <si>
    <t>University of Delaware; University System Of New Hampshire; University of New Hampshire</t>
  </si>
  <si>
    <t>Bernstein, ER (corresponding author), Univ Delaware, Dept Geog, Newark, DE 19716 USA.</t>
  </si>
  <si>
    <t>erbern@udel.edu</t>
  </si>
  <si>
    <t>NSF [ARC-1107725]; Delaware Space Grant Consortium; International Space Science Institute, Bern, Switzerland [169]</t>
  </si>
  <si>
    <t>NSF(National Science Foundation (NSF)); Delaware Space Grant Consortium; International Space Science Institute, Bern, Switzerland</t>
  </si>
  <si>
    <t>We thank Steve Gaughan from the US Army Cold Regions Research and Engineering Laboratory for assisting with geoprocessing methods. Thanks go to the US National Ice Center for providing datasets used for analysis. Funding was provided by NSF ARC-1107725 'Precision, Accuracy, and Aliasing of Sea Ice Thickness from Multiple Observing Platforms' and The Delaware Space Grant Consortium. The International Space Science Institute, Bern, Switzerland, is acknowledged for collaborative engagements through project No. 169 (2009-2011: Space-borne monitoring of polar sea ice). Finally, we thank P. Heil, Chief Editor, and two anonymous reviewers for suggestions to improve this manuscript.</t>
  </si>
  <si>
    <t>10.3189/2015AoG69A763</t>
  </si>
  <si>
    <t>WOS:000363083200018</t>
  </si>
  <si>
    <t>Mager, SM; Leonard, GH; Pauling, AG; Smith, IJ</t>
  </si>
  <si>
    <t>Mager, Sarah M.; Leonard, Gregory H.; Pauling, Andrew G.; Smith, Inga J.</t>
  </si>
  <si>
    <t>A framework for estimating anchor ice extent at potential formation sites in McMurdo Sound, Antarctica</t>
  </si>
  <si>
    <t>anchor ice; ice/ocean interactions; sea ice; sea-ice/ice-shelf interactions</t>
  </si>
  <si>
    <t>SHELF WATER PLUME; BENEATH SEA-ICE; BENTHIC COMMUNITIES; PLATELET ICE; ROSS SEA; MARINE ICE; FRAZIL ICE; SEDIMENT; CIRCULATION; DISTURBANCE</t>
  </si>
  <si>
    <t>A distinctive feature of polar regions is the formation of ice clusters attached to the seabed, known as 'anchor ice'. Anchor ice plays an important role in mobilizing bed sediments, and serves ecological roles providing habitats, or as an agent of disturbance creating potentially fatal environments to benthic fauna. The sublittoral zone associated with the landward margin represents the most likely environment for anchor ice formation, where conditions conducive to the advection of supercooled water from sub-ice-shelf cavities are favourable. We develop a framework to estimate the areal extent of anchor ice formation assuming a northerly flow of 75 m deep supercooled water plumes from the Ross and McMurdo Ice Shelf cavities, Antarctica. In McMurdo Sound our results indicate that regions beneath the McMurdo Ice Shelf, extending along Brown Peninsula and White and Black Islands, are likely conducive to anchor ice formation. Anchor ice may also form along the Hut Point Peninsula and around Ross Island, and in pockets along the southern Victoria Land coast. The limitations of our approach include an imposed northerly flow of Ice Shelf Water, poorly constrained sub-ice-shelf bathymetry, and temporal variability in supercooled water depth production, particularly in the eastern Sound.</t>
  </si>
  <si>
    <t>[Mager, Sarah M.] Univ Otago, Dept Geog, Dunedin, New Zealand; [Leonard, Gregory H.] Univ Otago, Sch Surveying, Dunedin, New Zealand; [Pauling, Andrew G.; Smith, Inga J.] Univ Otago, Dept Phys, Dunedin, New Zealand</t>
  </si>
  <si>
    <t>University of Otago; University of Otago; University of Otago</t>
  </si>
  <si>
    <t>Mager, SM (corresponding author), Univ Otago, Dept Geog, Dunedin, New Zealand.</t>
  </si>
  <si>
    <t>sarah.mager@otago.ac.nz</t>
  </si>
  <si>
    <t>Mager, Sarah/B-9723-2009; Leonard, Greg/F-7157-2010</t>
  </si>
  <si>
    <t>Mager, Sarah/0000-0001-6610-5874; Pauling, Andrew/0000-0003-4545-0809; Leonard, Greg/0000-0001-7679-9486</t>
  </si>
  <si>
    <t>Polar Environments Research Theme at the University of Otago; Marsden Fund of New Zealand; Foundation for Research Science and Technology; University of Otago; Industrial Research Ltd.</t>
  </si>
  <si>
    <t>Polar Environments Research Theme at the University of Otago; Marsden Fund of New Zealand(Royal Society of New ZealandMarsden Fund (NZ)); Foundation for Research Science and Technology(New Zealand Foundation for Research, Science and Technology); University of Otago; Industrial Research Ltd.</t>
  </si>
  <si>
    <t>We thank the Polar Environments Research Theme at the University of Otago for providing seed funding to I.J.S. and S.M.M., as well as a bursary to A.G.P., to undertake some of the preliminary work. The CTD data used in this study were collected as part of projects funded by the Marsden Fund of New Zealand, the Foundation for Research Science and Technology, the University of Otago, and Industrial Research Ltd. We also thank Craig Purdie, Johno Leitch and the Scott Base 2003 winter-over crew for data collection, and Antarctica New Zealand and the US Antarctic Program for logistical assistance. We also thank the National Institute of Water and Atmospheric Research, New Zealand, for providing access to the 2009 CTD data, and GNS Science for providing access to a pre-release copy of its forthcoming Ross Sea bathymetry product. Finally, we thank Peter Holland, two anonymous reviewers, the chief editor and scientific editor for insightful comments and suggestions.</t>
  </si>
  <si>
    <t>10.3189/2015AoG69A711</t>
  </si>
  <si>
    <t>WOS:000363083200019</t>
  </si>
  <si>
    <t>Kohout, AL; Penrose, B; Penrose, S; Williams, MJM</t>
  </si>
  <si>
    <t>Kohout, Alison L.; Penrose, Bill; Penrose, Scott; Williams, Michael J. M.</t>
  </si>
  <si>
    <t>A device for measuring wave-induced motion of ice floes in the Antarctic marginal ice zone</t>
  </si>
  <si>
    <t>atmosphere/ice/ocean interactions; sea ice</t>
  </si>
  <si>
    <t>OCEAN WAVES; BUOY</t>
  </si>
  <si>
    <t>A series of wave instruments was deployed on first-year Antarctic sea ice during SIPEX (Sea Ice Physics and Ecosystem Experiment) II. Here we describe the hardware and software design of these instruments and give an overview of the returned dataset. Each instrument consisted of a high-resolution accelerometer coupled with a tri-axis inertial measurement unit, which was located using GPS. The significant wave heights measured near the ice edge were predominately between 1 and 2 m. During the 6 weeks of data capture, several large wave events were measured. We report here a selection of events, highlighting the complexities associated with measuring wave decay at individual frequencies.</t>
  </si>
  <si>
    <t>[Kohout, Alison L.] Natl Inst Water &amp; Atmospher Res NIWA, Christchurch, New Zealand; [Penrose, Bill; Penrose, Scott] PAS Consultants Pty Ltd, Panton Hill, Vic, Australia; [Williams, Michael J. M.] Natl Inst Water &amp; Atmospher Res, Wellington, New Zealand</t>
  </si>
  <si>
    <t>National Institute of Water &amp; Atmospheric Research (NIWA) - New Zealand; National Institute of Water &amp; Atmospheric Research (NIWA) - New Zealand</t>
  </si>
  <si>
    <t>Kohout, AL (corresponding author), Natl Inst Water &amp; Atmospher Res NIWA, Christchurch, New Zealand.</t>
  </si>
  <si>
    <t>alison.kohout@niwa.co.nz</t>
  </si>
  <si>
    <t>New Zealand Foundation of Research Science and Technology Postdoctoral award; Marsden Fund Council; NIWA through National Climate Centre Climate Systems programme; Antarctic Climate and Ecosystems Cooperative Research Centre; Australian Antarctic Science project [4073]</t>
  </si>
  <si>
    <t>New Zealand Foundation of Research Science and Technology Postdoctoral award; Marsden Fund Council(Royal Society of New ZealandMarsden Fund (NZ)); NIWA through National Climate Centre Climate Systems programme; Antarctic Climate and Ecosystems Cooperative Research Centre(Australian GovernmentDepartment of Industry, Innovation and ScienceCooperative Research Centres (CRC) Programme); Australian Antarctic Science project</t>
  </si>
  <si>
    <t>We thank M. Doble, V. Squire and T. Haskell for contributions toward instrument design; T. Toyota for providing the ice-floe size and ice-thickness data; and the captain and crew of RV Aurora Australis for their assistance in deploying the waves-in-ice instruments. The work was funded by a New Zealand Foundation of Research Science and Technology Postdoctoral award to A.L.K.; the Marsden Fund Council, administered by the Royal Society of New Zealand; NIWA, through core funding under the National Climate Centre Climate Systems programme; the Antarctic Climate and Ecosystems Cooperative Research Centre, and the Australian Antarctic Science project 4073.</t>
  </si>
  <si>
    <t>10.3189/2015AoG69A600</t>
  </si>
  <si>
    <t>WOS:000363083200021</t>
  </si>
  <si>
    <t>Tamura, T; Ohshima, KI; Lieser, JL; Toyota, T; Tateyama, K; Nomura, D; Nakata, K; Fraser, AD; Jansen, PW; Newbery, KB; Massom, RA; Ushio, S</t>
  </si>
  <si>
    <t>Tamura, Takeshi; Ohshima, Kay I.; Lieser, Jan L.; Toyota, Takenobu; Tateyama, Kazutaka; Nomura, Daiki; Nakata, Kazuki; Fraser, Alexander D.; Jansen, Peter W.; Newbery, Kym B.; Massom, Robert A.; Ushio, Shuki</t>
  </si>
  <si>
    <t>Helicopter-borne observations with portable microwave radiometer in the Southern Ocean and the Sea of Okhotsk</t>
  </si>
  <si>
    <t>remote sensing; sea ice</t>
  </si>
  <si>
    <t>THIN ICE THICKNESS; CHUKCHI SEA; POLYNYAS; IMAGERY; AVHRR; COAST</t>
  </si>
  <si>
    <t>Accurately measuring and monitoring the thickness distribution of thin ice is crucial for accurate estimation of ocean atmosphere heat fluxes and rates of ice production and salt flux in ice-affected oceans. Here we present results from helicopter-borne brightness temperature (TB) measurements in the Southern Ocean in October 2012 and in the Sea of Okhotsk in February 2009 carried out with a portable passive microwave (PMW) radiometer operating at a frequency of 36 GHz. The goal of these measurements is to aid evaluation of a satellite thin-ice thickness algorithm which uses data from the spaceborne Advanced Microwave Scanning Radiometer Earth Observing System AMSR-E) or the Advanced Microwave Scanning Radiometer-II (AMSR-II). AMSR-E and AMSR-II TB agree with the spatially collocated mean TB from the helicopter-borne measurements within the radiometers' precision. In the Sea of Okhotsk in February 2009, the AMSR-E 36 GHz TB values are closer to the mean than the modal TB values measured by the helicopter-borne radiometer. In an Antarctic coastal polynya in October 2012, the polarization ratio of 36 GHz vertical and horizontal TB is estimated to be 0.137 on average. Our measurements of the TB at 36 GHz over an iceberg tongue suggest a way to discriminate it from sea ice by its unique PMW signature.</t>
  </si>
  <si>
    <t>[Tamura, Takeshi; Ushio, Shuki] Natl Inst Polar Res, Tachikawa, Tokyo, Japan; [Tamura, Takeshi; Ushio, Shuki] SOKENDAI, Tachikawa, Tokyo, Japan; [Tamura, Takeshi; Lieser, Jan L.; Fraser, Alexander D.; Jansen, Peter W.; Massom, Robert A.] Univ Tasmania, Antarctic Climate &amp; Ecosyst Cooperat Res Ctr, Hobart, Tas, Australia; [Ohshima, Kay I.; Toyota, Takenobu; Nomura, Daiki; Fraser, Alexander D.] Hokkaido Univ, Inst Low Temp Sci, Sapporo, Hokkaido 060, Japan; [Tateyama, Kazutaka] Kitami Inst Technol, Snow &amp; Ice Res Lab, Kitami, Hokkaido 090, Japan; [Nakata, Kazuki] Hokkaido Univ, Grad Sch Environm Sci, Sapporo, Hokkaido, Japan; [Newbery, Kym B.; Massom, Robert A.] Australian Antarctic Div, Kingston, Tas, Australia</t>
  </si>
  <si>
    <t>Research Organization of Information &amp; Systems (ROIS); National Institute of Polar Research (NIPR) - Japan; University of Tasmania; Antarctic Climate &amp; Ecosystems Cooperative Research Centre (ACE CRC); Hokkaido University; Kitami Institute of Technology; Hokkaido University; Australian Antarctic Division</t>
  </si>
  <si>
    <t>Tamura, T (corresponding author), Natl Inst Polar Res, Tachikawa, Tokyo, Japan.</t>
  </si>
  <si>
    <t>tamura.takeshi@nipr.ac.jp</t>
  </si>
  <si>
    <t>Toyota, Takenobu/D-9101-2012; Fraser, Alexander/AFO-7186-2022; Ohshima, Kay I/D-6909-2012; Lieser, Jan/J-7157-2014</t>
  </si>
  <si>
    <t>Fraser, Alexander/0000-0003-1924-0015; Lieser, Jan/0000-0001-6870-1311; Massom, Robert/0000-0003-1533-5084</t>
  </si>
  <si>
    <t>Center for the Promotion of Integrated Sciences of Sokendai; Canon Foundation; JAXA's Global Change Observation Mission 1st-Water (GCOM-W1); Grant for Joint Research Program of the Institute of Low Temperature Science, Hokkaido University; Australian Antarctic Science Project [4073]; Australian Government's Cooperative Research Centers Program through the Antarctic Climate &amp; Ecosystems Cooperative Research Center; Core Research for Evolutional Science and Technology; [20221001]; [24810030]; [2503748]; [25241001]; [26740007]; Grants-in-Aid for Scientific Research [26740007, 15H01726, 15H05116, 25241001, 13F03748, 15K16135] Funding Source: KAKEN</t>
  </si>
  <si>
    <t>Center for the Promotion of Integrated Sciences of Sokendai; Canon Foundation(Canon Foundation); JAXA's Global Change Observation Mission 1st-Water (GCOM-W1); Grant for Joint Research Program of the Institute of Low Temperature Science, Hokkaido University; Australian Antarctic Science Project; Australian Government's Cooperative Research Centers Program through the Antarctic Climate &amp; Ecosystems Cooperative Research Center(Australian Government); Core Research for Evolutional Science and Technology(Core Research for Evolutional Science and Technology (CREST)); ; ; ; ; ; Grants-in-Aid for Scientific Research(Ministry of Education, Culture, Sports, Science and Technology, Japan (MEXT)Japan Society for the Promotion of ScienceGrants-in-Aid for Scientific Research (KAKENHI))</t>
  </si>
  <si>
    <t>We sincerely acknowledge K. Meiners, S. Whiteside, pilots and engineers of Helicopter Resources Pty Ltd, and the masters and crew of RV Aurora Australis and PN Soya. We also acknowledge two anonymous reviewers, Scientific Editor S. Kern and Chief Editor P. Heil for instructive comments and useful information. The AMSR-E data were provided by NSIDC, University of Colorado, and the AMSRII data by JAXA. The MODIS data were obtained from the NASA level 1 Atmosphere Archive and Distribution System (http://ladsweb.nascom.nasa.gov/). The ERA-Interim data were obtained from ECMWF (http://data.ecmwf.int/data/). This work was supported by the Core Research for Evolutional Science and Technology, from the Grants-in-Aid for Scientific Research (20221001, 24810030, 2503748, 25241001 and 26740007), from the Center for the Promotion of Integrated Sciences of Sokendai, from the Canon Foundation and from JAXA's Global Change Observation Mission 1st-Water (GCOM-W1). This study was supported partly by the Grant for Joint Research Program of the Institute of Low Temperature Science, Hokkaido University. Southern Ocean data were collected under Australian Antarctic Science Project 4073, supported by the Australian Government's Cooperative Research Centers Program through the Antarctic Climate &amp; Ecosystems Cooperative Research Center.</t>
  </si>
  <si>
    <t>10.3189/2015AoG69A621</t>
  </si>
  <si>
    <t>Green Published, Bronze, Green Accepted, Green Submitted</t>
  </si>
  <si>
    <t>WOS:000363083200023</t>
  </si>
  <si>
    <t>Xiao, C; Dou, T; Sneed, SB; Li, R; Allison, I</t>
  </si>
  <si>
    <t>Xiao, C.; Dou, T.; Sneed, S. B.; Li, R.; Allison, I.</t>
  </si>
  <si>
    <t>An ice-core record of Antarctic sea-ice extent in the southern Indian Ocean for the past 300 years</t>
  </si>
  <si>
    <t>sea-ice growth and decay</t>
  </si>
  <si>
    <t>LAMBERT GLACIER BASIN; PRINCESS-ELIZABETH-LAND; SPATIAL VARIABILITY; METHANESULFONIC-ACID; EAST; GLACIOCHEMISTRY; FIRN; DOME</t>
  </si>
  <si>
    <t>The differing response of ice extent in the Arctic and Antarctic to global average temperature change, over approximately the last three decades, highlights the importance of reconstructing long-term sea-ice history. Here, using high-resolution ice-core records of methanesulfonate (MS-) from the East Antarctic ice sheet in Princess Elizabeth Land, we reconstruct southern Indian Ocean sea-ice extent (SIE) for the sector 62-92 degrees E for the period AD 1708-2000. Annual MS concentration positively correlates in this sector with satellite-derived SIE for the period 1979-2000 (r(2) = 0.25, P&lt;0.02). The 293 year MS- record of proxy SIE shows multi-decadal variations, with large decreases occurring in two warm intervals during the Little Ice Age, and during the 1940s. It is very likely that the global temperature is the controlling factor of Antarctic sea-ice variation at the centennial scale, although there has been a change in phase between them in recent decades.</t>
  </si>
  <si>
    <t>[Xiao, C.; Dou, T.] Chinese Acad Sci, Cold &amp; Arid Reg Environm &amp; Engn Res Inst, State Key Lab Cryospher Sci, Lanzhou, Gansu, Peoples R China; [Xiao, C.; Li, R.] Chinese Acad Meteorol Sci, Inst Climate Syst, Beijing, Peoples R China; [Dou, T.] Univ Chinese Acad Sci, Coll Resources &amp; Environm, Beijing, Peoples R China; [Sneed, S. B.] Univ Maine, Inst Climate Change, Orono, ME USA; [Allison, I.] Antarctic Climate &amp; Ecosyst Cooperat Res Ctr, Hobart, Tas, Australia</t>
  </si>
  <si>
    <t>Chinese Academy of Sciences; Cold &amp; Arid Regions Environmental &amp; Engineering Research Institute, CAS; China Meteorological Administration; Chinese Academy of Meteorological Sciences (CAMS); Chinese Academy of Sciences; University of Chinese Academy of Sciences, CAS; University of Maine System; University of Maine Orono; Antarctic Climate &amp; Ecosystems Cooperative Research Centre (ACE CRC)</t>
  </si>
  <si>
    <t>Xiao, C (corresponding author), Chinese Acad Sci, Cold &amp; Arid Reg Environm &amp; Engn Res Inst, State Key Lab Cryospher Sci, Lanzhou, Gansu, Peoples R China.</t>
  </si>
  <si>
    <t>cdxiao@lzb.ac.cn</t>
  </si>
  <si>
    <t>Allison, Ian F/I-4477-2015</t>
  </si>
  <si>
    <t>Allison, Ian F/0000-0001-9599-0251</t>
  </si>
  <si>
    <t>Ministry of Science and Technology of China (MoST) [2013CBA01804]; National Nature Science Foundation of China (NSFC) [41425003, 41421061, 41476164]; State Key Laboratory of Cryospheric Sciences [SKLCS-ZZ-2012-05]; Chinese Academy of Sciences [Y129N31001]; Chinese Arctic and Antarctic Administration</t>
  </si>
  <si>
    <t>Ministry of Science and Technology of China (MoST)(Ministry of Science and Technology, China); National Nature Science Foundation of China (NSFC)(National Natural Science Foundation of China (NSFC)); State Key Laboratory of Cryospheric Sciences; Chinese Academy of Sciences(Chinese Academy of Sciences); Chinese Arctic and Antarctic Administration</t>
  </si>
  <si>
    <t>The study is supported by the Ministry of Science and Technology of China (MoST, 2013CBA01804), the National Nature Science Foundation of China (NSFC, 41425003, 41421061, 41476164), the State Key Laboratory of Cryospheric Sciences (SKLCS-ZZ-2012-05), the Chinese Academy of Sciences and the Chinese Arctic and Antarctic Administration (CHINARE2013-01-02, 03). The contribution of I.A. was supported by a grant from the Chinese Academy of Sciences Visiting Professorship for Senior International Scientists (No. Y129N31001). We thank Mark Curran for providing proxy sea-ice data from the Law Dome DSS ice core. We also thank E. Thomas, I. Eisenman and two anonymous reviewers for valuable comments which helped substantially to improve this paper.</t>
  </si>
  <si>
    <t>10.3189/2015AoG69A719</t>
  </si>
  <si>
    <t>WOS:000363083200025</t>
  </si>
  <si>
    <t>Weller, R; Schmidt, K; Teinilä, K; Hillamo, R</t>
  </si>
  <si>
    <t>Weller, R.; Schmidt, K.; Teinila, K.; Hillamo, R.</t>
  </si>
  <si>
    <t>Natural new particle formation at the coastal Antarctic site Neumayer</t>
  </si>
  <si>
    <t>SIZE DISTRIBUTIONS; AEROSOL FORMATION; FORMATION EVENTS; ORGANIC AEROSOL; SEASONAL CYCLE; SULFURIC-ACID; GROWTH-RATES; SMEAR-II; NUCLEATION; STATION</t>
  </si>
  <si>
    <t>We measured condensation particle (CP) concentrations and particle size distributions at the coastal Antarctic station Neumayer (70 degrees 39'S, 8 degrees 15'W) during two summer campaigns (from 20 January to 26 March 2012 and 1 February to 30 April 2014) and during the polar night between 12 August and 27 September 2014 in the particle diameter (D-p) range from 2.94 to 60.4 nm (2012) and from 6.26 to 212.9 nm (2014). During both summer campaigns we identified all in all 44 new particle formation (NPF) events. From 10 NPF events, particle growth rates could be determined to be around 0.90 +/- 0.46 nm h(-1) (mean +/- SD; range: 0.4-1.9 nm h(-1)). With the exception of one case, particle growth was generally restricted to the nucleation mode (D-p &lt; 25 nm) and the duration of NPF events was typically around 6.0 +/- 1.5 h (mean +/- SD; range: 4-9 h). Thus, in the surrounding area of Neumayer, particles did not grow up to sizes required for acting as cloud condensation nuclei. NPF during summer usually occurred in the afternoon in coherence with local photochemistry. During winter, two NPF events could be detected, though showing no ascertainable particle growth. A simple estimation indicated that apart from sulfuric acid, the derived growth rates required other low volatile precursor vapours.</t>
  </si>
  <si>
    <t>[Weller, R.; Schmidt, K.] Alfred Wegener Inst Polar &amp; Marine Res, D-27570 Bremerhaven, Germany; [Teinila, K.; Hillamo, R.] Finnish Meteorol Inst, FIN-00101 Helsinki, Finland</t>
  </si>
  <si>
    <t>Helmholtz Association; Alfred Wegener Institute, Helmholtz Centre for Polar &amp; Marine Research; Finnish Meteorological Institute</t>
  </si>
  <si>
    <t>Weller, R (corresponding author), Alfred Wegener Inst Polar &amp; Marine Res, Handelshafen 12, D-27570 Bremerhaven, Germany.</t>
  </si>
  <si>
    <t>rolf.weller@awi.de</t>
  </si>
  <si>
    <t>Rolf, Weller/0000-0003-4880-5572</t>
  </si>
  <si>
    <t>Academy of Finland [264375]; Academy of Finland (AKA) [264375] Funding Source: Academy of Finland (AKA)</t>
  </si>
  <si>
    <t>The authors would like to thank the technicians and scientists of the Neumayer overwintering teams of the years 2012 and 2013, whose outstanding commitment enabled continuous high quality measurements. R. Hillamo and K. Teinila thank the Academy of Finland for the financial support (project ACPANT, decision no. 264375). Special thanks go to Kathrin Hoppner, responsible for the Air Chemistry Observatory during the overwintering 2012, to Udo Friess for beneficial discussions regarding IO concentrations at NM, and finally to Astrid Lampert for many fruitful suggestions. We are thankful to the NOAA Air Resources Laboratory for having made available the HYSPLIT trajectory calculation program as well as all input data files used.</t>
  </si>
  <si>
    <t>10.5194/acp-15-11399-2015</t>
  </si>
  <si>
    <t>CT7CN</t>
  </si>
  <si>
    <t>WOS:000362971000029</t>
  </si>
  <si>
    <t>d'Ovidio, F; Della Penna, A; Trull, TW; Nencioli, F; Pujol, MI; Rio, MH; Park, YH; Cotté, C; Zhou, M; Blain, S</t>
  </si>
  <si>
    <t>d'Ovidio, F.; Della Penna, A.; Trull, T. W.; Nencioli, F.; Pujol, M. -I.; Rio, M. -H.; Park, Y. -H.; Cotte, C.; Zhou, M.; Blain, S.</t>
  </si>
  <si>
    <t>The biogeochemical structuring role of horizontal stirring: Lagrangian perspectives on iron delivery downstream of the Kerguelen Plateau</t>
  </si>
  <si>
    <t>SIZE LYAPUNOV EXPONENTS; ISLANDS SOUTHERN-OCEAN; CARBON EXPORT; FERTILIZED REGION; DYNAMICS; WATERS; BLOOM; EDDY; SEA; STOICHIOMETRY</t>
  </si>
  <si>
    <t>Field campaigns are instrumental in providing ground truth for understanding and modeling global ocean biogeochemical budgets. A survey however can only inspect a fraction of the global oceans, typically a region hundreds of kilometers wide for a temporal window of the order of (at most) several weeks. This spatiotemporal domain is also the one in which the mesoscale activity induces through horizontal stirring a strong variability in the biogeochemical tracers, with ephemeral, local contrasts which can easily mask the regional and seasonal gradients. Therefore, whenever local in situ measures are used to infer larger-scale budgets, one faces the challenge of identifying the mesoscale structuring effect, if not simply to filter it out. In the case of the KEOPS2 investigation of biogeochemical responses to natural iron fertilization, this problem was tackled by designing an adaptive sampling strategy based on regionally optimized multisatellite products analyzed in real time by specifically designed Lagrangian diagnostics. This strategy identified the different mesoscale and stirring structures present in the region and tracked the dynamical frontiers among them. It also enabled back trajectories for the ship-sampled stations to be estimated, providing important insights into the timing and pathways of iron supply, which were explored further using a model based on first-order iron removal. This context was essential for the interpretation of the field results. The mesoscale circulation-based strategy was also validated post-cruise by comparing the Lagrangian maps derived from satellites with the patterns of more than one hundred drifters, including some adaptively released during KEOPS2 and a subsequent research voyage. The KEOPS2 strategy was adapted to the specific biogeochemical characteristics of the region, but its principles are general and will be useful for future in situ biogeochemical surveys.</t>
  </si>
  <si>
    <t>[d'Ovidio, F.; Della Penna, A.; Park, Y. -H.; Cotte, C.] Univ Paris 06, Sorbonne Univ, CNRS IRD MNHN, LOCEAN Lab, F-75005 Paris, France; [Della Penna, A.] CSIRO, UTAS Quantitat Marine Sci Program, IMAS, Hobart, Tas 7001, Australia; [Della Penna, A.] Univ Paris Diderot Cite, Paris, France; [Trull, T. W.] Univ Tasmania, CSIRO Oceans &amp; Atmosphere, Antarctic Climate &amp; Ecosyst Cooperat Res Ctr, Hobart, Tas 7001, Australia; [Nencioli, F.] Plymouth Marine Lab, Remote Sensing Grp, Plymouth PL1 3DH, Devon, England; [Pujol, M. -I.; Rio, M. -H.] CLS, Toulouse, France; [Zhou, M.] Univ Massachusetts, Coll Sci &amp; Math, Sch Environm, Boston, MA 02125 USA; [Blain, S.] Observ Oceanol, Lab Oceanog Microbienne, UMR CNRS 7621, F-66650 Banyuls Sur Mer, France; [Blain, S.] Univ Paris 06, Sorbonne Univ, Observ Oceanol, Lab Oceanog Microbienne,UMR7621, F-66650 Banyuls Sur Mer, France</t>
  </si>
  <si>
    <t>Sorbonne Universite; Museum National d'Histoire Naturelle (MNHN); Institut de Recherche pour le Developpement (IRD); Commonwealth Scientific &amp; Industrial Research Organisation (CSIRO); Universite Paris Cite; Antarctic Climate &amp; Ecosystems Cooperative Research Centre (ACE CRC); Commonwealth Scientific &amp; Industrial Research Organisation (CSIRO); University of Tasmania; Plymouth Marine Laboratory; University of Massachusetts System; University of Massachusetts Boston; Sorbonne Universite; Centre National de la Recherche Scientifique (CNRS); CNRS - National Institute for Earth Sciences &amp; Astronomy (INSU); Sorbonne Universite; Centre National de la Recherche Scientifique (CNRS); CNRS - National Institute for Earth Sciences &amp; Astronomy (INSU)</t>
  </si>
  <si>
    <t>d'Ovidio, F (corresponding author), Univ Paris 06, Sorbonne Univ, CNRS IRD MNHN, LOCEAN Lab, 4 Pl Jussieu, F-75005 Paris, France.</t>
  </si>
  <si>
    <t>francesco.dovidio@locean-ipsl.upmc.fr</t>
  </si>
  <si>
    <t>Cotte, Cedric/C-3296-2013; Cotté, Cédric/AAX-6120-2021; d'Ovidio, Francesco/ABA-8461-2021; Cotté, Cédric/Z-3243-2019; blain, stephane/F-6917-2010</t>
  </si>
  <si>
    <t>Cotté, Cédric/0000-0002-8307-6435; Cotté, Cédric/0000-0002-8307-6435; blain, stephane/0000-0002-5234-2446; Nencioli, Francesco/0000-0001-6107-2479; d'Ovidio, Francesco/0000-0002-9664-7778; Della Penna, Alice/0000-0002-7579-3610</t>
  </si>
  <si>
    <t>conjoint Frontieres du Vivant (Paris 7); CSIRO-UTAS Quantitative Marine Science PhD scholarship; French Research program of INSU-CNRS LEFE-CYBER (Les Enveloppes Fluides et l'Environnement-CYcles Biogeochimiques, Environnement et Ressources); French ANR (Agence Nationale de la Recherche, SIMI-6 program) [ANR-10-BLAN-0614, ANR MYCTO-3D-Map]; French CNES (Centre National d'Etudes Spatiales); French Polar Institute IPEV (Institut Polaire Paul-Emile Victor); NASA/CNES OSTST ALTIMECO project; Office of Polar Programs (OPP); Directorate For Geosciences [1142082] Funding Source: National Science Foundation; Agence Nationale de la Recherche (ANR) [ANR-10-BLAN-0614] Funding Source: Agence Nationale de la Recherche (ANR)</t>
  </si>
  <si>
    <t>conjoint Frontieres du Vivant (Paris 7); CSIRO-UTAS Quantitative Marine Science PhD scholarship; French Research program of INSU-CNRS LEFE-CYBER (Les Enveloppes Fluides et l'Environnement-CYcles Biogeochimiques, Environnement et Ressources); French ANR (Agence Nationale de la Recherche, SIMI-6 program)(Agence Nationale de la Recherche (ANR)); French CNES (Centre National d'Etudes Spatiales); French Polar Institute IPEV (Institut Polaire Paul-Emile Victor); NASA/CNES OSTST ALTIMECO project; Office of Polar Programs (OPP); Directorate For Geosciences(National Science Foundation (NSF)NSF - Directorate for Geosciences (GEO)); Agence Nationale de la Recherche (ANR)(Agence Nationale de la Recherche (ANR))</t>
  </si>
  <si>
    <t>The authors would like to thank the Marion Dufresne crew and B. Queguiner. The altimeter and color/temperature products for the Kerguelen area were produced by Ssalto/Duacs and CLS with support from CNES. The authors would also like to acknowledge AVISO/CLS, Meteo-France and the Global Drifter Program/NOAA/AOML, Miami, Florida, and both the Drifter Operations Center and Data Assembly Center for arranging drifter deployments and data assembly, quality control and distribution of the data. A. Della Penna was supported by a conjoint Frontieres du Vivant (Paris 7) and CSIRO-UTAS Quantitative Marine Science PhD scholarship. This work was supported by the French Research program of INSU-CNRS LEFE-CYBER (Les Enveloppes Fluides et l'Environnement-CYcles Biogeochimiques, Environnement et Ressources), the French ANR (Agence Nationale de la Recherche, SIMI-6 program, ANR-10-BLAN-0614 and ANR MYCTO-3D-Map), the French CNES (Centre National d'Etudes Spatiales), the French Polar Institute IPEV (Institut Polaire Paul-Emile Victor) and the NASA/CNES OSTST ALTIMECO project.</t>
  </si>
  <si>
    <t>10.5194/bg-12-5567-2015</t>
  </si>
  <si>
    <t>CT7CY</t>
  </si>
  <si>
    <t>WOS:000362972200001</t>
  </si>
  <si>
    <t>MacAyeal, DR; Sergienko, OV; Banwell, AF</t>
  </si>
  <si>
    <t>MacAyeal, Douglas R.; Sergienko, Olga V.; Banwell, Alison F.</t>
  </si>
  <si>
    <t>A model of viscoelastic ice-shelf flexure</t>
  </si>
  <si>
    <t>Antarctic glaciology; glacier modelling; ice-sheet modelling; ice-shelf break-up; ice shelves</t>
  </si>
  <si>
    <t>THIN PLATES; STREAM; SHEET; FLOW; DYNAMICS; GLACIERS; DRAINAGE; LAW</t>
  </si>
  <si>
    <t>We develop a formal thin-plate treatment of the viscoelastic flexure of floating ice shelves as an initial step in treating various problems relevant to ice-shelf response to sudden changes of surface loads and applied bending moments (e.g. draining supraglacial lakes, iceberg calving, surface and basal crevassing). Our analysis is based on the assumption that total deformation is the sum of elastic and viscous (or power-law creep) deformations (i.e. akin to a Maxwell model of viscoelasticity, having a spring and dashpot in series). The treatment follows the assumptions of well-known thin-plate approximation, but is presented in a manner familiar to glaciologists and with Glen's flow law. We present an analysis of the viscoelastic evolution of an ice shelf subject to a filling and draining supraglacial lake. This demonstration is motivated by the proposition that flexure in response to the filling/drainage of meltwater features on the Larsen B ice shelf, Antarctica, contributed to the fragmentation process that accompanied its collapse in 2002.</t>
  </si>
  <si>
    <t>[MacAyeal, Douglas R.] Univ Chicago, Dept Geophys Sci, Chicago, IL 60637 USA; [Sergienko, Olga V.] Princeton Univ, Atmospher &amp; Ocean Sci, Princeton, NJ 08544 USA; [Banwell, Alison F.] Univ Cambridge, Scott Polar Res Inst, Cambridge CB2 1ER, England</t>
  </si>
  <si>
    <t>University of Chicago; Princeton University; University of Cambridge</t>
  </si>
  <si>
    <t>MacAyeal, DR (corresponding author), Univ Chicago, Dept Geophys Sci, 5734 S Ellis Ave, Chicago, IL 60637 USA.</t>
  </si>
  <si>
    <t>drm7@uchicago.edu</t>
  </si>
  <si>
    <t>Sergienko, Olga/HII-8500-2022; Banwell, Alison/W-8180-2018</t>
  </si>
  <si>
    <t>Sergienko, Olga/0000-0002-5764-8815; Banwell, Alison/0000-0001-9545-829X</t>
  </si>
  <si>
    <t>US National Oceanic and Atmospheric Administration (NOAA) [NA13OAR431009]; St Catharine's College, Cambridge; Antarctic Science Ltd.</t>
  </si>
  <si>
    <t>US National Oceanic and Atmospheric Administration (NOAA)(National Oceanic Atmospheric Admin (NOAA) - USA); St Catharine's College, Cambridge; Antarctic Science Ltd.</t>
  </si>
  <si>
    <t>We thank Sebastian Rosier and Hilmar Gudmundsson for help implementing a full-Stokes version of ice-shelf flexure with viscoelastic rheology. We additionally thank two anonymous referees and the chief editor and scientific editor, Jo Jacka and Ralf Greve, for advice and guidance both in the revision of the manuscript and in helping us better understand the theoretical and practical development of viscoelastic plate theory. Olga Sergienko acknowledges the support of US National Oceanic and Atmospheric Administration (NOAA) grant NA13OAR431009. Alison Banwell acknowledges the support of a Bowring Junior Research Fellowship from St Catharine's College, Cambridge, and a bursary from Antarctic Science Ltd.</t>
  </si>
  <si>
    <t>10.3189/2015JoG14J169</t>
  </si>
  <si>
    <t>CT7NQ</t>
  </si>
  <si>
    <t>WOS:000363002200003</t>
  </si>
  <si>
    <t>Kehrl, LM; Horgan, HJ; Anderson, BM; Dadic, R; Mackintosh, AN</t>
  </si>
  <si>
    <t>Kehrl, Laura M.; Horgan, Huw J.; Anderson, Brian M.; Dadic, Ruzica; Mackintosh, Andrew N.</t>
  </si>
  <si>
    <t>Glacier velocity and water input variability in a maritime environment: Franz Josef Glacier, New Zealand</t>
  </si>
  <si>
    <t>glacier flow; glacier geophysics; glacier hydrology; ice velocity; mountain glaciers</t>
  </si>
  <si>
    <t>GREENLAND ICE-SHEET; SHORT-TERM VARIATIONS; SURFACE VELOCITY; SUBGLACIAL DRAINAGE; BERNESE ALPS; MELT; FLOW; MOTION; STORGLACIAREN; ACCELERATION</t>
  </si>
  <si>
    <t>Short-term glacier velocity variations typically occur when a water input is accommodated by an increase in the subglacial water pressure. Although these velocity variations have been well documented on many glaciers, few studies have considered them on glaciers where heavy rain and glacier melt occur year-round. This study investigates the relationship between water inputs and glacier velocity on Franz Josef Glacier, New Zealand. We installed six GNSS stations across the lower glacier during austral summer 2010/11 and one station during summer 2012/13. Glacier velocity remained elevated at all stations for similar to 7 days following large rain events. During diurnal melt events, we find velocity variations in the early afternoon (12:00-16:00) at 600 m a.s.l. and in the late evening (20:00 01:00) at 400 m a.s.l. We hypothesize that the late-evening velocity variations occurred as an upstream region of high subglacial water pressures and accelerated ice motion propagated downstream. This mechanism may also explain the increased longitudinal compression and transverse extension across the lower glacier during speed-up events. Our results indicate that the subglacial drainage system likely decreases in efficiency upstream and that the water input variability can still cause short-term velocity variations despite the large year-round water inputs.</t>
  </si>
  <si>
    <t>[Kehrl, Laura M.; Horgan, Huw J.; Anderson, Brian M.; Dadic, Ruzica; Mackintosh, Andrew N.] Victoria Univ Wellington, Antarctic Res Ctr, Wellington, New Zealand; [Kehrl, Laura M.] Univ Washington, Dept Earth &amp; Space Sci, Seattle, WA 98195 USA</t>
  </si>
  <si>
    <t>Victoria University Wellington; University of Washington; University of Washington Seattle</t>
  </si>
  <si>
    <t>Kehrl, LM (corresponding author), Victoria Univ Wellington, Antarctic Res Ctr, Wellington, New Zealand.</t>
  </si>
  <si>
    <t>kehrl@uw.edu</t>
  </si>
  <si>
    <t>Horgan, Huw/I-5847-2019; Dadic, Ruzica/O-4458-2019</t>
  </si>
  <si>
    <t>Horgan, Huw/0000-0002-4836-0078; Dadic, Ruzica/0000-0003-1303-1896; Mackintosh, Andrew/0000-0002-6430-4711; Kehrl, Laura/0000-0002-4926-2015</t>
  </si>
  <si>
    <t>US Fulbright Program; NZ MSI Program 'ANZICE'; Victoria University Foundation Grant 'Antarctic Research Centre Climate and Ice-Sheet Modelling'</t>
  </si>
  <si>
    <t>We thank the Franz Josef Glacier guides, Karen McKinnon and Martina Barandun, for help in the field and Sridhar Anandakrishnan for loaning us the GNSS equipment used in this study. The New Zealand GeoNet program and its sponsors EQC, GNS Science and LINZ provided GNSS data. We also acknowledge Sam Dean and Stephen Stuart for providing the precipitation surface used in this study. We thank Bernd Kulessa, Ian Willis and Shin Sugiyama for helpful comments on an earlier version of the manuscript. Scientific Editor Martyn Tranter and reviewer Martin Funk provided helpful comments that improved the quality of the paper. This project was supported by the US Fulbright Program, the NZ MSI Program 'ANZICE' and the Victoria University Foundation Grant 'Antarctic Research Centre Climate and Ice-Sheet Modelling'.</t>
  </si>
  <si>
    <t>10.3189/2015JoG14J228</t>
  </si>
  <si>
    <t>WOS:000363002200005</t>
  </si>
  <si>
    <t>Koch, I; Fitzsimons, S; Samyn, D; Tison, JL</t>
  </si>
  <si>
    <t>Koch, Inka; Fitzsimons, Sean; Samyn, Denis; Tison, Jean-Louis</t>
  </si>
  <si>
    <t>Marine ice recycling at the southern McMurdo Ice Shelf, Antarctica</t>
  </si>
  <si>
    <t>Antarctic glaciology; ice chemistry; ice crystal studies; ice shelves; ice/ocean interactions</t>
  </si>
  <si>
    <t>AMERY ICE; FRAZIL ICE; SEA-ICE; ISOTOPIC COMPOSITION; EAST ANTARCTICA; STABLE-ISOTOPES; MELT PONDS; DELTA-D; WATER; BENEATH</t>
  </si>
  <si>
    <t>Marine ice accretes at the base of ice shelves, often infilling open structural weaknesses and increasing ice-shelf stability. However, the timing and location of marine ice formation remain poorly understood. This study determines marine ice source water composition and origin by examining marine ice crystal morphology, water isotope and solute chemistry in ice samples collected from the southern McMurdo Ice Shelf (SMIS), Antarctica. The measured co-isotopic record together with the output of a freezing model for frazil crystals indicate a spatio-temporally varying water source of sea water and relatively fresher water, such as melted meteoric or marine ice. This is in agreement with the occurrence of primarily banded and granular ice crystal facies typical for frazil ice crystals that nucleate in a supercooled mixture of water masses. We propose that marine ice exposed at the surface of SMIS, which experiences summer melt, is routed to the ice-shelf base via the tide crack. Here frazil crystals nucleate in a double diffusion mechanism of heat and salt between two water masses at their salinity-dependent freezing point. Recycling of previously formed marine ice facilitates ice-shelf self-sustenance in a warming climate.</t>
  </si>
  <si>
    <t>[Koch, Inka; Fitzsimons, Sean] Univ Otago, Dept Geog, Dunedin, New Zealand; [Samyn, Denis] Nagaoka Univ Technol, Dept Mech Engn, Nagaoka, Niigata 94021, Japan; [Tison, Jean-Louis] Univ Libre Bruxelles, Lab Glaciol, Brussels, Belgium</t>
  </si>
  <si>
    <t>University of Otago; Nagaoka University of Technology; Universite Libre de Bruxelles</t>
  </si>
  <si>
    <t>Koch, I (corresponding author), Univ Otago, Dept Geog, Dunedin, New Zealand.</t>
  </si>
  <si>
    <t>inkakoch@gmail.com</t>
  </si>
  <si>
    <t>Koch, Inka/AGW-1154-2022</t>
  </si>
  <si>
    <t>Koch, Inka/0000-0002-8801-7215</t>
  </si>
  <si>
    <t>University of Otago Research Grant; University of Otago Doctoral Scholarship; New Zealand Royal Society Mobility Fund; Antarctic Science Bursary; University of Otago Polar Environments research</t>
  </si>
  <si>
    <t>We thank Antarctica New Zealand for excellent logistical support on SMIS. Sean Fitzsimons held a University of Otago Research Grant and Inka Koch was supported by a University of Otago Doctoral Scholarship. The New Zealand Royal Society Mobility Fund, the Antarctic Science Bursary and the University of Otago Polar Environments research theme provided financial support to establish collaboration with the Laboratoire de Glaciologie in Belgium. We thank Jono Conway, Nicolas Cullen, Michael Hambrey, Abigail Lovett, Martin Sharp, Simon Shelton and Nita Smith for help with the ice-core extraction in the field. For assistance with scientific instruments in the laboratory and cold room we are grateful to Julie Clark, Salcla El Amri, Marie Dierckx and Robert van Hale. We thank Eric Roulin for help in reviving the numerical code for the boundary layer freezing model of frazil ice crystals. Inga Smith and Sarah Mager made helpful suggestions on an earlier version of the manuscript. We thank three anonymous reviewers for comments which helped to improve the clarity of the paper.</t>
  </si>
  <si>
    <t>10.3189/2015JoG14J095</t>
  </si>
  <si>
    <t>WOS:000363002200007</t>
  </si>
  <si>
    <t>Folco, L; Cordier, C</t>
  </si>
  <si>
    <t>Lee, MR; Leroux, H</t>
  </si>
  <si>
    <t>Folco, Luigi; Cordier, Carole</t>
  </si>
  <si>
    <t>Micrometeorites</t>
  </si>
  <si>
    <t>PLANETARY MINERALOGY</t>
  </si>
  <si>
    <t>European Mineralogical Union Notes in Mineralogy</t>
  </si>
  <si>
    <t>DEEP-SEA SPHERULES; ULTRACARBONACEOUS ANTARCTIC MICROMETEORITES; INTERPLANETARY DUST PARTICLES; STONY COSMIC SPHERULES; PLATINUM-GROUP NUGGETS; ATMOSPHERIC ENTRY; OXYGEN-ISOTOPE; TRANSANTARCTIC MOUNTAINS; ACCRETION RATE; SOLAR-SYSTEM</t>
  </si>
  <si>
    <t>The Earth accretes some 40,000 tonnes of extraterrestrial material each year. Most of this is interplanetary dust produced by collisions and evaporation of rocky and icy bodies in the Solar System. A fraction of this dust survives hypervelocity impact with the Earth's upper atmosphere and is collected at the Earth's surface in the form of microscopic particles (&lt;2 mm) called micrometeorites. Significant quantities of micrometeorites are recovered mainly from deep-sea sediments, and snow, ice and loose sediments in polar areas. Micrometeorites provide samples of a variety of dust-producing bodies in the Solar System for laboratory analysis, most notably primitive asteroids and comets which allow exploration of the first stages in the evolution of the protoplanetary disk. Furthermore, the systematic study of unbiased and time-constrained micrometeorite collections allows investigation of the cycles of extraterrestrial input to the global geochemical budget of planet Earth, including its bearing on the emergence of life. Lastly, knowledge of the physical and compositional properties of micrometeorites provides constraints for modelling the source regions and dynamic evolution of the cosmic-dust complex in the near-Earth space, as well as for assessing the potential hazard of dust in the vicinity of the Earth to space activities. This work provides basic information on micrometeoroid production in space and delivery to Earth, atmospheric entry and micrometeorite collections. It gives an overview of current knowledge of the diversity of micrometeorites in terms of their nature and origin, highlighting recent advances in the identification of new types and in the quantification of the flux of extraterrestrial matter to Earth.</t>
  </si>
  <si>
    <t>[Folco, Luigi] Univ Pisa, Dipartimento Sci Terra, I-56126 Pisa, Italy; [Cordier, Carole] ISTerre, Maison Geosci, F-38041 Grenoble 09, France</t>
  </si>
  <si>
    <t>University of Pisa; Communaute Universite Grenoble Alpes; Universite Grenoble Alpes (UGA); Centre National de la Recherche Scientifique (CNRS); Institut de Recherche pour le Developpement (IRD); Universite Gustave-Eiffel; Universite Savoie Mont Blanc</t>
  </si>
  <si>
    <t>Folco, L (corresponding author), Univ Pisa, Dipartimento Sci Terra, Via S Maria 53, I-56126 Pisa, Italy.</t>
  </si>
  <si>
    <t>luigi.folco@unipi.it; Carole.Cordier@ujf-grenoble.fr</t>
  </si>
  <si>
    <t>Folco, Luigi/AAB-8586-2021; Folco, Luigi/AAA-6351-2020</t>
  </si>
  <si>
    <t>MINERALOGICAL SOCIETY GREAT BRITAIN &amp; IRELAND</t>
  </si>
  <si>
    <t>41 QUEENS GATE, LONDON SW7 5HR, ENGLAND</t>
  </si>
  <si>
    <t>1417-2917</t>
  </si>
  <si>
    <t>978-0-903056-55-7</t>
  </si>
  <si>
    <t>EMU NOTES MINERALOG</t>
  </si>
  <si>
    <t>10.1180/EMU-notes.15.9</t>
  </si>
  <si>
    <t>Geosciences, Multidisciplinary; Mineralogy</t>
  </si>
  <si>
    <t>Geology; Mineralogy</t>
  </si>
  <si>
    <t>BD7EI</t>
  </si>
  <si>
    <t>WOS:000362957000010</t>
  </si>
  <si>
    <t>Sathiyanarayanan, G; Yi, DH; Bhatia, SK; Kim, JH; Seo, HM; Kim, YG; Park, SH; Jeong, D; Jung, S; Jung, JY; Lee, YK; Yang, YH</t>
  </si>
  <si>
    <t>Sathiyanarayanan, Ganesan; Yi, Da-Hye; Bhatia, Shashi Kant; Kim, Jung-Ho; Seo, Hyung Min; Kim, Yun-Gon; Park, Sung-Hee; Jeong, Daham; Jung, Seunho; Jung, Ji-Young; Lee, Yoo Kyung; Yang, Yung-Hun</t>
  </si>
  <si>
    <t>Exopolysaccharide from psychrotrophic Arctic glacier soil bacterium Flavobacterium sp ASB 3-3 and its potential applications</t>
  </si>
  <si>
    <t>RSC ADVANCES</t>
  </si>
  <si>
    <t>EXTRACELLULAR POLYSACCHARIDE; STRUCTURAL-CHARACTERIZATION; ECOLOGICAL ROLES; SEA-ICE; GROWTH; MILK; FISH</t>
  </si>
  <si>
    <t>A novel exopolysaccharide (EPS) producing psychrotrophic bacterium Flavobacterium sp. ASB 3-3 was isolated from Arctic glacier soil and identified. The optimum fermentation conditions for EPS production were an initial medium pH of 7.2 and an initial inoculum size of 5% (v/v). The maximum yield of EPS (7.25 + 0.26 g L-1) was obtained after cultivation at 25 degrees C for 120 h with glycerol as the sole carbon source. The EPS was purified and its structural characteristics were analyzed by H-1 and C-13 NMR. The predominant repeating units of this EPS are (alpha, beta) D-glucose and D-galactose and it is different from the structure of EPSs produced by other Arctic and Antarctic bacteria, which have mannose units. In addition, EPS has demonstrated a comparable emulsifying property than SDS and flocculating properties with kaolinite, suggesting their potential applications in various industries. The EPS also significantly improved the tolerance of Flavobacterium sp. and Escherichia coli from freeze-thaw cycles, suggesting that it might be used to survive in polar regions and it can have possible usage as microbial cryoprotectants.</t>
  </si>
  <si>
    <t>[Sathiyanarayanan, Ganesan; Yi, Da-Hye; Bhatia, Shashi Kant; Kim, Jung-Ho; Seo, Hyung Min; Yang, Yung-Hun] Konkuk Univ, Coll Engn, Dept Biol Engn, Seoul 143701, South Korea; [Kim, Yun-Gon] Soongsil Univ, Chem Engn, Seoul 156743, South Korea; [Park, Sung-Hee] CheilJedang, Foods R&amp;D, Food Ingredients Ctr, Seoul 152051, South Korea; [Jeong, Daham; Jung, Seunho] Konkuk Univ, Dept Biosci &amp; Biotechnol, Seoul 143701, South Korea; [Jeong, Daham; Jung, Seunho; Yang, Yung-Hun] Konkuk Univ, Microbial Carbohydrate Resource Bank, Seoul 143701, South Korea; [Jung, Ji-Young; Lee, Yoo Kyung] Korea Polar Res Inst, Seoul 21990, South Korea</t>
  </si>
  <si>
    <t>Konkuk University; Soongsil University; Konkuk University; Konkuk University; Korea Polar Research Institute (KOPRI)</t>
  </si>
  <si>
    <t>Sathiyanarayanan, G (corresponding author), Konkuk Univ, Coll Engn, Dept Biol Engn, Seoul 143701, South Korea.</t>
  </si>
  <si>
    <t>seokor@konkuk.ac.kr</t>
  </si>
  <si>
    <t>Bhatia, Shashi/N-4550-2018; Jung, Seunho/D-4555-2011; Ganesan, Sathiyanarayanan/M-6176-2016; Kim, Yun-Gon/HLP-9951-2023</t>
  </si>
  <si>
    <t>Bhatia, Shashi/0000-0002-7688-6069; Ganesan, Sathiyanarayanan/0000-0001-5356-3438; Kim, Yun-Gon/0000-0001-7388-2989; Seo, Hyeongmin/0000-0002-1004-9719; Lee, Yoo Kyung/0000-0002-1271-5738</t>
  </si>
  <si>
    <t>Basic Science Research Program through the National Research Foundation of Korea (NRF) - Ministry of Education [NRF-2013R1A1A2A10004690, NRF-2015R1A2A2A04006014]; Korea Polar Research Institute [PE15030]; Bio &amp; Medical Technology Development Program of the NRF - Korean government, MISP [NRF-2015M3A9B8031831]; Energy Efficiency &amp; Resources of the Korea Institute of Energy Technology Evaluation and Planning (KETEP) - Korea Government Ministry of Trade, Industry and Energy [20133030000300]</t>
  </si>
  <si>
    <t>Basic Science Research Program through the National Research Foundation of Korea (NRF) - Ministry of Education(National Research Foundation of KoreaMinistry of Education (MOE), Republic of KoreaNational Research Council for Economics, Humanities &amp; Social Sciences, Republic of Korea); Korea Polar Research Institute(Korea Polar Research Institute of Marine Research Placement (KOPRI)); Bio &amp; Medical Technology Development Program of the NRF - Korean government, MISP(National Research Foundation of Korea); Energy Efficiency &amp; Resources of the Korea Institute of Energy Technology Evaluation and Planning (KETEP) - Korea Government Ministry of Trade, Industry and Energy</t>
  </si>
  <si>
    <t>The study was partially supported by the Basic Science Research Program through the National Research Foundation of Korea (NRF) funded by the Ministry of Education (NRF-2013R1A1A2A10004690), (NRF-2015R1A2A2A04006014) and Korea Polar Research Institute (PE15030). This research was supported by the Bio &amp; Medical Technology Development Program of the NRF funded by the Korean government, MISP (NRF-2015M3A9B8031831) and the Energy Efficiency &amp; Resources of the Korea Institute of Energy Technology Evaluation and Planning (KETEP) grant funded by the Korea Government Ministry of Trade, Industry and Energy (20133030000300).</t>
  </si>
  <si>
    <t>2046-2069</t>
  </si>
  <si>
    <t>RSC ADV</t>
  </si>
  <si>
    <t>RSC Adv.</t>
  </si>
  <si>
    <t>10.1039/c5ra14978a</t>
  </si>
  <si>
    <t>CT5LF</t>
  </si>
  <si>
    <t>WOS:000362851000018</t>
  </si>
  <si>
    <t>Lammel, G; Dvorská, A; Klánová, J; Kohoutek, J; Kukacka, P; Prokes, R; Sehili, AM</t>
  </si>
  <si>
    <t>Lammel, Gerhard; Dvorska, Alice; Klanova, Jana; Kohoutek, Jiri; Kukacka, Petr; Prokes, Roman; Sehili, Aissa M.</t>
  </si>
  <si>
    <t>Long-range Atmospheric Transport of Polycyclic Aromatic Hydrocarbons is Worldwide Problem - Results from Measurements at Remote Sites and Modelling</t>
  </si>
  <si>
    <t>ACTA CHIMICA SLOVENICA</t>
  </si>
  <si>
    <t>aerosol; atmospheric modelling; free troposphere; Arctic; Antarctic; Africa</t>
  </si>
  <si>
    <t>PERSISTENT ORGANIC POLLUTANTS; AIR; GAS; DEGRADATION; TEMPERATURE; TRENDS; PAHS; REACTIVITY; DEPOSITION; PARTICLES</t>
  </si>
  <si>
    <t>Despite the fact that the occurrence of polycyclic aromatic hydrocarbons (PAHs) in the atmospheric environment has been studied for decades the photochemistry, deposition and, consequently, the long-range transport potential (LRTP) are not well understood. The reason is gas-particle partitioning (GPP) in the aerosol, its sensitivity to temperature and i particulate phase composition, and sampling artefacts', and reactivity's sensitivities towards particulate phase composition. Furthermore, most PAT-is are subject to re-volatilisation upon deposition to surfaces (multihopping). Levels and sources of 2-6-ring unsubstituted PAHs were studied in remote environments of Europe, Africa and Antarctica. Global atmospheric transport and fate of 3-5-ring PAHs were simulated under various scenarios of photochemistry and GPP. GPP influences drastically the atmospheric lifetime, compartmental distributions and the LRTP of PAH. Mid latitude emissions seem to reach the Arctic but not the Antarctic.</t>
  </si>
  <si>
    <t>[Lammel, Gerhard; Dvorska, Alice; Klanova, Jana; Kohoutek, Jiri; Kukacka, Petr; Prokes, Roman] Masaryk Univ, Res Ctr Tox Cpds Environm, Brno 62500, Czech Republic; [Lammel, Gerhard] Max Planck Inst Chem, D-55128 Mainz, Germany; [Sehili, Aissa M.] Max Planck Inst Meteorol, D-20146 Hamburg, Germany</t>
  </si>
  <si>
    <t>Masaryk University Brno; Max Planck Society; Max Planck Society</t>
  </si>
  <si>
    <t>Lammel, G (corresponding author), Masaryk Univ, Res Ctr Tox Cpds Environm, Kamenice 3, Brno 62500, Czech Republic.</t>
  </si>
  <si>
    <t>lammel@recetox.muni.cz</t>
  </si>
  <si>
    <t>Dvorska, Alice/G-4491-2014; Lammel, Gerhard/ABE-1446-2021; Klanova, Jana/H-1207-2012</t>
  </si>
  <si>
    <t>Lammel, Gerhard/0000-0003-2313-0628; Prokes, Roman/0000-0002-0573-843X; Klanova, Jana/0000-0002-8818-5307</t>
  </si>
  <si>
    <t>German Research Foundation (DFG) [GR 660/15]; Granting Agency of the Czech Republic (GACR) [P503/11/1230]; Ministry of Education of the Czech Republic [LM2011028, LO1214]</t>
  </si>
  <si>
    <t>German Research Foundation (DFG)(German Research Foundation (DFG)); Granting Agency of the Czech Republic (GACR); Ministry of Education of the Czech Republic(Ministry of Education, Youth &amp; Sports - Czech Republic)</t>
  </si>
  <si>
    <t>This manuscript follows an International Health Forum Lecture given at U Ljubljana, 2011. We thank Mirko Bizjak, Environmental Agency, Ljubljana, and Blaz Ivanc, U Ljubljana. This research was supported by the German Research Foundation (DFG project No. GR 660/15), the Granting Agency of the Czech Republic (GACR project No. P503/11/1230), and the Ministry of Education of the Czech Republic (LM2011028 and LO1214).</t>
  </si>
  <si>
    <t>SLOVENSKO KEMIJSKO DRUSTVO</t>
  </si>
  <si>
    <t>LJUBLJANA</t>
  </si>
  <si>
    <t>HAJDRIHOVA 19, LJUBLJANA 1000, SLOVENIA</t>
  </si>
  <si>
    <t>1318-0207</t>
  </si>
  <si>
    <t>1580-3155</t>
  </si>
  <si>
    <t>ACTA CHIM SLOV</t>
  </si>
  <si>
    <t>Acta Chim. Slov.</t>
  </si>
  <si>
    <t>CS9BM</t>
  </si>
  <si>
    <t>WOS:000362384100030</t>
  </si>
  <si>
    <t>Kuttippurath, J; Godin-Beekmann, S; Lefèvre, F; Santee, ML; Froidevaux, L; Hauchecorne, A</t>
  </si>
  <si>
    <t>Kuttippurath, J.; Godin-Beekmann, S.; Lefevre, F.; Santee, M. L.; Froidevaux, L.; Hauchecorne, A.</t>
  </si>
  <si>
    <t>Variability in Antarctic ozone loss in the last decade (2004-2013): high-resolution simulations compared to Aura MLS observations</t>
  </si>
  <si>
    <t>POLAR VORTEX; WINTER; MODEL; HOLE; SCIAMACHY; KINETICS; EDGE; CLO</t>
  </si>
  <si>
    <t>A detailed analysis of the polar ozone loss processes during 10 recent Antarctic winters is presented with high-resolution MIMOSA-CHIM (ModSle Isentrope du transport M,so-,chelle de l'Ozone Stratosph,rique par Advection avec CHIMie) model simulations and high-frequency polar vortex observations from the Aura microwave limb sounder (MLS) instrument. The high-frequency measurements and simulations help to characterize the winters and assist the interpretation of interannual variability better than either data or simulations alone. Our model results for the Antarctic winters of 2004-2013 show that chemical ozone loss starts in the edge region of the vortex at equivalent latitudes (EqLs) of 65-67A degrees S in mid-June-July. The loss progresses with time at higher EqLs and intensifies during August-September over the range 400-600 K. The loss peaks in late September-early October, when all EqLs (65-83A degrees S) show a similar loss and the maximum loss (&gt; 2 ppmv - parts per million by volume) is found over a broad vertical range of 475-550 K. In the lower stratosphere, most winters show similar ozone loss and production rates. In general, at 500 K, the loss rates are about 2-3 ppbv sh(-1) (parts per billion by volume per sunlit hour) in July and 4-5 ppbv sh(-1) in August-mid-September, while they drop rapidly to 0 by mid-October. In the middle stratosphere, the loss rates are about 3-5 ppbv sh(-1) in July-August and October at 675 K. On average, the MIMOSA-CHIM simulations show that the very cold winters of 2005 and 2006 exhibit a maximum loss of similar to 3.5 ppmv around 550 K or about 149-173 DU over 350-850 K, and the warmer winters of 2004, 2010, and 2012 show a loss of similar to 2.6 ppmv around 475-500 K or 131-154 DU over 350-850 K. The winters of 2007, 2008, and 2011 were moderately cold, and thus both ozone loss and peak loss altitudes are between these two ranges (3 ppmv around 500 K or 150 +/- 10 DU). The modeled ozone loss values are in reasonably good agreement with those estimated from Aura MLS measurements, but the model underestimates the observed ClO, largely due to the slower vertical descent in the model during spring.</t>
  </si>
  <si>
    <t>[Kuttippurath, J.; Godin-Beekmann, S.; Lefevre, F.; Hauchecorne, A.] Univ Paris 06, UMR LATMOS IPSL 8190, CNRS INSU, F-75005 Paris, France; [Kuttippurath, J.] Indian Inst Technol, CORAL, Kharagpur 721302, W Bengal, India; [Santee, M. L.; Froidevaux, L.] CALTECH, JPL, NASA, Pasadena, CA 91125 USA</t>
  </si>
  <si>
    <t>Sorbonne Universite; Centre National de la Recherche Scientifique (CNRS); CNRS - National Institute for Earth Sciences &amp; Astronomy (INSU); Universite Paris Saclay; Indian Institute of Technology System (IIT System); Indian Institute of Technology (IIT) - Kharagpur; National Aeronautics &amp; Space Administration (NASA); NASA Jet Propulsion Laboratory (JPL); California Institute of Technology</t>
  </si>
  <si>
    <t>Kuttippurath, J (corresponding author), Univ Paris 06, UMR LATMOS IPSL 8190, CNRS INSU, F-75005 Paris, France.</t>
  </si>
  <si>
    <t>jayan@coral.iitkgp.ernet.in</t>
  </si>
  <si>
    <t>Hauchecorne, Alain/A-8489-2013; Kuttippurath, Jayanarayanan/M-2878-2019; Santee, MIchelle/R-5762-2019; Kuttippurath, Jayanarayanan/E-6441-2017</t>
  </si>
  <si>
    <t>Kuttippurath, Jayanarayanan/0000-0003-4073-8918; Kuttippurath, Jayanarayanan/0000-0003-4073-8918; Hauchecorne, Alain/0000-0001-9888-6994</t>
  </si>
  <si>
    <t>ANR/ORACLE-O3 France; EU SCOUT-O3; FP7 RECONCILE project [RECONCILE-226365-FP7-ENV-2008-1]</t>
  </si>
  <si>
    <t>ANR/ORACLE-O3 France(Agence Nationale de la Recherche (ANR)); EU SCOUT-O3; FP7 RECONCILE project</t>
  </si>
  <si>
    <t>The authors would like to thank Cathy Boonne of IPSL/CNRS for the REPROBUS model data. Work at the Jet Propulsion Laboratory, California Institute of Technology, was done under contract to NASA. The ECMWF data are obtained from the NADIR database of NILU and we greatly appreciate access to them. The work is supported by funds from the ANR/ORACLE-O3 France, the EU SCOUT-O3 and the FP7 RECONCILE project under the grant number: RECONCILE-226365-FP7-ENV-2008-1.</t>
  </si>
  <si>
    <t>10.5194/acp-15-10385-2015</t>
  </si>
  <si>
    <t>CT0AZ</t>
  </si>
  <si>
    <t>WOS:000362457400010</t>
  </si>
  <si>
    <t>Svensson, A; Fujita, S; Bigler, M; Braun, M; Dallmayr, R; Gkinis, V; Goto-Azuma, K; Hirabayashi, M; Kawamura, K; Kipfstuhl, S; Kjær, HA; Popp, T; Simonsen, M; Steffensen, JP; Vallelonga, P; Vinther, BM</t>
  </si>
  <si>
    <t>Svensson, A.; Fujita, S.; Bigler, M.; Braun, M.; Dallmayr, R.; Gkinis, V.; Goto-Azuma, K.; Hirabayashi, M.; Kawamura, K.; Kipfstuhl, S.; Kjaer, H. A.; Popp, T.; Simonsen, M.; Steffensen, J. P.; Vallelonga, P.; Vinther, B. M.</t>
  </si>
  <si>
    <t>On the occurrence of annual layers in Dome Fuji ice core early Holocene ice</t>
  </si>
  <si>
    <t>DRONNING MAUD LAND; LAST GLACIAL PERIOD; ANTARCTIC ICE; EAST ANTARCTICA; CHRONOLOGY AICC2012; CLIMATE VARIABILITY; SNOW ACCUMULATION; GREENLAND; RECORD; ERUPTION</t>
  </si>
  <si>
    <t>Whereas ice cores from high-accumulation sites in coastal Antarctica clearly demonstrate annual layering, it is debated whether a seasonal signal is also preserved in ice cores from lower-accumulation sites further inland and particularly on the East Antarctic Plateau. In this study, we examine 5 m of early Holocene ice from the Dome Fuji (DF) ice core at a high temporal resolution by continuous flow analysis. The ice was continuously analysed for concentrations of dust, sodium, ammonium, liquid conductivity, and water isotopic composition. Furthermore, a dielectric profiling was performed on the solid ice. In most of the analysed ice, the multi-parameter impurity data set appears to resolve the seasonal variability although the identification of annual layers is not always unambiguous. The study thus provides information on the snow accumulation process in central East Antarctica. A layer counting based on the same principles as those previously applied to the NGRIP (North Greenland Ice core Project) and the Antarctic EPICA (European Project for Ice Coring in Antarctica) Dronning Maud Land (EDML) ice cores leads to a mean annual layer thickness for the DF ice of 3.0 +/- 0.3 cm that compares well to existing estimates. The measured DF section is linked to the EDML ice core through a characteristic pattern of three significant acidity peaks that are present in both cores. The corresponding section of the EDML ice core has recently been dated by annual layer counting and the number of years identified independently in the two cores agree within error estimates. We therefore conclude that, to first order, the annual signal is preserved in this section of the DF core. This case study demonstrates the feasibility of determining annually deposited strata on the central East Antarctic Plateau. It also opens the possibility of resolving annual layers in the Eemian section of Antarctic ice cores where the accumulation is estimated to have been greater than in the Holocene.</t>
  </si>
  <si>
    <t>[Svensson, A.; Braun, M.; Gkinis, V.; Kjaer, H. A.; Popp, T.; Simonsen, M.; Steffensen, J. P.; Vallelonga, P.; Vinther, B. M.] Univ Copenhagen, Niels Bohr Inst, Ctr Ice &amp; Climate, DK-2100 Copenhagen, Denmark; [Fujita, S.; Dallmayr, R.; Goto-Azuma, K.; Hirabayashi, M.; Kawamura, K.] Res Org Informat &amp; Syst, Natl Inst Polar Res, Tokyo, Japan; [Fujita, S.; Goto-Azuma, K.; Kawamura, K.] SOKENDAI Grad Univ Adv Studies, Dept Polar Sci, Tokyo, Japan; [Bigler, M.] Univ Bern, Inst Phys, Climate &amp; Environm Phys, Bern, Switzerland; [Bigler, M.] Univ Bern, Oeschger Ctr Climate Change Res, Bern, Switzerland; [Kipfstuhl, S.] Stiftung Alfred Wegener Inst Polar &amp; Meeresforsch, Bremerhaven, Germany</t>
  </si>
  <si>
    <t>University of Copenhagen; Niels Bohr Institute; Research Organization of Information &amp; Systems (ROIS); National Institute of Polar Research (NIPR) - Japan; Graduate University for Advanced Studies - Japan; University of Bern; University of Bern; Helmholtz Association; Alfred Wegener Institute, Helmholtz Centre for Polar &amp; Marine Research</t>
  </si>
  <si>
    <t>Svensson, A (corresponding author), Univ Copenhagen, Niels Bohr Inst, Ctr Ice &amp; Climate, Blegdamsvej 17, DK-2100 Copenhagen, Denmark.</t>
  </si>
  <si>
    <t>as@gfy.ku.dk</t>
  </si>
  <si>
    <t>Svensson, Anders/A-2643-2010; Kjær, Helle Astrid/HGC-7941-2022; Gkinis, Vasileios/E-8185-2011; Braun, Martin/Q-1416-2017; Steffensen, Jorgen Peder/JFS-7831-2023; Bigler, Matthias/HTT-3872-2023; Bishnoi, Mamta/AAQ-8346-2021; Vallelonga, Paul/I-9650-2016; Fujita, Shuji/A-7884-2016; Kawamura, Kenji/C-7660-2011</t>
  </si>
  <si>
    <t>Svensson, Anders/0000-0002-4364-6085; Kjær, Helle Astrid/0000-0002-3781-9509; Gkinis, Vasileios/0000-0002-5910-1549; Braun, Martin/0000-0003-0857-6760; Steffensen, Jorgen Peder/0000-0002-5516-1093; Bigler, Matthias/0000-0003-0184-4013; Bishnoi, Mamta/0000-0003-4987-0536; Vallelonga, Paul/0000-0003-1055-7235; Braun, Martin/0000-0001-5364-8140; Goto-Azuma, Kumiko/0000-0003-0992-1079; Fujita, Shuji/0000-0003-0127-0777; Simonsen, Marius Folden/0000-0002-1525-034X; Vinther, Bo/0000-0002-6078-771X; Kawamura, Kenji/0000-0003-1163-700X</t>
  </si>
  <si>
    <t>Grants-in-Aid for Scientific Research [25241005, 15H01731, 15K12194, 26241011] Funding Source: KAKEN</t>
  </si>
  <si>
    <t>10.5194/cp-11-1127-2015</t>
  </si>
  <si>
    <t>CT0BQ</t>
  </si>
  <si>
    <t>WOS:000362459100001</t>
  </si>
  <si>
    <t>Bordiga, M; Henderiks, J; Tori, F; Monechi, S; Fenero, R; Legarda-Lisarri, A; Thomas, E</t>
  </si>
  <si>
    <t>Bordiga, M.; Henderiks, J.; Tori, F.; Monechi, S.; Fenero, R.; Legarda-Lisarri, A.; Thomas, E.</t>
  </si>
  <si>
    <t>Microfossil evidence for trophic changes during the Eocene-Oligocene transition in the South Atlantic (ODP Site 1263, Walvis Ridge)</t>
  </si>
  <si>
    <t>CALCAREOUS NANNOFOSSIL BIOSTRATIGRAPHY; EQUATORIAL PACIFIC PRODUCTIVITY; DEEP-SEA; ANTARCTIC GLACIATION; MIDDLE EOCENE; FORAMINIFERAL TURNOVER; CARBONATE DISSOLUTION; DISTRIBUTION PATTERNS; CALCITE DISSOLUTION; ABSOLUTE ABUNDANCES</t>
  </si>
  <si>
    <t>The biotic response of calcareous nannoplankton to environmental and climatic changes during the Eocene-Oligocene transition was investigated at a high resolution at Ocean Drilling Program (ODP) Site 1263 (Walvis Ridge, southeast Atlantic Ocean) and compared with a lower-resolution benthic foraminiferal record. During this time interval, global climate, which had been warm under high levels of atmospheric CO2 (pCO(2)) during the Eocene, transitioned into the cooler climate of the Oligocene, at overall lower pCO(2). At Site 1263, the absolute nannofossil abundance (coccoliths per gram of sediment; N g(-1)) and the mean coccolith size decreased distinctly after the E-O boundary (EOB; 33.89 Ma), mainly due to a sharp decline in abundance of large-sized Reticulofenestra and Dictyococcites, occurring within a time span of similar to 47 kyr. Carbonate dissolution did not vary much across the EOB; thus, the decrease in abundance and size of nannofossils may reflect an overall decrease in their export production, which could have led to variations in the food availability for benthic foraminifers. The benthic foraminiferal assemblage data are consistent with a global decline in abundance of rectilinear species with complex apertures in the latest Eocene (similar to 34.5 Ma), potentially reflecting changes in the food source, i.e., phytoplankton. This was followed by a transient increased abundance of species indicative of seasonal delivery of food to the sea floor (Epistominella spp.; similar to 33.9-33.4 Ma), with a short peak in overall food delivery at the EOB (buliminid taxa; similar to 33.8 Ma). Increased abundance of Nuttallides umbonifera (at similar to 33.3 Ma) indicates the presence of more corrosive bottom waters and possibly the combined arrival of less food at the sea floor after the second step of cooling (Step 2). The most important changes in the calcareous nannofossil and benthic communities occurred similar to 120 kyr after the EOB. There was no major change in nannofossil abundance or assemblage composition at Site 1263 after Step 2 although benthic foraminifera indicate more corrosive bottom waters during this time. During the onset of latest-Eocene-earliest-Oligocene climate change, marine phytoplankton thus showed high sensitivity to fast-changing conditions as well as to a possibly enhanced, pulsed nutrient supply and to the crossing of a climatic threshold (e.g., pCO(2) decline, high-latitude cooling and changes in ocean circulation).</t>
  </si>
  <si>
    <t>[Bordiga, M.; Henderiks, J.; Legarda-Lisarri, A.] Uppsala Univ, Dept Earth Sci, S-75236 Uppsala, Sweden; [Tori, F.; Monechi, S.] Univ Florence, Dipartimento Sci Terra, I-50121 Florence, Italy; [Fenero, R.; Legarda-Lisarri, A.] Univ Zaragoza, Dept Ciencias Tierra, E-50009 Zaragoza, Spain; [Fenero, R.; Legarda-Lisarri, A.] Univ Zaragoza, Inst Univ Invest Ciencias Ambientales Aragon, E-50009 Zaragoza, Spain; [Thomas, E.] Yale Univ, Dept Geol &amp; Geophys, New Haven, CT 06520 USA; [Thomas, E.] Wesleyan Univ, Dept Earth &amp; Environm Sci, Middletown, CT 06459 USA</t>
  </si>
  <si>
    <t>Uppsala University; University of Florence; University of Zaragoza; University of Zaragoza; Yale University; Wesleyan University</t>
  </si>
  <si>
    <t>Bordiga, M (corresponding author), Uppsala Univ, Dept Earth Sci, Villavagen 16, S-75236 Uppsala, Sweden.</t>
  </si>
  <si>
    <t>manuela.bordiga@geo.uu.se</t>
  </si>
  <si>
    <t>Henderiks, Jorijntje/JGL-6527-2023; Henderiks, Jorijntje/ABB-1080-2020; Thomas, Ellen/JVO-1734-2024; monechi, simonetta/AAN-6148-2020; Bordiga, Manuela/B-1405-2017</t>
  </si>
  <si>
    <t>Thomas, Ellen/0000-0002-7141-9904; Bordiga, Manuela/0000-0003-0884-2686; Henderiks, Jorijntje/0000-0001-9486-6275; Legarda-Lisarri, Alba/0000-0003-3007-7976</t>
  </si>
  <si>
    <t>US National Science Foundation; Swedish Research Council (VR) [2011-4866]; MIUR-PRIN [2010X3PP8J 005]; Spanish Ministry of Science and Technology (FEDER funds) [CGL2011-23077, BES-2012-058945]; Geological Society of America and the Leverhulme Foundation (UK)</t>
  </si>
  <si>
    <t>US National Science Foundation(National Science Foundation (NSF)); Swedish Research Council (VR)(Swedish Research Council); MIUR-PRIN(Ministry of Education, Universities and Research (MIUR)Research Projects of National Relevance (PRIN)); Spanish Ministry of Science and Technology (FEDER funds)(Spanish Government); Geological Society of America and the Leverhulme Foundation (UK)(Leverhulme Trust)</t>
  </si>
  <si>
    <t>The authors are grateful to the International Ocean Discovery Program (IODP) core repository in Bremen for providing samples for this research. The ODP (now IODP) was sponsored by the US National Science Foundation and participating countries under management of the Joint Oceanographic Institutions (JOI), Inc. We are thankful to Tom Dunkley Jones, Giuliana Villa and an anonymous reviewer for their constructive suggestions. We also thank Paul Pearson for his helpful comments. The project was financially supported by the Swedish Research Council (VR grant 2011-4866 to J. Henderiks), by MIUR-PRIN grant 2010X3PP8J 005 (to S. Monechi), and by Spanish Ministry of Science and Technology (FEDER funds) Project CGL2011-23077 (grant BES-2012-058945 to A. Legarda-Lisarri). E. Thomas acknowledges the Geological Society of America and the Leverhulme Foundation (UK) for research support. We are grateful to Davide Persico and Nicolas Campione for discussions on the statistical approach and to Helen Coxall for helpful suggestions on the oxygen isotope stratigraphy.</t>
  </si>
  <si>
    <t>10.5194/cp-11-1249-2015</t>
  </si>
  <si>
    <t>WOS:000362459100009</t>
  </si>
  <si>
    <t>Jonassen, MO; Tisler, P; Altstädter, B; Scholtz, A; Vihma, T; Lampert, A; König-Langlo, G; Lüpkes, C</t>
  </si>
  <si>
    <t>Jonassen, Marius O.; Tisler, Priit; Altstaedter, Barbara; Scholtz, Andreas; Vihma, Timo; Lampert, Astrid; Koenig-Langlo, Gert; Luepkes, Christof</t>
  </si>
  <si>
    <t>Application of remotely piloted aircraft systems in observing the atmospheric boundary layer over Antarctic sea ice in winter</t>
  </si>
  <si>
    <t>POLAR RESEARCH</t>
  </si>
  <si>
    <t>Remotely piloted aircraft systems; unmanned aerial vehicles; Weddell Sea; polar meteorology; Antarctic; boundary layer meteorology</t>
  </si>
  <si>
    <t>WESTERN WEDDELL SEA; DRAG COEFFICIENTS; VALIDATION; AUTUMN; DRIFT; SUMO</t>
  </si>
  <si>
    <t>The main aim of this paper is to explore the potential of combining measurements from fixed-and rotary-wing remotely piloted aircraft systems (RPAS) to complement data sets from radio soundings as well as ship and sea-ice-based instrumentation for atmospheric boundary layer (ABL) profiling. This study represents a proof-of-concept of RPAS observations in the Antarctic sea-ice zone. We present first results from the RV Polarstern Antarctic winter expedition in the Weddell Sea in June-August 2013, during which three RPAS were operated to measure temperature, humidity and wind; a fixed-wing small unmanned meteorological observer (SUMO), a fixed-wing meteorological mini-aerial vehicle, and an advanced mission and operation research quadcopter. A total of 86 RPAS flights showed a strongly varying ABL structure ranging from slightly unstable temperature stratification near the surface to conditions with strong surface-based temperature inversions. The RPAS observations supplement the regular upper air soundings and standard meteorological measurements made during the campaign. The SUMO and quadcopter temperature profiles agree very well and, excluding cases with strong temperature inversions, 70% of the variance in the difference between the SUMO and quadcopter temperature profiles can be explained by natural, temporal, temperature fluctuations. Strong temperature inversions cause the largest differences, which are induced by SUMO's high climb rates and slow sensor response. Under such conditions, the quadcopter, with its slower climb rate and faster sensor, is very useful in obtaining accurate temperature profiles in the lowest 100 m above the sea ice.</t>
  </si>
  <si>
    <t>[Jonassen, Marius O.; Tisler, Priit; Vihma, Timo] Finnish Meteorol Inst, FI-00101 Helsinki, Finland; [Jonassen, Marius O.; Vihma, Timo] Univ Ctr Svalbard, Dept Arctic Geophys, NO-9171 Longyearbyen, Norway; [Jonassen, Marius O.] Univ Bergen, Inst Geophys, NO-5020 Bergen, Norway; [Altstaedter, Barbara; Lampert, Astrid] Tech Univ Carolo Wilhelmina Braunschweig, Inst Flight Guidance, DE-38108 Braunschweig, Germany; [Scholtz, Andreas] Tech Univ Carolo Wilhelmina Braunschweig, Inst Aerosp Syst, DE-38108 Braunschweig, Germany; [Koenig-Langlo, Gert; Luepkes, Christof] Alfred Wegener Inst, Helmholtz Ctr Polar &amp; Marine Res, DE-27515 Bremerhaven, Germany</t>
  </si>
  <si>
    <t>Finnish Meteorological Institute; University Centre Svalbard (UNIS); University of Bergen; Braunschweig University of Technology; Braunschweig University of Technology; Helmholtz Association; Alfred Wegener Institute, Helmholtz Centre for Polar &amp; Marine Research</t>
  </si>
  <si>
    <t>Jonassen, MO (corresponding author), Univ Ctr Svalbard, POB 156, NO-9171 Longyearbyen, Norway.</t>
  </si>
  <si>
    <t>marius.jonassen@unis.no</t>
  </si>
  <si>
    <t>Vihma, Timo/ABC-9771-2020; Konig-Langlo, Gert/K-5048-2012; Lupkes, Christof/B-4897-2014</t>
  </si>
  <si>
    <t>Konig-Langlo, Gert/0000-0002-6100-4107; Harm-Altstadter, Barbara/0000-0002-3216-550X; Lupkes, Christof/0000-0001-6518-0717</t>
  </si>
  <si>
    <t>Academy of Finland [263918]; Academy of Finland (AKA) [263918] Funding Source: Academy of Finland (AKA)</t>
  </si>
  <si>
    <t>The work has been part of the Antarctic Meteorology and its Interaction with the Cryosphere and the Ocean project, funded by the Academy of Finland (contract no. 263918). The authors thank Martin Muller and Christian Lindenberg for development and technical support on the SUMO system. The authors are grateful to Burkhard Wrenger and Jens Dunnermann for providing the AMOR quadcopter and the training necessary to operate the system. The authors also thank Mario Hoppmann for providing the photographs. The authors acknowledge the Alfred Wegener Institute for the opportunity to participate in the ANT-XXIX/6 winter expedition and the RV Polarstern crew for assistance during the research cruise.</t>
  </si>
  <si>
    <t>OPEN ACADEMIA AB</t>
  </si>
  <si>
    <t>SPANGA</t>
  </si>
  <si>
    <t>STORMBYVAGEN 6, SPANGA, SE-163 55, SWEDEN</t>
  </si>
  <si>
    <t>0800-0395</t>
  </si>
  <si>
    <t>1751-8369</t>
  </si>
  <si>
    <t>POLAR RES</t>
  </si>
  <si>
    <t>Polar Res.</t>
  </si>
  <si>
    <t>10.3402/polar.v34.25651</t>
  </si>
  <si>
    <t>Ecology; Geosciences, Multidisciplinary; Oceanography</t>
  </si>
  <si>
    <t>Environmental Sciences &amp; Ecology; Geology; Oceanography</t>
  </si>
  <si>
    <t>CT1IC</t>
  </si>
  <si>
    <t>WOS:000362551000001</t>
  </si>
  <si>
    <t>Haapkylä, J; Melbourne-Thomas, J; Flavell, M</t>
  </si>
  <si>
    <t>Haapkylae, J.; Melbourne-Thomas, J.; Flavell, M.</t>
  </si>
  <si>
    <t>The association between coral communities and disease assemblages in the Wakatobi Marine National Park, south-eastern Sulawesi, Indonesia</t>
  </si>
  <si>
    <t>MARINE AND FRESHWATER RESEARCH</t>
  </si>
  <si>
    <t>coral disease dynamics; disease drivers</t>
  </si>
  <si>
    <t>GREAT-BARRIER-REEF; BLACK BAND DISEASE; CLIMATE-CHANGE; NUTRIENT ENRICHMENT; PREVALENCE; HEALTH; ISLAND; HOST; PORITES; TRANSMISSION</t>
  </si>
  <si>
    <t>The relationship between coral community structure and disease prevalence is poorly understood, particularly in the Coral Triangle. Improved understanding of this relationship will assist in identifying assemblages that might be particularly vulnerable to disease, and in predicting possible future impacts. Here, we report results from the last 2 years (2010 and 2011) of a 4-year coral disease-monitoring program (2005, 2007, 2010, 2011) in the Wakatobi Marine National Park (Indonesia), and evaluate changes in total disease prevalence and coral cover since 2005. A comparison with previously published results from 2005 and 2007 indicates that the number of coral diseases increased from two to eight and total disease prevalence tripled between 2005 and 2011. We observed a dramatic decline in coral cover and an increase in disease prevalence at a site with a unique community of foliose corals. However, because of the 3-year period between surveys (2007, 2010), it is likely that the peak of the disease event was not observed. While multi-year studies provide useful insights into the relationships between community structure and disease, our results emphasise how determining the drivers of change in remote reef locations is especially challenging if events such as disease outbreaks are missed.</t>
  </si>
  <si>
    <t>[Haapkylae, J.; Flavell, M.] James Cook Univ, Sch Marine &amp; Trop Biol, Townsville, Qld 4811, Australia; [Haapkylae, J.; Flavell, M.] James Cook Univ, ARC Ctr Excellence Coral Reef Studies, Townsville, Qld 4811, Australia; [Melbourne-Thomas, J.] Australian Antarctic Div, Kingston, Tas 7005, Australia; [Melbourne-Thomas, J.] Univ Tasmania, Antarct Climate &amp; Ecosyst Cooperat Res Ctr, Hobart, Tas 7001, Australia</t>
  </si>
  <si>
    <t>James Cook University; James Cook University; Australian Antarctic Division; University of Tasmania</t>
  </si>
  <si>
    <t>Haapkylä, J (corresponding author), James Cook Univ, Sch Marine &amp; Trop Biol, Townsville, Qld 4811, Australia.</t>
  </si>
  <si>
    <t>anna.haapkyla@my.jcu.edu.au</t>
  </si>
  <si>
    <t>Melbourne-Thomas, Jess/N-2437-2019</t>
  </si>
  <si>
    <t>Melbourne-Thomas, Jess/0000-0001-6585-876X</t>
  </si>
  <si>
    <t>Winifred Violet Scott Foundation</t>
  </si>
  <si>
    <t>We are grateful to the Winifred Violet Scott Foundation for providing the funding for this study. We thank Dr David Smith for allowing us to use his research permit that was provided by the Indonesian Institute of Sciences (LIPI). We thank the staff at the Hoga Research station for the logistical support provided during the surveys. We also thank Professor Bette Willis for her advice on the survey design.</t>
  </si>
  <si>
    <t>1323-1650</t>
  </si>
  <si>
    <t>1448-6059</t>
  </si>
  <si>
    <t>MAR FRESHWATER RES</t>
  </si>
  <si>
    <t>Mar. Freshw. Res.</t>
  </si>
  <si>
    <t>10.1071/MF14192</t>
  </si>
  <si>
    <t>Fisheries; Limnology; Marine &amp; Freshwater Biology; Oceanography</t>
  </si>
  <si>
    <t>CS2QY</t>
  </si>
  <si>
    <t>WOS:000361917400009</t>
  </si>
  <si>
    <t>Stöven, T; Tanhua, T; Hoppema, M; Bullister, JL</t>
  </si>
  <si>
    <t>Stoeven, T.; Tanhua, T.; Hoppema, M.; Bullister, J. L.</t>
  </si>
  <si>
    <t>Perspectives of transient tracer applications and limiting cases</t>
  </si>
  <si>
    <t>ANTHROPOGENIC CARBON; ATMOSPHERIC LIFETIMES; SULFUR-HEXAFLUORIDE; TIME DISTRIBUTIONS; MEDITERRANEAN SEA; GAS-EXCHANGE; MIXED-LAYER; WEDDELL SEA; OCEAN; VENTILATION</t>
  </si>
  <si>
    <t>Currently available transient tracers have different application ranges that are defined by their temporal input (chronological transient tracers) or their decay rate (radioactive transient tracers). Transient tracers range from tracers for highly ventilated water masses such as sulfur hexafluoride (SF6) through tritium (H-3) and chlorofluorocarbons (CFCs) up to tracers for less ventilated deep ocean basins such as argon-39 (Ar-39) and radiocarbon (C-14). In this context, highly ventilated water masses are defined as water masses that have been in contact with the atmosphere during the last decade. Transient tracers can be used to empirically constrain the transit time distribution (TTD), which can often be approximated with an inverse Gaussian (IG) distribution. The IG-TTD provides information about ventilation and the advective/diffusive characteristics of a water parcel. Here we provide an overview of commonly used transient tracer couples and the corresponding application range of the IG-TTD by using the new concept of validity areas. CFC-12, CFC-11 and SF6 data from three different cruises in the South Atlantic Ocean and Southern Ocean as well as Ar-39 data from the 1980s and early 1990s in the eastern Atlantic Ocean and the Weddell Sea are used to demonstrate this method. We found that the IG-TTD can be constrained along the Greenwich Meridian south to 46 degrees S, which corresponds to the Subantarctic Front (SAF) denoting the application limit. The Antarctic Intermediate Water (AAIW) describes the limiting water layer in the vertical. Conspicuous high or lower ratios between the advective and diffusive components describe the transition between the validity area and the application limit of the IG-TTD model rather than describing the physical properties of the water parcel. The combination of Ar-39 and CFC data places constraints on the IG-TTD in the deep water north of the SAF, but not beyond this limit.</t>
  </si>
  <si>
    <t>[Stoeven, T.; Tanhua, T.] Helmholtz Ctr Ocean Res Kiel, GEOMAR, Kiel, Germany; [Hoppema, M.] Helmholtz Ctr Polar &amp; Marine Res, Alfred Wegener Inst, Bremerhaven, Germany; [Bullister, J. L.] NOAA, Pacific Marine Environm Lab, Seattle, WA 98115 USA</t>
  </si>
  <si>
    <t>Helmholtz Association; GEOMAR Helmholtz Center for Ocean Research Kiel; Helmholtz Association; Alfred Wegener Institute, Helmholtz Centre for Polar &amp; Marine Research; National Oceanic Atmospheric Admin (NOAA) - USA</t>
  </si>
  <si>
    <t>Stöven, T (corresponding author), Helmholtz Ctr Ocean Res Kiel, GEOMAR, Kiel, Germany.</t>
  </si>
  <si>
    <t>tstoeven@geomar.de</t>
  </si>
  <si>
    <t>Tanhua, Toste/HLX-5402-2023; Hoppema, Mario/I-6286-2013</t>
  </si>
  <si>
    <t>Hoppema, Mario/0000-0002-2326-619X; Tanhua, Toste/0000-0002-0313-2557</t>
  </si>
  <si>
    <t>Deutsche Forschungsgemeinschaft (DFG) [TA 317/5, HO 4680/1]; EU (European Community) [264879]</t>
  </si>
  <si>
    <t>Deutsche Forschungsgemeinschaft (DFG)(German Research Foundation (DFG)); EU (European Community)</t>
  </si>
  <si>
    <t>This work was supported by the Deutsche Forschungsgemeinschaft (DFG) in the framework of the Antarctic Research with comparative investigations in Arctic ice areas priority program by a grant to T. Tanhua and M. Hoppema: Carbon and transient tracers dynamics: A bi-polar view on Southern Ocean eddies and the changing Arctic Ocean (TA 317/5, HO 4680/1). Partial support to T. Tanhua and M. Hoppema was received from EU FP7 project CARBOCHANGE: Changes in carbon uptake and emissions by oceans in a changing climate (European Community's 7th Framework Programme, grant agreement no. 264879). Support for J. Bullister was provided by NOAA's Climate Program Office. This is PMEL contribution no. 4316. We are grateful to the Alfred-Wegener-Institut for participation in the Eddy Pump Polarstern cruise. We are happy to acknowledge the great support by the master and crew of Polarstern, the chief scientist and the scientific party. Special thanks goes to Boie Bogner for his technical support during the ANT-XXVIII/3 cruise and David Wisegarver on the CLIVAR A13.5 cruise.</t>
  </si>
  <si>
    <t>10.5194/os-11-699-2015</t>
  </si>
  <si>
    <t>CS3KA</t>
  </si>
  <si>
    <t>WOS:000361971200003</t>
  </si>
  <si>
    <t>Richter, D; Pietryka, M; Matula, J</t>
  </si>
  <si>
    <t>Richter, Dorota; Pietryka, Miroslawa; Matula, Jan</t>
  </si>
  <si>
    <t>Relationship of cyanobacterial and algal assemblages with vegetation in the high Arctic tundra (West Spitsbergen, Svalbard Archipelago)</t>
  </si>
  <si>
    <t>Arctic; cyanobacteria; algae; community classification</t>
  </si>
  <si>
    <t>DESICCATION-TOLERANT CYANOBACTERIUM; NORTHERN VICTORIA LAND; FRESH-WATER; TERRESTRIAL ALGAE; NY-ALESUND; ISLAND; BIOGEOGRAPHY; ECOSYSTEMS; SUCCESSION; SURVIVAL</t>
  </si>
  <si>
    <t>The paper presents the results of a study of cyanobacteria and green algae assemblages occurring in various tundra types determined on the basis of mosses and vascular plants and habitat conditions. The research was carried out during summer in the years 2009-2013 on the north sea-coast of Hornsund fjord (West Spitsbergen, Svalbard Archipelago). 58 sites were studied in various tundra types differing in composition of vascular plants, mosses and in trophy and humidity. 141 cyanobacteria and green algae were noted in the research area in total. Cyanobacteria and green algae flora is a significant element of many tundra types and sometimes even dominate there. Despite its importance, it has not been hitherto taken into account in the description and classification of tundra. The aim of the present study was to demonstrate the legitimacy of using phycoflora in supplementing the descriptions of hitherto described tundra and distinguishing new tundra types. Numeric hierarchical-accumulative classification (MVSP 3.1 software) methods were used to analyze the cyanobacterial and algal assemblages and their co-relations with particular tundra types. The analysis determined dominant and distinctive species in the communities in concordance with ecologically diverse types of tundra. The results show the importance of these organisms in the composition of the vegetation of tundra types and their role in the ecosystems of this part of the Arctic.</t>
  </si>
  <si>
    <t>[Richter, Dorota; Pietryka, Miroslawa] Uniwersytet Przyrodniczy We Wroclawiu, Katedra Bot &amp; Ekol Roslin, PL-50363 Wroclaw, Poland; [Matula, Jan] Uniwersytet Przyrodniczy We Wroclawiu, Inst Biol, PL-51631 Wroclaw, Poland</t>
  </si>
  <si>
    <t>Wroclaw University of Environmental &amp; Life Sciences; Wroclaw University of Environmental &amp; Life Sciences</t>
  </si>
  <si>
    <t>Richter, D (corresponding author), Uniwersytet Przyrodniczy We Wroclawiu, Katedra Bot &amp; Ekol Roslin, Pl Grunwaldzki 24a, PL-50363 Wroclaw, Poland.</t>
  </si>
  <si>
    <t>dorota.richter@up.wroc.pl; miroslawa.pietryka@up.wroc.pl; jan.matula@up.wroc.pl</t>
  </si>
  <si>
    <t>Richter, Dorota/S-8850-2016</t>
  </si>
  <si>
    <t>Richter, Dorota/0000-0003-3024-9766; Pietryka, Miroslawa/0000-0002-2796-6097</t>
  </si>
  <si>
    <t>Polish National Polar Project [PBZ-KBN-108/PO4/2004]; TOPOCLIM [113/IPY/2007/01/f]; Polish Ministry of Science and Higher Education [81128]</t>
  </si>
  <si>
    <t>Polish National Polar Project; TOPOCLIM; Polish Ministry of Science and Higher Education(Ministry of Science and Higher Education, Poland)</t>
  </si>
  <si>
    <t>The study was supported by grants from the Polish National Polar Project (2005-2007): Biosphere - the Structure, Evolution and Dynamics of the Lithosphere, Cryosphere and Biosphere in the Arctic and Antarctic (PBZ-KBN-108/PO4/2004), TOPOCLIM no. 113/IPY/2007/01/f. and Polish Ministry of Science and Higher Education no. 81128.</t>
  </si>
  <si>
    <t>10.1515/popore-2015-0013</t>
  </si>
  <si>
    <t>CS2MT</t>
  </si>
  <si>
    <t>WOS:000361905900003</t>
  </si>
  <si>
    <t>Gielwanowska, I; Kellmann-Sopyla, W</t>
  </si>
  <si>
    <t>Gielwanowska, Irena; Kellmann-Sopyla, Wioleta</t>
  </si>
  <si>
    <t>Generative reproduction of Antarctic grasses, the native species Deschampsia antarctica Desv. and the alien species Poa annua L.</t>
  </si>
  <si>
    <t>Antarctic; hairgrass; annual bluegrass; chasmogamous flowers; cleistogamous flowers; embryo sac; diaspores</t>
  </si>
  <si>
    <t>KING-GEORGE-ISLAND; SOUTH SHETLAND; SEED BANK; GAMETOPHYTE; PLANTS</t>
  </si>
  <si>
    <t>The embryology of two species, Deschampsia antarctica, a native species, and Poa annua, an alien species in the Antarctic we studied. Flowering buds of plants growing in their natural habitats on King George Island and generative tissues of both plant species grown in a greenhouse were analyzed. Adaptations to autogamy and anemogamy were observed in the flower anatomy of both species. The microsporangia of the evaluated grasses produce a small number of three-celled pollen grains. Numerous pollen grains do not leave the microsporangium and germinate in the thecae. Deschampsia antarctica and P. annua plants harvested in Antarctica developed a particularly small number of microspores in pollen chambers. In D. antarctica, male gametophytes were produced at a faster rate: generative cells in pollen did not become detached from the wall of the pollen grain, they were not embedded in the cytoplasm of vegetative cells, and they divided into two sperm cells situated close to the wall. The monosporous Polygonum type of embryo sac development was observed in the studied species. The egg apparatus had typical polarization, and the filiform apparatus did not develop in synergids. Large antipodals with polyploidal nuclei were formed in the embryo sacs of D. antarctica and P. annua. Poa annua was characterized by numerous antipodal cells which formed antipodal tissue in the chalazal region of the embryo sac. Three distinct antipodals with atypical, lateral position in the vicinity of the egg apparatus were observed in D. antarctica. The diaspores of the investigated grass species were characterized by small size, low weight and species-specific primary and secondary sculpture of the testa and caryopsis coat.</t>
  </si>
  <si>
    <t>[Gielwanowska, Irena; Kellmann-Sopyla, Wioleta] Uniwersytet Warminsko Mazurski Olsztynie, Katedra Fizjol Genetyki &amp; Biotechnol Roslin, Wydzial Biol &amp; Biotechnol, PL-10719 Olsztyn, Poland; [Gielwanowska, Irena] Inst Biochem &amp; Biofizyki PAN, Zaklad Biol Antarktyki, PL-02141 Warsaw, Poland; [Gielwanowska, Irena] Polska Stacja Antarktyczna, PL-02141 Warsaw, Poland</t>
  </si>
  <si>
    <t>Polish Academy of Sciences; Institute of Biochemistry &amp; Biophysics - Polish Academy of Sciences</t>
  </si>
  <si>
    <t>Gielwanowska, I (corresponding author), Uniwersytet Warminsko Mazurski Olsztynie, Katedra Fizjol Genetyki &amp; Biotechnol Roslin, Wydzial Biol &amp; Biotechnol, Ul Oczapowskiego 1A, PL-10719 Olsztyn, Poland.</t>
  </si>
  <si>
    <t>Gielwanowska, Irena/0000-0002-9001-1285</t>
  </si>
  <si>
    <t>Ministry of Scientific Research and Higher Education [2013/09/B/NZ8/03293]</t>
  </si>
  <si>
    <t>Ministry of Scientific Research and Higher Education</t>
  </si>
  <si>
    <t>This research was supported by the Ministry of Scientific Research and Higher Education grant 2013/09/B/NZ8/03293. The authors would like to thank Ms Anna Gasek for her help in collecting the material and we would like to thank our reviewers and the Polish Polar Research editorial team for their work.</t>
  </si>
  <si>
    <t>10.1515/popore-2015-0016</t>
  </si>
  <si>
    <t>WOS:000361905900004</t>
  </si>
  <si>
    <t>Androsiuk, P; Chwedorzewska, K; Szandar, K; Gielwanowska, I</t>
  </si>
  <si>
    <t>Androsiuk, Piotr; Chwedorzewska, Katarzyna; Szandar, Kamil; Gielwanowska, Irena</t>
  </si>
  <si>
    <t>Genetic variability of Colobanthus quitensis from King George Island (Antarctica)</t>
  </si>
  <si>
    <t>Antarctic; Colobanthus quitensis; genetic diversity; iPBS</t>
  </si>
  <si>
    <t>TRANSPOSABLE ELEMENTS; COLD RESISTANCE; ABIOTIC STRESS; DIVERSITY; RETROTRANSPOSONS; DESV.; ADAPTATION; DYNAMICS; GENOME; PLANTS</t>
  </si>
  <si>
    <t>Antarctic pearlwort (Colobanthus quitensis) is one of the flowering plant species considered native to maritime Antarctica. Although the species was intensively analyzed towards its morphological, anatomical and physiological adaptation to local environment, its genetic variability is still poorly studied. In the presented study, a recently developed retrotransposon-based DNA marker system (inter Primer Binding Site - iPBS) was applied to assess the genetic diversity and differentiation of C. quitensis populations from King George Island (South Shetland Islands, West Antarctic). A total of 143 scoreable bands were detected using 7 iPBS primers among 122 plant specimens representing 8 populations. 55 (38.5%) bands were found polymorphic, with an average of 14.3% polymorphic fragments per primer. Nine of all observed fragments were represented as a private bands deployed unevenly among populations. Low genetic diversity (on average H-e = 0.040 and I = 0.061) and moderate population differentiation (F-ST = 0.164) characterize the analyzed material. Clustering based on PCoA revealed, that the populations located on the edges of the study area diverge from the central populations. The pattern of population differentiation corresponds well with their geographic location and the characteristics of the sampling sites. Due to the character of iPBS markers, the observed genetic variability of populations may be explained by the genome rearrangements caused by mobilization of mobile genetic elements in the response to various stress factors. Additionally, this study demonstrates the usefulness of iPBS markers for genetic diversity studies in wild species.</t>
  </si>
  <si>
    <t>[Androsiuk, Piotr; Szandar, Kamil; Gielwanowska, Irena] Uniwersytet Warminsko Mazurski Olsztynie, Katedra Fizjol Genetyki &amp; Biotechnol Roslin, Wydzial Biol &amp; Biotechnol, PL-10719 Olsztyn, Poland; [Chwedorzewska, Katarzyna; Gielwanowska, Irena] Polish Acad Sci, Zaklad Biol Antarktyki, Inst Biochem &amp; Biofizyki, PL-02106 Warsaw, Poland</t>
  </si>
  <si>
    <t>Chwedorzewska, K (corresponding author), Polish Acad Sci, Zaklad Biol Antarktyki, Inst Biochem &amp; Biofizyki, Ul Pawinskiego 5a, PL-02106 Warsaw, Poland.</t>
  </si>
  <si>
    <t>kchwedorzewska@o2.pl</t>
  </si>
  <si>
    <t>Chwedorzewska, Katarzyna/M-9721-2019; Chwedorzewska, Katarzyna J/A-9480-2008; Androsiuk, Piotr/M-6175-2019</t>
  </si>
  <si>
    <t>Chwedorzewska, Katarzyna/0000-0001-6860-3666; Androsiuk, Piotr/0000-0002-1851-3192; Gielwanowska, Irena/0000-0002-9001-1285</t>
  </si>
  <si>
    <t>Polish Ministry of Scientific Research and Higher Education grant [2013/09/B/NZ8/03293]</t>
  </si>
  <si>
    <t>Polish Ministry of Scientific Research and Higher Education grant</t>
  </si>
  <si>
    <t>Part of this research was supported by the Polish Ministry of Scientific Research and Higher Education grant 2013/09/B/NZ8/03293. We thank anonymous reviewers for friendly, helpful, constructive criticism and remarks which have greatly improved our manuscript.</t>
  </si>
  <si>
    <t>10.1515/popore-2015-0017</t>
  </si>
  <si>
    <t>WOS:000361905900005</t>
  </si>
  <si>
    <t>Gryz, P; Korczak-Abshire, M; Gerlée, A</t>
  </si>
  <si>
    <t>Gryz, Piotr; Korczak-Abshire, Malgorzata; Gerlee, Alina</t>
  </si>
  <si>
    <t>First record of the Austral Negrito (Aves: Passeriformes) from the South Shetlands, Antarctica</t>
  </si>
  <si>
    <t>Antarctica; King George Island; avifauna monitoring; Lessonia rufa; vagrant birds</t>
  </si>
  <si>
    <t>The order Passeriformes is the most successful group of birds on Earth, however, its representatives are rare visitors beyond the Polar Front zone. Here we report a photo-documented record of an Austral Negrito (Lessonia rufa), first known occurrence of this species in the South Shetland Islands and only the second such an observation in the Antarctic region. This record was made at Lions Rump, King George Island, part of the Antarctic Specially Protected Area No. 151 (ASPA 151). There is no direct evidence of how the individual arrived at Lions Rump, but ship assistance cannot be excluded.</t>
  </si>
  <si>
    <t>[Gryz, Piotr; Korczak-Abshire, Malgorzata] Inst Biochem &amp; Biofizyki PAN, Zaklad Biol Antarktyki, PL-02106 Warsaw, Poland; [Gryz, Piotr] Inst Paleobiol PAN, PL-00818 Warsaw, Poland; [Gerlee, Alina] Uniwersytet Warszawski, Zaklad Geoekol, Wydzial Geog &amp; Studiow Reg Nych, PL-00927 Warsaw, Poland</t>
  </si>
  <si>
    <t>Polish Academy of Sciences; Institute of Biochemistry &amp; Biophysics - Polish Academy of Sciences; Polish Academy of Sciences; Institute of Paleobiology of the Polish Academy of Sciences; University of Warsaw</t>
  </si>
  <si>
    <t>Korczak-Abshire, M (corresponding author), Inst Biochem &amp; Biofizyki PAN, Zaklad Biol Antarktyki, Ul Pawinskiego 5a, PL-02106 Warsaw, Poland.</t>
  </si>
  <si>
    <t>piotrgryz78@gmail.com; mka@ibb.waw.pl; a.gerlee@uw.edu.pl</t>
  </si>
  <si>
    <t>Korczak-Abshire, Malgorzata/AAA-1563-2020</t>
  </si>
  <si>
    <t>Korczak-Abshire, Malgorzata/0000-0001-7695-0588; Gerlee, Alina/0000-0002-2123-7336</t>
  </si>
  <si>
    <t>Polish-Norwegian Research Programme [197810]</t>
  </si>
  <si>
    <t>Polish-Norwegian Research Programme</t>
  </si>
  <si>
    <t>The authors wish to thank Dr Krzysztof Pabis who was consulted on invertebrates as a food source of L. rufa. The authors would also like to thank two reviewers Dr Alexander C. Lees and Dr hab. Piotr Jadwiszczak for their critical comments and valuable suggestions, which helped to improve this manuscript. This research was partially financed from the Polish-Norwegian Research Programme operated by the National Centre for Research and Development under the Norwegian Financial Mechanism 2009-2014 in the frame of Project Contract No 197810.</t>
  </si>
  <si>
    <t>10.1515/popore-2015-0018</t>
  </si>
  <si>
    <t>WOS:000361905900006</t>
  </si>
  <si>
    <t>Muñoz-Leal, S; González-Acuña, D</t>
  </si>
  <si>
    <t>Munoz-Leal, Sebastian; Gonzalez-Acuna, Daniel</t>
  </si>
  <si>
    <t>The tick Ixodes uriae (Acari: Ixodidae): Hosts, geographical distribution, and vector roles</t>
  </si>
  <si>
    <t>TICKS AND TICK-BORNE DISEASES</t>
  </si>
  <si>
    <t>Geographical distribution; Ixodes uriae; Hosts; Borrelia; Arboviruses</t>
  </si>
  <si>
    <t>PICK-CAMB 1878; RISSA-TRIDACTYLA COLONIES; ZALIV TERPENIYA VIRUS; LYME-DISEASE BORRELIA; GROUP-B ARBOVIRUS; SEABIRD TICK; GENETIC-STRUCTURE; BORNE VIRUSES; ANTARCTIC PENINSULA; TULENIY-ISLAND</t>
  </si>
  <si>
    <t>The seabird tick Ixodes uriae White 1852, has the most extensive geographical distribution of all tick species, including Afrotropical, Australasian, Nearctic, Neotropical and Palearctic Zoogeographic Regions. Additionally, this tick species parasitizes a wide range of seabirds and constitutes a host for several viral and bacterial agents. Considering the current biological knowledge about this tick species, in this article we list localities, hosts, tick-borne microorganisms and viruses transmitted by I. uriae described in the literature and include new geographical records. (C) 2015 Elsevier GmbH. All rights reserved.</t>
  </si>
  <si>
    <t>[Munoz-Leal, Sebastian] Univ Sao Paulo, Dept Med Vet Prevent &amp; Saude Anim, Fac Med Vet &amp; Zootecnia, BR-05508270 Sao Paulo, SP, Brazil; [Munoz-Leal, Sebastian; Gonzalez-Acuna, Daniel] Univ Concepcion, Fac Ciencias Vet, Dept Ciencias Pecuarias, Chillan 3780000, Biobio, Chile</t>
  </si>
  <si>
    <t>Universidade de Sao Paulo; Universidad de Concepcion</t>
  </si>
  <si>
    <t>González-Acuña, D (corresponding author), Univ Concepcion, Fac Ciencias Vet, Dept Ciencias Pecuarias, Ave Vicente Mendez 595, Chillan 3780000, Biobio, Chile.</t>
  </si>
  <si>
    <t>seba.munozleal@gmail.com; danigonz@udec.cl</t>
  </si>
  <si>
    <t>Munoz-Leal, Sebastian/C-5406-2018</t>
  </si>
  <si>
    <t>Munoz-Leal, Sebastian/0000-0003-3547-6466</t>
  </si>
  <si>
    <t>INACH [T-27-10, T-12-13]; grant Beca Chile Doctorado en el Extranjero [72140079]</t>
  </si>
  <si>
    <t>INACH; grant Beca Chile Doctorado en el Extranjero</t>
  </si>
  <si>
    <t>The authors wish to thank Alberto A. Guglielmone, Marcelo Labruna and Santiago Nava for assisting with the review of the literature. We are grateful to Professor Zdenek Hubalek for his valuable advice about Uukuniemi tick-borne viruses in Europe. The collection of new data from Antarctica was funded by INACH project T-27-10 and T-12-13. Sebastian Munoz Leal was funded by the grant Beca Chile Doctorado en el Extranjero No 72140079.</t>
  </si>
  <si>
    <t>1877-959X</t>
  </si>
  <si>
    <t>1877-9603</t>
  </si>
  <si>
    <t>TICKS TICK-BORNE DIS</t>
  </si>
  <si>
    <t>Ticks Tick-Borne Dis.</t>
  </si>
  <si>
    <t>10.1016/j.ttbdis.2015.07.014</t>
  </si>
  <si>
    <t>Infectious Diseases; Microbiology; Parasitology</t>
  </si>
  <si>
    <t>CS5UM</t>
  </si>
  <si>
    <t>WOS:000362143800023</t>
  </si>
  <si>
    <t>Shah, RM</t>
  </si>
  <si>
    <t>Abbas, MY</t>
  </si>
  <si>
    <t>Shah, Rohani Mohd</t>
  </si>
  <si>
    <t>Public Perceptions of Antarctic Values: Shaping future environmental protection policy</t>
  </si>
  <si>
    <t>ASIA PACIFIC INTERNATIONAL CONFERENCE ON ENVIRONMENT-BEHAVIOUR STUDIES (AICE-BS 2014BERLIN)</t>
  </si>
  <si>
    <t>5th Annual Asia Pacific International Conference on Environment-Behaviour Studies (AicE-Bs) - Public Participation - Shaping a Sustainable Future</t>
  </si>
  <si>
    <t>FEB 24-26, 2014</t>
  </si>
  <si>
    <t>Otto von Guericke Univ Magdeburg, Inst Psychol, Environm Psychol Div, Berlin, GERMANY</t>
  </si>
  <si>
    <t>Otto von Guericke Univ Magdeburg, Inst Psychol, Environm Psychol Div</t>
  </si>
  <si>
    <t>Public participation; antarctica values; Malaysia; principle 10 of Rio declaration</t>
  </si>
  <si>
    <t>The natural environment of Antarctica represents 3 unique values which are recognised by Antarctica scientists through The Madrid Protocol 1991; its wilderness, its aesthetic values and its scientific values. These values are essential to be protected for the future generation. A survey is necessary to show that the public understood these core values in support of the scientist's demands for these values to be protected. The findings from this survey will confirm the indicative notions earlier. This paper will discuss the factors selected in determining the public perceptions of Antarctic Value to the policy makers in constructing The State Environmental Protection Policy. (C) 2015 The Authors. Published by Elsevier Ltd.</t>
  </si>
  <si>
    <t>Univ Teknol MARA, Fac Law, Shah Alam 40450, Selangor, Malaysia</t>
  </si>
  <si>
    <t>Universiti Teknologi MARA</t>
  </si>
  <si>
    <t>Shah, RM (corresponding author), Univ Teknol MARA, Fac Law, Shah Alam 40450, Selangor, Malaysia.</t>
  </si>
  <si>
    <t>10.1016/j.sbspro.2014.10.226</t>
  </si>
  <si>
    <t>Environmental Studies; Social Sciences, Interdisciplinary</t>
  </si>
  <si>
    <t>Environmental Sciences &amp; Ecology; Social Sciences - Other Topics</t>
  </si>
  <si>
    <t>BD5LQ</t>
  </si>
  <si>
    <t>WOS:000361569200022</t>
  </si>
  <si>
    <t>Kariminia, S; Ahmad, SS; Saberi, A</t>
  </si>
  <si>
    <t>Kariminia, Shahab; Ahmad, Sabarinah Sh.; Saberi, Ahmadreza</t>
  </si>
  <si>
    <t>Microclimatic Conditions of an Urban Square: Role of built environment and geometry</t>
  </si>
  <si>
    <t>ASIAN CONFERENCE ON ENVIRONMENT-BEHAVIOUR STUDIES (ACE-BS 2014 SEOUL)</t>
  </si>
  <si>
    <t>6th International Annual Asian Conference on Environment-Behaviour Studies (AcE-Bs) - Environmental Settings in the Era of Urban Regeneration</t>
  </si>
  <si>
    <t>AUG 25-27, 2014</t>
  </si>
  <si>
    <t>Chung Ang Univ, Dept Urban Design &amp; Studies, Seoul, SOUTH KOREA</t>
  </si>
  <si>
    <t>Chung Ang Univ, Dept Urban Design &amp; Studies</t>
  </si>
  <si>
    <t>Thermal comfort; urban square; geometry; built environment</t>
  </si>
  <si>
    <t>ANTARCTIC TOURISM; THERMAL COMFORT; SPACES</t>
  </si>
  <si>
    <t>Geometry plays a dominant role in thermal situations within city structures. This study aims to seek how this role affects thermal comfort of the visitors in an urban square. Computer simulations were performed along with physical measurements in an urban square during peak hot conditions of summer in Isfahan, Iran. In addition to the influence of built environment inside the square, the results confirmed the role of geometry on thermal conditions. The amelioration effect for the aspect ratio was higher than that of the orientation. Findings are useful for urban design strategies dealing with thermal comfort. (C) 2015 Published by Elsevier Ltd.</t>
  </si>
  <si>
    <t>[Kariminia, Shahab; Ahmad, Sabarinah Sh.; Saberi, Ahmadreza] Univ Teknol MARA, Fac Architecture Planning &amp; Surveying, Shah Alam 40450, Malaysia; [Ahmad, Sabarinah Sh.] Univ Teknol MARA, Community Res Green Technol &amp; Sustainable Dev, Shah Alam 40450, Malaysia</t>
  </si>
  <si>
    <t>Universiti Teknologi MARA; Universiti Teknologi MARA</t>
  </si>
  <si>
    <t>Kariminia, S (corresponding author), Univ Teknol MARA, Fac Architecture Planning &amp; Surveying, Shah Alam 40450, Malaysia.</t>
  </si>
  <si>
    <t>sh.kariminia@salam.uitm.edu.my</t>
  </si>
  <si>
    <t>Ahmad, Sabarinah/J-7659-2015; S.Band, Shahab/AAD-3311-2021; Ahmad, Sabarinah Sheikh/ABD-3419-2020; Sh.Ahmad, Sabarinah/AAD-8652-2019</t>
  </si>
  <si>
    <t>Ahmad, Sabarinah/0000-0002-9405-045X; Sh.Ahmad, Sabarinah/0000-0002-9405-045X</t>
  </si>
  <si>
    <t>10.1016/j.sbspro.2015.01.074</t>
  </si>
  <si>
    <t>BD5LR</t>
  </si>
  <si>
    <t>WOS:000361570800074</t>
  </si>
  <si>
    <t>Livesey, NJ; Santee, ML; Manney, GL</t>
  </si>
  <si>
    <t>Livesey, N. J.; Santee, M. L.; Manney, G. L.</t>
  </si>
  <si>
    <t>A Match-based approach to the estimation of polar stratospheric ozone loss using Aura Microwave Limb Sounder observations</t>
  </si>
  <si>
    <t>IN-SITU MEASUREMENTS; ARCTIC WINTER; SATELLITE-OBSERVATIONS; NITRIC-ACID; MLS OBSERVATIONS; UARS DATA; EOS MLS; DEPLETION; VORTEX; TRANSPORT</t>
  </si>
  <si>
    <t>The well-established Match approach to quantifying chemical destruction of ozone in the polar lower stratosphere is applied to ozone observations from the Microwave Limb Sounder (MLS) on NASA's Aura spacecraft. Quantification of ozone loss requires distinguishing transport-and chemically induced changes in ozone abundance. This is accomplished in the Match approach by examining cases where trajectories indicate that the same air mass has been observed on multiple occasions. The method was pioneered using ozonesonde observations, for which hundreds of matched ozone observations per winter are typically available. The dense coverage of the MLS measurements, particularly at polar latitudes, allows matches to be made to thousands of observations each day. This study is enabled by recently developed MLS Lagrangian trajectory diagnostic (LTD) support products. Sensitivity studies indicate that the largest influence on the ozone loss estimates are the value of potential vorticity (PV) used to define the edge of the polar vortex (within which matched observations must lie) and the degree to which the PV of an air mass is allowed to vary between matched observations. Applying Match calculations to MLS observations of nitrous oxide, a long-lived tracer whose expected rate of change is negligible on the weekly to monthly timescales considered here, enables quantification of the impact of transport errors on the Match-based ozone loss estimates. Our loss estimates are generally in agreement with previous estimates for selected Arctic winters, though indicating smaller losses than many other studies. Arctic ozone losses are greatest during the 2010/11 winter, as seen in prior studies, with 2.0 ppmv (parts per million by volume) loss estimated at 450 K potential temperature (similar to 18 km altitude). As expected, Antarctic winter ozone losses are consistently greater than those for the Arctic, with less interannual variability (e.g., ranging between 2.3 and 3.0 ppmv at 450 K). This study exemplifies the insights into atmospheric processes that can be obtained by applying the Match methodology to a densely sampled observation record such as that from Aura MLS.</t>
  </si>
  <si>
    <t>[Livesey, N. J.; Santee, M. L.] CALTECH, Jet Prop Lab, Pasadena, CA 91125 USA; [Manney, G. L.] NorthWest Res Associates, Socorro, NM USA; [Manney, G. L.] New Mexico Inst Min &amp; Technol, Socorro, NM 87801 USA</t>
  </si>
  <si>
    <t>National Aeronautics &amp; Space Administration (NASA); NASA Jet Propulsion Laboratory (JPL); California Institute of Technology; NorthWest Research Associates; New Mexico Institute of Mining Technology</t>
  </si>
  <si>
    <t>Livesey, NJ (corresponding author), CALTECH, Jet Prop Lab, Pasadena, CA 91125 USA.</t>
  </si>
  <si>
    <t>nathaniel.j.livesey@jpl.nasa.gov</t>
  </si>
  <si>
    <t>Santee, MIchelle/R-5762-2019; Livesey, Nathaniel/AGQ-7257-2022; Manney, Gloria/JED-7207-2023</t>
  </si>
  <si>
    <t>10.5194/acp-15-9945-2015</t>
  </si>
  <si>
    <t>CR7YH</t>
  </si>
  <si>
    <t>WOS:000361567600013</t>
  </si>
  <si>
    <t>Jaffal, A; Betoulle, S; Biagianti-Risbourg, S; Terreau, A; Sanchez, W; Paris-Palacios, S</t>
  </si>
  <si>
    <t>Jaffal, Ali; Betoulle, Stephane; Biagianti-Risbourg, Sylvie; Terreau, Alexandre; Sanchez, Wilfried; Paris-Palacios, Severine</t>
  </si>
  <si>
    <t>Heavy metal contamination and hepatic toxicological responses in brown trout (Salmo trutta) from the Kerguelen Islands</t>
  </si>
  <si>
    <t>Brown trout; freshwater; fish; sub-Antarctic; liver; biomarkers</t>
  </si>
  <si>
    <t>FRESH-WATER FISH; ANTIOXIDANT ENZYME-ACTIVITIES; BRACHYDANIO-RERIO TELEOSTEI; RAINBOW-TROUT; 3-SPINED STICKLEBACK; ONCORHYNCHUS-MYKISS; TRACE-ELEMENTS; SALVELINUS-FONTINALIS; BIOMARKER RESPONSES; PELAGIC FISH</t>
  </si>
  <si>
    <t>The Kerguelen Islands include various species of freshwater fish such as brown trout (Salmo trutta). These trout are among the most isolated from direct anthropogenic impact worldwide. This study was designed to analyse cadmium (Cd) and copper (Cu) concentrations in the liver of Kerguelen brown trout, and to assess the possible impacts of these metals on hepatic histopathology and oxidative stress parameters (superoxide dismutase and catalase activity and glutathione levels). Trout were caught in the Chateau River, the Studer Lakes and the Ferme Pond, close to the scientific station of the Kerguelen Islands, corresponding to three morphotypes (river, lake and station). Kerguelen trouts' hepatic concentrations of Cd and Cur were similar to those reported in previous studies in salmonids populations from areas under anthropological impacts. Clear hepatic disturbances (fibrosis, nuclear alteration, increased immune response, melanomacrophage centres [MMCs]) were observed in all tested trout. A similar histo-pathological trend was observed among the trout from the three morphotypes but anti-oxidative responses were higher in the trout from the station'' morphotype. Hepatic alterations and the presence of MMCs in the livers of Kerguelen brown trout may be related to the high levels of Cd and Cu measured in this fish at all sampling sites.</t>
  </si>
  <si>
    <t>[Jaffal, Ali; Betoulle, Stephane; Biagianti-Risbourg, Sylvie; Paris-Palacios, Severine] Univ Reims, UMR I Stress Environm &amp; Biosurveillance Milieux A, FR-51687 Reims 2, France; [Sanchez, Wilfried] Inst Natl Environm Ind &amp; Risques, UMR I Stress Environm &amp; Biosurveillance Milieux A, FR-60550 Verneuil En Halatte, France; [Terreau, Alexandre] French Polar Inst Paul Emile Victor, Technopole Brest Iroise, FR-29280 Plouzane, France</t>
  </si>
  <si>
    <t>Universite de Reims Champagne-Ardenne; Institut National de l'Environnement Industriel et des Risques (INERIS)</t>
  </si>
  <si>
    <t>Jaffal, A (corresponding author), Univ Reims, UMR I Stress Environm &amp; Biosurveillance Milieux A, Campus Moulin De La Housse,BP 1039, FR-51687 Reims 2, France.</t>
  </si>
  <si>
    <t>ali_j_jaffal@hotmail.com</t>
  </si>
  <si>
    <t>BETOULLE, STÉPHANE/GLT-2314-2022</t>
  </si>
  <si>
    <t>Sanchez, Wilfried/0000-0001-9247-3355</t>
  </si>
  <si>
    <t>French Polar Institute Paul-Emile Victor (IMMUNOTOXKER programme) [409]; French National Research Agency (ANR-RISKER programme)</t>
  </si>
  <si>
    <t>French Polar Institute Paul-Emile Victor (IMMUNOTOXKER programme); French National Research Agency (ANR-RISKER programme)(Agence Nationale de la Recherche (ANR))</t>
  </si>
  <si>
    <t>The study was financially supported by the French Polar Institute Paul-Emile Victor (IMMUNOTOXKER programme 409) and by the French National Research Agency (ANR-RISKER programme). The authors thank the French Polar Institute for its logistical support in the Kerguelen Islands, the French Austral and Antarctic Territories Administration and the staff of the 56th mission in the Kerguelen Islands for their help with fieldwork. The authors sincerely thank Annie Buchwalter and Mohamad Alkassem for help with the English revision.</t>
  </si>
  <si>
    <t>NORWEGIAN POLAR INST</t>
  </si>
  <si>
    <t>TROMSO</t>
  </si>
  <si>
    <t>POLAR ENVIRONMENTAL CENTRE, HJALMAR JOHANSENSGATE 14, TROMSO, FRAMSENTERET, NORWAY</t>
  </si>
  <si>
    <t>10.3402/polar.v34.22784</t>
  </si>
  <si>
    <t>CS2EV</t>
  </si>
  <si>
    <t>WOS:000361881500001</t>
  </si>
  <si>
    <t>Rigual-Hernández, AS; Trull, TW; Bray, SG; Cortina, A; Armand, LK</t>
  </si>
  <si>
    <t>Rigual-Hernandez, A. S.; Trull, T. W.; Bray, S. G.; Cortina, A.; Armand, L. K.</t>
  </si>
  <si>
    <t>Latitudinal and temporal distributions of diatom populations in the pelagic waters of the Subantarctic and Polar Frontal zones of the Southern Ocean and their role in the biological pump</t>
  </si>
  <si>
    <t>PARTICULATE ORGANIC-CARBON; ZOOPLANKTON FECAL PELLETS; SEASONAL ICE-ZONE; AUSTRALIAN SECTOR; SEDIMENT TRAPS; PARTICLE FLUXES; BIOGENIC-SILICA; MARINE SNOW; IN-SITU; COMMUNITY STRUCTURE</t>
  </si>
  <si>
    <t>The Subantarctic and Polar Frontal zones (SAZ and PFZ) represent a large portion of the total area of the Southern Ocean and serve as a strong sink for atmospheric CO2. These regions are central to hypotheses linking particle fluxes and climate change, yet multi-year records of modern flux and the organisms that control it are, for obvious reasons, rare. In this study, we examine two sediment trap records of the flux of diatoms and bulk components collected by two bottom-tethered sediment traps deployed at mesopelagic depths (similar to 1 km) in the SAZ (2-year record; July 1999-October 2001) and in the PFZ (6-year record; September 1997-February 1998, July 1999-August 2000, November 2002-October 2004 and December 2005-October 2007) along the 140 degrees E meridian. These traps provide a direct measure of transfer below winter mixed layer depths, i.e. at depths where effective sequestration from the atmosphere occurs, in contrast to study of processes in the surface ocean. Total mass fluxes were about twofold higher in the PFZ (24 +/- 13 gm 2 yr(-1) ) than in the SAZ (14 +/- 2 gm 2 yr(-1) ). Bulk chemical composition of the particle fluxes mirrored the composition of the distinct plankton communities of the surface layer, being dominated by carbonate in the SAZ and by biogenic silica in the PFZ. Particulate organic carbon (POC) export was similar for the annual average at both sites (1.0 +/- 0.1 and 0.8 +/- 0.4 gm 2 yr(-1) for the PFZ and SAZ, respectively), indicating that the particles in the SAZ were relatively POC rich. Seasonality in the particle export was more pronounced in the PFZ. Peak fluxes occurred during summer in the PFZ and during spring in the SAZ. The strong summer pulses in the PFZ are responsible for a large fraction of the variability in carbon sequestration from the atmosphere in this region. The latitudinal variation of the total diatom flux was found to be in line with the biogenic silica export with an annual flux of 31 +/- 5.5 x 10(8) valvesm 2 yr(-1) at the PFZ compared to 0.5 +/- 0.4 x 108 m(-2) yr(-1) at the SAZ. Fragilariopsis kerguelensis dominated the annual diatom export at both sites (43% at the SAZ and 59% in the PFZ). POC fluxes displayed a strong positive correlation with the relative contribution of a group of weakly silicified and bloom-forming species in the PFZ. Several lines of evidence suggests that the development of these species during the growth season facilitates the formation of aggregates and carbon export. Our results confirm previous work suggesting that F. kerguelensis plays a major role in the decoupling of the carbon and silicon cycles in the high-nutrient low-chlorophyll waters of the Southern Ocean.</t>
  </si>
  <si>
    <t>[Rigual-Hernandez, A. S.; Armand, L. K.] Macquarie Univ, Dept Biol Sci, N Ryde, NSW 2109, Australia; [Trull, T. W.; Bray, S. G.] Univ Tasmania, Antarctic Climate &amp; Ecosyst Cooperat Res Ctr, Hobart, Tas 7001, Australia; [Trull, T. W.] CSIRO Oceans &amp; Atmosphere Flagship, Hobart, Tas 7001, Australia; [Cortina, A.] IDAEA CSIC, Dept Environm Chem, Barcelona 08034, Spain</t>
  </si>
  <si>
    <t>Macquarie University; University of Tasmania; Antarctic Climate &amp; Ecosystems Cooperative Research Centre (ACE CRC); Commonwealth Scientific &amp; Industrial Research Organisation (CSIRO); Consejo Superior de Investigaciones Cientificas (CSIC); CSIC - Centro de Investigacion y Desarrollo Pascual Vila (CID-CSIC); CSIC - Instituto de Diagnostico Ambiental y Estudios del Agua (IDAEA)</t>
  </si>
  <si>
    <t>Armand, Leanne K/C-9004-2009; Rigual-Hernández, Andrés/E-2041-2018; Cortina, Aleix/B-1251-2016</t>
  </si>
  <si>
    <t>Rigual-Hernández, Andrés/0000-0003-1521-3896; Cortina, Aleix/0000-0002-4772-3404; Armand, Leanne/0000-0003-3995-308X</t>
  </si>
  <si>
    <t>Australian Antarctic Sciences award [AAS1156, AA2256]; US National Science Foundation Office of Polar Programs; Belgian Science and Policy Office; CSIRO Marine Laboratories; Australian Integrated Marine Observing System; Australian Government's Australian Antarctic Science Grant Program [4078]; Macquarie University</t>
  </si>
  <si>
    <t>Australian Antarctic Sciences award; US National Science Foundation Office of Polar Programs(National Science Foundation (NSF)); Belgian Science and Policy Office; CSIRO Marine Laboratories(Commonwealth Scientific &amp; Industrial Research Organisation (CSIRO)); Australian Integrated Marine Observing System; Australian Government's Australian Antarctic Science Grant Program(Australian Government); Macquarie University</t>
  </si>
  <si>
    <t>We thank Oscar Romero and an anonymous reviewer for their constructive comments that helped us to improve the manuscript. The SAZ Project sediment trap moorings have received support from many sources, including Australian Antarctic Sciences awards AAS1156 and AA2256 (T. Trull), the US National Science Foundation Office of Polar Programs (R. Francois, T. Trull, S. Honjo and S. Manganini), the Belgian Science and Policy Office (F. Dehairs), CSIRO Marine Laboratories, and the Australian Integrated Marine Observing System (of which they are currently a component of the IMOS Southern Ocean Time Series Facility; www.imos.org.au). This work was made possible by the Australian Government's Australian Antarctic Science Grant Program (project number 4078) and Macquarie University (A. Rigual-Hernandez and L. Armand). The chlorophyll a and PAR data sets and chlorophyll a visualisations used in this paper were produced with the Giovanni online data system, developed and maintained by the NASA GES DISC. Primary productivity estimates were made available by the Ocean Productivity website (http://www.science.oregonstate.edu/ocean.productivity/). Diana M. Davies is thanked for performing biogeochemical analyses on the trap material. Anne-Marie Ballegeer is acknowledged for her technical support in the preparation of samples and comments on an early draft of the manuscript. Thanks to Jan Lieser and John Baumgartner for their assistance in the remote sensing analysis. The authors are thankful to Jessica Wilks and Kelly Lawler for their help in the microscopy analysis and taxonomic identifications. The authors acknowledge the assistance and support of Nicole Vella and Debra Birch from the Macquarie University Microscopy Unit in the scanning electron microscopy analysis.</t>
  </si>
  <si>
    <t>10.5194/bg-12-5309-2015</t>
  </si>
  <si>
    <t>CR7JF</t>
  </si>
  <si>
    <t>Green Accepted, gold, Green Submitted</t>
  </si>
  <si>
    <t>WOS:000361524900004</t>
  </si>
  <si>
    <t>Shi, G; Buffen, AM; Hastings, MG; Li, C; Ma, H; Li, Y; Sun, B; An, C; Jiang, S</t>
  </si>
  <si>
    <t>Shi, G.; Buffen, A. M.; Hastings, M. G.; Li, C.; Ma, H.; Li, Y.; Sun, B.; An, C.; Jiang, S.</t>
  </si>
  <si>
    <t>Investigation of post-depositional processing of nitrate in East Antarctic snow: isotopic constraints on photolytic loss, re-oxidation, and source inputs</t>
  </si>
  <si>
    <t>ATMOSPHERIC NITRATE; NITROGEN-DIOXIDE; ICE CORES; QUANTUM YIELDS; NOX EMISSIONS; GREENLAND; DOME; DELTA-O-17; ORIGIN; SUMMIT</t>
  </si>
  <si>
    <t>Snowpits along a traverse from coastal East Antarctica to the summit of the ice sheet (Dome Argus) are used to investigate the post-depositional processing of nitrate (NO3-) in snow. Seven snowpits from sites with accumulation rates between 24 and 172 kg m(-2) a(-1) were sampled to depths of 150 to 300 cm. At sites from the continental interior (low accumulation, &lt; 55 kg m(-2) a(-1)), nitrate mass fraction is generally &gt; 200 ng g(-1) in surface snow and decreases quickly with depth to &lt; 50 ng g(-1). Considerably increasing values of delta N-15 of nitrate are also observed (16-461% vs. air N-2), particularly in the top 20 cm, which is consistent with predicted fractionation constants for the photolysis of nitrate. The delta O-18 of nitrate (17-84% vs. VSMOW (Vienna Standard Mean Ocean Water)), on the other hand, decreases with increasing delta N-15, suggestive of secondary formation of nitrate in situ (following photolysis) with a low delta O-18 source. Previous studies have suggested that delta N-15 and delta O-18 of nitrate at deeper snow depths should be predictable based upon an exponential change derived near the surface. At deeper depths sampled in this study, however, the relationship between nitrate mass fraction and delta O-18 changes, with increasing delta O-18 of nitrate observed between 100 and 200 cm. Predicting the impact of post-depositional loss, and therefore changes in the isotopes with depth, is highly sensitive to the depth interval over which an exponential change is assumed. In the snowpits collected closer to the coast (accu-mulation &gt; 91 kg m(-2) a(-1)), there are no obvious trends detected with depth and instead seasonality in nitrate mass fraction and isotopic composition is found. In comparison to the interior sites, the coastal pits are lower in delta N-15 (-15-71 parts per thousand vs. air N-2) and higher in delta O-18 of nitrate (53-111 parts per thousand vs. VSMOW). The relationships found amongst mass fraction, delta N-15, delta O-18 and Delta O-17 (Delta O-17 = delta O-17-0.52 x delta O-18) of nitrate cannot be explained by local post-depositional processes alone, and are instead interpreted in the context of a primary atmospheric signal. Consistent with other Antarctic observational and modeling studies, the isotopic results are suggestive of an important influence of stratospheric ozone chemistry on nitrate formation during the cold season and a mix of tropospheric sources and chemistry during the warm season. Overall, the findings in this study speak to the sensitivity of nitrate isotopic composition to post-depositional processing and highlight the strength of combined use of the nitrogen and oxygen isotopes for a mechanistic understanding of this processing.</t>
  </si>
  <si>
    <t>[Shi, G.; Ma, H.; Li, Y.; Sun, B.; An, C.; Jiang, S.] Polar Res Inst China, Key Lab Polar Sci State Ocean Adm, Shanghai 200062, Peoples R China; [Shi, G.; Buffen, A. M.; Hastings, M. G.] Brown Univ, Dept Earth Environm &amp; Planetary Sci, Providence, RI 02912 USA; [Shi, G.; Buffen, A. M.; Hastings, M. G.] Brown Univ, Inst Brown Environm &amp; Soc, Providence, RI 02912 USA; [Li, C.] Chinese Acad Sci, Cold &amp; Arid Reg Environm &amp; Engn Res Inst, State Key Lab Cryospher Sci, Lanzhou 730000, Peoples R China</t>
  </si>
  <si>
    <t>Polar Research Institute of China; Brown University; Brown University; Chinese Academy of Sciences; Cold &amp; Arid Regions Environmental &amp; Engineering Research Institute, CAS</t>
  </si>
  <si>
    <t>Hastings, MG (corresponding author), Brown Univ, Dept Earth Environm &amp; Planetary Sci, Providence, RI 02912 USA.</t>
  </si>
  <si>
    <t>meredith_hastings@brown.edu</t>
  </si>
  <si>
    <t>Hastings, Meredith G/C-6199-2008</t>
  </si>
  <si>
    <t>Shi, Guitao/0000-0003-1702-6322</t>
  </si>
  <si>
    <t>National Science Foundation of China [41206188, 41476169]; US National Science Foundation Antarctic Glaciology Program [1246223]; Chinese Polar Environment Comprehensive Investigation and Assessment Programmes [CHINARE 2014-02-02, 2014-04-01]; Directorate For Geosciences; Office of Polar Programs (OPP) [1246223] Funding Source: National Science Foundation</t>
  </si>
  <si>
    <t>National Science Foundation of China(National Natural Science Foundation of China (NSFC)); US National Science Foundation Antarctic Glaciology Program(National Science Foundation (NSF)NSF - Directorate for Geosciences (GEO)); Chinese Polar Environment Comprehensive Investigation and Assessment Programmes; Directorate For Geosciences; Office of Polar Programs (OPP)(National Science Foundation (NSF)NSF - Directorate for Geosciences (GEO))</t>
  </si>
  <si>
    <t>This research was supported by the National Science Foundation of China (Grant nos. 41206188 to GS, 41476169 to SJ), the US National Science Foundation Antarctic Glaciology Program (Grant no. 1246223 to MGH) and Chinese Polar Environment Comprehensive Investigation and Assessment Programmes (Grant nos. CHINARE 2014-02-02 to BS, 2014-04-01 to GS). We are also grateful to Ruby Ho at Brown University and the 29th CHINARE inland members for technical support and assistance, and Dr. Erbland, two anonymous reviewers and the editor for their helpful comments.</t>
  </si>
  <si>
    <t>10.5194/acp-15-9435-2015</t>
  </si>
  <si>
    <t>CQ5LT</t>
  </si>
  <si>
    <t>WOS:000360646500021</t>
  </si>
  <si>
    <t>Rosenfeld, S; Aldea, C; Mansilla, A; Marambio, J; Ojeda, J</t>
  </si>
  <si>
    <t>Rosenfeld, Sebastian; Aldea, Cristian; Mansilla, Andres; Marambio, Johanna; Ojeda, Jaime</t>
  </si>
  <si>
    <t>Richness, systematics, and distribution of molluscs associated with the macroalga Gigartina skottsbergii in the Strait of Magellan, Chile: A biogeographic affinity study</t>
  </si>
  <si>
    <t>ZOOKEYS</t>
  </si>
  <si>
    <t>Mollusca; biodiversity; biogeography; algae beds; Magellan Region</t>
  </si>
  <si>
    <t>KELP MACROCYSTIS-PYRIFERA; SOUTHERN SOUTH-AMERICA; NEOLEPTON MONTEROSATO; BENTHIC FAUNA; GASTROPODA; BIVALVIA; BIODIVERSITY; OCEAN; DIVERSITY; MYTILUS</t>
  </si>
  <si>
    <t>Knowledge about the marine malacofauna in the Magellan Region has been gained from many scientific expeditions that were carried out during the 19th century. However, despite the information that exists about molluscs in the Magellan Region, there is a lack of studies about assemblages of molluscs co-occurring with macroalgae, especially commercially exploitable algae such as Gigartina skottsbergii, a species that currently represents the largest portion of carrageenans within the Chilean industry. The objective of this study is to inform about the richness, systematics, and distribution of the species of molluscs associated with natural beds in the Strait of Magellan. A total of 120 samples from quadrates of 0.25 m(2) were obtained by SCUBA diving at two sites within the Strait of Magellan. Sampling occurred seasonally between autumn 2010 and summer 2011: 15 quadrates were collected at each site and season. A total of 852 individuals, corresponding to 42 species of molluscs belonging to Polyplacophora (9 species), Gastropoda (24), and Bivalvia (9), were identified. The species richness recorded represents a value above the average richness of those reported in studies carried out in the last 40 years in sublittoral bottoms of the Strait of Magellan. The biogeographic affinity indicates that the majority of those species (38%) present an endemic Magellanic distribution, while the rest have a wide distribution in the Magellanic-Pacific, Magellanic-Atlantic, and Magellanic-Southern Ocean. The molluscs from the Magellan Region serve as study models for biogeographic relationships that can explain long-reaching patterns and are meaningful in evaluating possible ecosystemic changes generated by natural causes or related to human activities.</t>
  </si>
  <si>
    <t>[Rosenfeld, Sebastian; Mansilla, Andres; Marambio, Johanna; Ojeda, Jaime] Univ Magallanes, Lab Macroalgas Antarticas &amp; Subantarticas, Punta Arenas, Chile; [Aldea, Cristian] Univ Magallanes, Inst Patagonia, Lab Ecol &amp; Medio Ambiente, Punta Arenas, Chile; [Aldea, Cristian] Univ Magallanes, Programa GAIA Antartica, Punta Arenas, Chile; [Rosenfeld, Sebastian; Mansilla, Andres; Ojeda, Jaime] IEB, Santiago, Chile; [Mansilla, Andres; Ojeda, Jaime] Univ Magallanes, Parque Etnobot Omora, Sede Puerto Williams, Punta Arenas, Chile</t>
  </si>
  <si>
    <t>Universidad de Magallanes; Universidad de Magallanes; Universidad de Magallanes; Universidad de Magallanes</t>
  </si>
  <si>
    <t>Aldea, C (corresponding author), Univ Magallanes, Lab Macroalgas Antarticas &amp; Subantarticas, Casilla 113-D, Punta Arenas, Chile.</t>
  </si>
  <si>
    <t>cristian.aldea@umag.cl</t>
  </si>
  <si>
    <t>Aldea, Cristian/J-5391-2013; Ojeda, Jaime/HHN-1455-2022</t>
  </si>
  <si>
    <t>Aldea, Cristian/0000-0002-4473-6509; Rosenfeld, Sebastian/0000-0002-4363-8018; ojeda, jaime/0000-0003-3863-9750; Mansilla, Andres/0000-0003-3505-7018</t>
  </si>
  <si>
    <t>FONDEF Project [AQ08I1011]; Institute of Ecology and Biodiversity (Chile) [ICM P05-002, PFB -23-2008]; Master of Science in Conservations and Management of Sub-Antarctic Ecosystem of the University of Magallanes; AM Millennium Scientific Initiative (Chile) [P05-002 ICM]; Basal Financing Program of the Comision Nacional de Investigacion Cientifica y Tecnologica (Chile) [PFB-23]; programme Gaia-Antartica: Conocimiento y Cultura Antartica of the Universidad de Magallanes [PMI MAG1203]</t>
  </si>
  <si>
    <t>FONDEF Project(Comision Nacional de Investigacion Cientifica y Tecnologica (CONICYT)CONICYT FONDEF); Institute of Ecology and Biodiversity (Chile); Master of Science in Conservations and Management of Sub-Antarctic Ecosystem of the University of Magallanes; AM Millennium Scientific Initiative (Chile); Basal Financing Program of the Comision Nacional de Investigacion Cientifica y Tecnologica (Chile)(Comision Nacional de Investigacion Cientifica y Tecnologica (CONICYT)CONICYT PIA/BASAL); programme Gaia-Antartica: Conocimiento y Cultura Antartica of the Universidad de Magallanes</t>
  </si>
  <si>
    <t>We would like to thank MSc Marcela Avila for the scholarship provided and supported by the FONDEF AQ08I1011 Project. S. Rosenfeld is thankful for the scholarship provided by the Institute of Ecology and Biodiversity (Chile) (code ICM P05-002) and the Master of Science in Conservations and Management of Sub-Antarctic Ecosystem of the University of Magallanes. C. Aldea would like to thank the Program of Direction of Research and Graduate Studies of the University of Magallanes (code 027520, PR-01VRAC-14). J. Marambio is thankful for the scholarship provided by the Institute of Ecology and Biodiversity (Chile) (code PFB -23-2008). A. Mansilla would like to thank the AM Millennium Scientific Initiative (grant no. P05-002 ICM, Chile) and the Basal Financing Program of the Comision Nacional de Investigacion Cientifica y Tecnologica (grant no. PFB-23, Chile). The authors would like to thank the people of Patagonia Historica S.A. for their valuable support to our fieldwork in Punta Santa Ana. The authors also thank Katrin Linse for her contribution in improving the manuscript. This is a contribution to the research programme PMI MAG1203 Gaia-Antartica: Conocimiento y Cultura Antartica of the Universidad de Magallanes.</t>
  </si>
  <si>
    <t>PENSOFT PUBL</t>
  </si>
  <si>
    <t>12 PROF GEORGI ZLATARSKI ST, SOFIA, 1700, BULGARIA</t>
  </si>
  <si>
    <t>1313-2989</t>
  </si>
  <si>
    <t>1313-2970</t>
  </si>
  <si>
    <t>ZooKeys</t>
  </si>
  <si>
    <t>10.3897/zookeys.519.9676</t>
  </si>
  <si>
    <t>CQ8UV</t>
  </si>
  <si>
    <t>WOS:000360886000003</t>
  </si>
  <si>
    <t>Wei, JJ; Ma, QB; Wu, XF</t>
  </si>
  <si>
    <t>Wei, Jun-Jie; Ma, Qing-Bo; Wu, Xue-Feng</t>
  </si>
  <si>
    <t>Utilizing the Updated Gamma-Ray Bursts and Type Ia Supernovae to Constrain the Cardassian Expansion Model and Dark Energy</t>
  </si>
  <si>
    <t>ADVANCES IN ASTRONOMY</t>
  </si>
  <si>
    <t>HUBBLE-SPACE-TELESCOPE; PEAK ENERGY; COSMOLOGICAL PARAMETERS; LUMINOSITY; REDSHIFT; UNIVERSE; DIAGRAM; DECELERATION; CALIBRATION; DISCOVERY</t>
  </si>
  <si>
    <t>We update gamma-ray burst (GRB) luminosity relations among certain spectral and light-curve features with 139 GRBs. The distance modulus of 82 GRBs at z &gt; 1.4 can be calibrated with the sample at z &lt;= 1.4 by using the cubic spline interpolation method from the Union2.1 Type Ia supernovae (SNe Ia) set. We investigate the joint constraints on the Cardassian expansion model and dark energy with 580 Union2.1 SNe Ia sample (z &lt; 1.4) and 82 calibrated GRBs' data (1.4 &lt; z &lt;= 8.2). In Lambda CDM, we find that adding 82 high-z GRBs to 580 SNe Ia significantly improves the constraint on Omega(m)-Omega(Lambda) plane. In the Cardassian expansion model, the best fit is Omega(m) = 0.24(-0.15)(+0.15) and n = 0.16(-0.52)(+0.30) (1 sigma), which is consistent with the Lambda CDM cosmology (n = 0) in the 1 sigma confidence region. We also discuss two dark energy models in which the equation of state omega(z) is parameterized as omega(z) = omega(0) and omega(z) = omega(0) + omega(1)z/(1+z), respectively. Based on our analysis, we see that our universe at higher redshift up to z = 8.2 is consistent with the concordance model within 1 sigma confidence level.</t>
  </si>
  <si>
    <t>[Wei, Jun-Jie; Ma, Qing-Bo; Wu, Xue-Feng] Chinese Acad Sci, Purple Mt Observ, Nanjing 210008, Peoples R China; [Wei, Jun-Jie; Ma, Qing-Bo] Univ Chinese Acad Sci, Beijing 100049, Peoples R China; [Wu, Xue-Feng] Chinese Ctr Antarctic Astron, Nanjing 210008, Peoples R China; [Wu, Xue-Feng] Nanjing Univ, Purple Mt Observ, Joint Ctr Particle Nucl Phys &amp; Cosmol, Nanjing 210008, Peoples R China</t>
  </si>
  <si>
    <t>Purple Mountain Observatory, CAS; Chinese Academy of Sciences; Nanjing Institute of Astronomical Optics &amp; Technology, NAOC, CAS; Chinese Academy of Sciences; University of Chinese Academy of Sciences, CAS; Chinese Academy of Sciences; Nanjing Institute of Astronomical Optics &amp; Technology, NAOC, CAS; Purple Mountain Observatory, CAS; Nanjing University</t>
  </si>
  <si>
    <t>Wu, XF (corresponding author), Chinese Acad Sci, Purple Mt Observ, Nanjing 210008, Peoples R China.</t>
  </si>
  <si>
    <t>xfwu@pmo.ac.cn</t>
  </si>
  <si>
    <t>Wei, Jun-Jie/0000-0003-0162-2488</t>
  </si>
  <si>
    <t>National Basic Research Program (973 Program) of China [2014CB845800, 2013CB834900]; National Natural Science Foundation of China [11322328, 11373068]; One-Hundred-Talents Program; Youth Innovation Promotion Association; Chinese Academy of Sciences [XDB09000000]; Natural Science Foundation of Jiangsu Province [BK2012890]</t>
  </si>
  <si>
    <t>National Basic Research Program (973 Program) of China(National Basic Research Program of China); National Natural Science Foundation of China(National Natural Science Foundation of China (NSFC)); One-Hundred-Talents Program(Chinese Academy of Sciences); Youth Innovation Promotion Association; Chinese Academy of Sciences(Chinese Academy of Sciences); Natural Science Foundation of Jiangsu Province(Natural Science Foundation of Jiangsu Province)</t>
  </si>
  <si>
    <t>This work is partially supported by the National Basic Research Program (973 Program) of China (Grants 2014CB845800 and 2013CB834900), the National Natural Science Foundation of China (Grants nos. 11322328 and 11373068), the One-Hundred-Talents Program, the Youth Innovation Promotion Association, and the Strategic Priority Research Program The Emergence of Cosmological Structures (Grant no. XDB09000000) of the Chinese Academy of Sciences, and the Natural Science Foundation of Jiangsu Province (grant no. BK2012890).</t>
  </si>
  <si>
    <t>HINDAWI LTD</t>
  </si>
  <si>
    <t>ADAM HOUSE, 3RD FLR, 1 FITZROY SQ, LONDON, W1T 5HF, ENGLAND</t>
  </si>
  <si>
    <t>1687-7969</t>
  </si>
  <si>
    <t>1687-7977</t>
  </si>
  <si>
    <t>ADV ASTRON</t>
  </si>
  <si>
    <t>Adv. Astron.</t>
  </si>
  <si>
    <t>10.1155/2015/576093</t>
  </si>
  <si>
    <t>CQ6MF</t>
  </si>
  <si>
    <t>WOS:000360717800001</t>
  </si>
  <si>
    <t>Corbett, J; Su, W</t>
  </si>
  <si>
    <t>Corbett, J.; Su, W.</t>
  </si>
  <si>
    <t>Accounting for the effects of sastrugi in the CERES clear-sky Antarctic shortwave angular distribution models</t>
  </si>
  <si>
    <t>ENERGY SYSTEM CERES; SNOW-ALBEDO; REFLECTANCE; SURFACE; CLOUDS; INSTRUMENTS; METHODOLOGY; TERRA; MISR</t>
  </si>
  <si>
    <t>The Cloud and the Earth's Radiant Energy System (CERES) instruments on NASA's Terra, Aqua and Soumi NPP satellites are used to provide a long-term measurement of Earth's energy budget. To accomplish this, the radiances measured by the instruments must be inverted to fluxes by the use of a scene-type-dependent angular distribution model (ADM). For permanent snow scenes over Antarctica, shortwave (SW) ADMs are created by compositing radiance measurements over the full viewing zenith and azimuth range. However, the presence of small-scale wind blown roughness features called sastrugi cause the BRDF (bidirectional reflectance distribution function) of the snow to vary significantly based upon the solar azimuth angle and location. This can result in monthly regional biases between 12 and 7.5Wm(-2) in the inverted TOA (top-of-atmosphere) SW flux. The bias is assessed by comparing the CERES shortwave fluxes derived from nadir observations with those from all viewing zenith angles, as the sastrugi affect fluxes inverted from the oblique viewing angles more than for the nadir viewing angles. In this paper we further describe the clear-sky Antarctic ADMs from Su et al. (2015). These ADMs account for the sastrugi effect by using measurements from the Multi-Angle Imaging Spectro-Radiometer (MISR) instrument to derive statistical relationships between radiance from different viewing angles. We show here that these ADMs reduce the bias and artifacts in the CERES SW flux caused by sastrugi, both locally and Antarctic-wide. The regional monthly biases from sastrugi are reduced to between 5 and 7Wm(-2), and the monthly-mean biases over Antarctica are reduced by up to 0.64Wm(-2), a decrease of 74 %. These im-proved ADMs are used as part of the Edition 4 CERES SSF (Single Scanner Footprint) data.</t>
  </si>
  <si>
    <t>[Corbett, J.] NASA, Langley Res Ctr, Sci Syst &amp; Applicat Inc, Hampton, VA 23681 USA; [Su, W.] NASA, Langley Res Ctr, Hampton, VA 23681 USA</t>
  </si>
  <si>
    <t>Science Systems and Applications Inc; National Aeronautics &amp; Space Administration (NASA); NASA Langley Research Center; National Aeronautics &amp; Space Administration (NASA); NASA Langley Research Center</t>
  </si>
  <si>
    <t>Corbett, J (corresponding author), NASA, Langley Res Ctr, Sci Syst &amp; Applicat Inc, Mail Stop 420, Hampton, VA 23681 USA.</t>
  </si>
  <si>
    <t>joseph.g.corbett@nasa.gov</t>
  </si>
  <si>
    <t>Keyes, Dennis/AAZ-9285-2021</t>
  </si>
  <si>
    <t>Corbett, Joseph/0000-0002-2183-670X</t>
  </si>
  <si>
    <t>NASA</t>
  </si>
  <si>
    <t>NASA(National Aeronautics &amp; Space Administration (NASA))</t>
  </si>
  <si>
    <t>The authors would like to acknowledge Zach Eitzen and Lusheng Liang for their helpful comments and discussions about this study and manuscript. The CERES and MISR data were obtained from the NASA Langley Atmospheric Science Data Center, and the MERRA data were obtained from the Global Modeling and Assimilation Office (GMAO) and the GES DISC at NASA Goddard Space Flight Center.</t>
  </si>
  <si>
    <t>10.5194/amt-8-3163-2015</t>
  </si>
  <si>
    <t>CQ5MU</t>
  </si>
  <si>
    <t>WOS:000360649700008</t>
  </si>
  <si>
    <t>Li, Y; Kirchengast, G; Scherllin-Pirscher, B; Norman, R; Yuan, YB; Fritzer, J; Schwaerz, M; Zhang, K</t>
  </si>
  <si>
    <t>Li, Y.; Kirchengast, G.; Scherllin-Pirscher, B.; Norman, R.; Yuan, Y. B.; Fritzer, J.; Schwaerz, M.; Zhang, K.</t>
  </si>
  <si>
    <t>Dynamic statistical optimization of GNSS radio occultation bending angles: advanced algorithm and performance analysis</t>
  </si>
  <si>
    <t>RESIDUAL IONOSPHERIC ERRORS; TO-END SIMULATIONS; EARTHS ATMOSPHERE; TEMPERATURE; PROFILES; CLIMATE; RETRIEVAL; SYSTEM; ENSEMBLES; QUALITY</t>
  </si>
  <si>
    <t>We introduce a new dynamic statistical optimization algorithm to initialize ionosphere-corrected bending angles of Global Navigation Satellite System (GNSS)-based radio occultation (RO) measurements. The new algorithm estimates background and observation error covariance matrices with geographically varying uncertainty profiles and realistic global-mean correlation matrices. The error covariance matrices estimated by the new approach are more accurate and realistic than in simplified existing approaches and can therefore be used in statistical optimization to provide optimal bending angle profiles for high-altitude initialization of the subsequent Abel transform retrieval of refractivity. The new algorithm is evaluated against the existing Wegener Center Occultation Processing System version 5.6 (OPSv5.6) algorithm, using simulated data on two test days from January and July 2008 and real observed CHAllenging Minisatellite Payload (CHAMP) and Constellation Observing System for Meteorology, Ionosphere, and Climate (COSMIC) measurements from the complete months of January and July 2008. The following is achieved for the new method's performance compared to OPSv5.6: (1) significant reduction of random errors (standard deviations) of optimized bending angles down to about half of their size or more; (2) reduction of the systematic differences in optimized bending angles for simulated MetOp data; (3) improved retrieval of refractivity and temperature profiles; and (4) realistically estimated global-mean correlation matrices and realistic uncertainty fields for the background and observations. Overall the results indicate high suitability for employing the new dynamic approach in the processing of long-term RO data into a reference climate record, leading to well-characterized and high-quality atmospheric profiles over the entire stratosphere.</t>
  </si>
  <si>
    <t>[Li, Y.; Yuan, Y. B.] Chinese Acad Sci, Inst Geodesy &amp; Geophys, State Key Lab Geodesy &amp; Earths Dynam, Wuhan, Peoples R China; [Li, Y.; Kirchengast, G.; Norman, R.; Zhang, K.] RMIT Univ, Satellite Positioning Atmosphere Climate &amp; Enviro, Melbourne, Vic, Australia; [Kirchengast, G.; Scherllin-Pirscher, B.; Fritzer, J.; Schwaerz, M.] Graz Univ, Wegener Ctr Climate &amp; Global Change WEGC, Graz, Austria; [Kirchengast, G.; Scherllin-Pirscher, B.; Fritzer, J.; Schwaerz, M.] Graz Univ, Inst Phys, Inst Geophys Astrophys &amp; Meteorol, Graz, Austria</t>
  </si>
  <si>
    <t>Chinese Academy of Sciences; Innovation Academy for Precision Measurement Science &amp; Technology, CAS; Royal Melbourne Institute of Technology (RMIT); Melbourne Genomics Health Alliance; University of Graz; University of Graz</t>
  </si>
  <si>
    <t>Li, Y (corresponding author), Chinese Acad Sci, Inst Geodesy &amp; Geophys, State Key Lab Geodesy &amp; Earths Dynam, Wuhan, Peoples R China.</t>
  </si>
  <si>
    <t>lovewud123.ying.li@gmail.com</t>
  </si>
  <si>
    <t>Zhang, Kefei/R-5239-2019; zhang, ke/AAH-8217-2019; Kirchengast, Gottfried/D-4990-2016</t>
  </si>
  <si>
    <t>Kirchengast, Gottfried/0000-0001-9187-937X; Norman, Robert/0000-0001-8306-9588; Zhang, Kefei/0000-0001-9376-1148</t>
  </si>
  <si>
    <t>China Natural Science Funds [41231064, 41321063]; National 973 [2012CB825604]; China Scholarship Council; CAS/SAFEA International Partnership Program for Creative Research Teams [KZZD-EW-TZ-05]; Australian Space Research Program [ASRP2]; Australian Antarctic Science (AAS) Grant project [AAS 4159]; Australian Natural Disaster Resilience Grant Scheme (NDRG) of Victoria; European Space Agency (ESA); Austrian Research Promotion Agency (FFG); Austrian National Science Fund (FWF) [T620-N29]; Austrian Science Fund (FWF) [T620] Funding Source: Austrian Science Fund (FWF); Austrian Science Fund (FWF) [T 620] Funding Source: researchfish</t>
  </si>
  <si>
    <t>China Natural Science Funds(National Natural Science Foundation of China (NSFC)); National 973(National Basic Research Program of China); China Scholarship Council(China Scholarship Council); CAS/SAFEA International Partnership Program for Creative Research Teams(Chinese Academy of Sciences); Australian Space Research Program; Australian Antarctic Science (AAS) Grant project; Australian Natural Disaster Resilience Grant Scheme (NDRG) of Victoria; European Space Agency (ESA)(European Space Agency); Austrian Research Promotion Agency (FFG); Austrian National Science Fund (FWF)(Austrian Science Fund (FWF)); Austrian Science Fund (FWF)(Austrian Science Fund (FWF)); Austrian Science Fund (FWF)(Austrian Science Fund (FWF))</t>
  </si>
  <si>
    <t>We thank M. Bonavita and S. B. Healy (ECMWF Reading, UK) for valuable advice related to ECMWF's analysis and forecast and associated error characteristics, and we are thankful for fruitful discussions within the IGMAS group at the IGG (Wuhan, China) and to Suqin Wu at RMIT. We also thank UCAR/CDAAC for access to their RO data as well as ECMWF for access to their analysis and forecast data. Furthermore, we acknowledge the funding support by China Natural Science Funds (no. 41231064, no. 41321063), National 973 (no. 2012CB825604), China Scholarship Council and CAS/SAFEA International Partnership Program for Creative Research Teams (KZZD-EW-TZ-05) at the IGG side; the funding support by the Australian Space Research Program (ASRP2), the Australian Antarctic Science (AAS) Grant project (AAS 4159) and the Australian Natural Disaster Resilience Grant Scheme (NDRG) of Victoria at the RMIT side; and the funding support by the European Space Agency (ESA) project OPSGRAS, the Austrian Research Promotion Agency (FFG) project OPSCLIMTRACE, and the Austrian National Science Fund (FWF) project DYNOCC (T620-N29) at the WEGC side.</t>
  </si>
  <si>
    <t>10.5194/amt-8-3447-2015</t>
  </si>
  <si>
    <t>WOS:000360649700028</t>
  </si>
  <si>
    <t>Fatima, S; Adams, M; Wilkinson, R</t>
  </si>
  <si>
    <t>Fatima, Shafaq; Adams, Mark; Wilkinson, Ryan</t>
  </si>
  <si>
    <t>Monthly variations in the profile of sex steroids and ovarian development of brook trout (Salvelinus fontinalis Mitchill) during the annual reproductive cycle in Tasmania</t>
  </si>
  <si>
    <t>AUSTRALIAN JOURNAL OF ZOOLOGY</t>
  </si>
  <si>
    <t>maturation; photoperiod</t>
  </si>
  <si>
    <t>FEMALE RAINBOW-TROUT; ONCORHYNCHUS-MYKISS; ARCTIC CHARR; OOCYTE MATURATION; PHOTOPERIOD; VITELLOGENIN; GONADOTROPIN; GROWTH; 17-BETA-ESTRADIOL; TESTOSTERONE</t>
  </si>
  <si>
    <t>Control of maturation in all-female salmonid stock can be achieved by manipulating photoperiod. This initially requires an assessment of the annual reproductive cycle under ambient photoperiod. This study therefore describes the seasonal variations in ovarian development and plasma profiles of oestradiol-17 and testosterone during the second year of a population of female brook trout. It was found that fish recruited for maturation following the summer solstice in December. Shortening of photoperiod likely stimulated the brain-pituitary-gonadal axis for vigorous progress of ovarian development, as indicated by increasing levels of oestradiol-17 and gonadosomatic index values. The highest gonadosomatic index value (18.26 +/- 1.1%) was observed in June. During July, eggs were released from mature females by manual stripping. Total fecundity was observed as 4266 +/- 341 oocytes per mature fish. Profiles of sex steroids observed here were found to be finely entrained within the succession of seasonal photoperiod. This finding indicates that maturation suppression by photoperiod manipulation should be instigated before initiation of oocyte recruitment that commenced during December.</t>
  </si>
  <si>
    <t>[Fatima, Shafaq; Adams, Mark; Wilkinson, Ryan] Univ Tasmania, Inst Marine &amp; Antarctic Studies, Launceston, Tas 7250, Australia</t>
  </si>
  <si>
    <t>Fatima, S (corresponding author), Univ Tasmania, Inst Marine &amp; Antarctic Studies, Locked Bag 1370, Launceston, Tas 7250, Australia.</t>
  </si>
  <si>
    <t>shafaq.fatima2013@gmail.com</t>
  </si>
  <si>
    <t>Fatima, Shafaq/AAW-7096-2020; Adams, Mark/P-7598-2019</t>
  </si>
  <si>
    <t>Adams, Mark/0000-0002-5737-5474</t>
  </si>
  <si>
    <t>0004-959X</t>
  </si>
  <si>
    <t>1446-5698</t>
  </si>
  <si>
    <t>AUST J ZOOL</t>
  </si>
  <si>
    <t>Aust. J. Zool.</t>
  </si>
  <si>
    <t>10.1071/ZO14074</t>
  </si>
  <si>
    <t>CQ1YY</t>
  </si>
  <si>
    <t>WOS:000360397700009</t>
  </si>
  <si>
    <t>Drews, R</t>
  </si>
  <si>
    <t>Drews, R.</t>
  </si>
  <si>
    <t>Evolution of ice-shelf channels in Antarctic ice shelves</t>
  </si>
  <si>
    <t>PINE ISLAND GLACIER; BASAL CHANNELS; SHEET; BENEATH; FLOW; DEFORMATION; TRANSITION; STABILITY; MODELS; ZONE</t>
  </si>
  <si>
    <t>Ice shelves buttress the continental ice flux and mediate ice-ocean interactions. They are often traversed by channels in which basal melting is enhanced, impacting ice-shelf stability. Here, channel evolution is investigated using a transient, three-dimensional full Stokes model and geophysical data collected on the Roi Baudouin Ice Shelf (RBIS), Antarctica. The modeling confirms basal melting as a feasible mechanism for channel creation, although channels may also advect without melting for many tens of kilometers. Channels can be out of hydrostatic equilibrium depending on their width and the upstream melt history. Inverting surface elevation for ice thickness using hydrostatic equilibrium in those areas is erroneous, and corresponding observational evidence is presented at RBIS by comparing the hydrostatically inverted ice thickness with radar measurements. The model shows that channelized melting imprints the flow field characteristically, which can result in enhanced horizontal shearing across channels. This is exemplified for a channel at RBIS using observed surface velocities and opens up the possibility to classify channelized melting from space, an important step towards incorporating these effects in ice-ocean models.</t>
  </si>
  <si>
    <t>Univ Libre Bruxelles, Lab Glaciol, Brussels, Belgium</t>
  </si>
  <si>
    <t>Universite Libre de Bruxelles</t>
  </si>
  <si>
    <t>Drews, reinhard/AAP-4134-2021</t>
  </si>
  <si>
    <t>Drews, reinhard/0000-0002-2328-294X</t>
  </si>
  <si>
    <t>Center for Ice, Climate, and Ecosystems of the Norwegian Polar Institute; InBev-Baillet Latour Antarctica Fellowship; FNRS-FRFC (Fonds de la Recherche Scientifique)</t>
  </si>
  <si>
    <t>Center for Ice, Climate, and Ecosystems of the Norwegian Polar Institute; InBev-Baillet Latour Antarctica Fellowship; FNRS-FRFC (Fonds de la Recherche Scientifique)(Fonds de la Recherche Scientifique - FNRS)</t>
  </si>
  <si>
    <t>Radar work was supported by the Center for Ice, Climate, and Ecosystems of the Norwegian Polar Institute; data collection and initial processing in the field was done by Kenny Matsuoka. I acknowledge insightful comments and discussion with Alexandra Gossart, Lionel Favier and Frank Pattyn (all Universite Libre de Bruxelles). ERS1/2 and ALOS data were provided by the European Space Agency (Project C1P.10754). Surface velocities were derived by S. Berger (Universitie Libre de Bruxelles); Nico-las Bergeot (Royal Observatory Belgium) helped for the GPS processing. I am grateful for the development of the open-source software packages Gamit-Globk and Elmer/Ice as well as to the US Geological Survey for providing the Landsat data. The field work was financed by the InBev-Baillet Latour Antarctica Fellowship, and logistics were well organized by the International Polar Foundation. Financial support was also given by the FNRS-FRFC (Fonds de la Recherche Scientifique) project IDyRA.</t>
  </si>
  <si>
    <t>10.5194/tc-9-1169-2015</t>
  </si>
  <si>
    <t>CQ5QA</t>
  </si>
  <si>
    <t>WOS:000360659200009</t>
  </si>
  <si>
    <t>Fürst, JJ; Durand, G; Gillet-Chaulet, F; Merino, N; Tavard, L; Mouginot, J; Gourmelen, N; Gagliardini, O</t>
  </si>
  <si>
    <t>Fuerst, J. J.; Durand, G.; Gillet-Chaulet, F.; Merino, N.; Tavard, L.; Mouginot, J.; Gourmelen, N.; Gagliardini, O.</t>
  </si>
  <si>
    <t>Assimilation of Antarctic velocity observations provides evidence for uncharted pinning points</t>
  </si>
  <si>
    <t>B-ICE-SHELF; SEA-LEVEL RISE; RADAR INTERFEROMETRY; THWAITES GLACIER; MASS-LOSS; SHEET; FLOW; STABILITY; COLLAPSE; THICKNESS</t>
  </si>
  <si>
    <t>In ice flow modelling, the use of control methods to assimilate the dynamic and geometric state of an ice body has become common practice. These methods have primarily focussed on inverting for one of the two least known properties in glaciology, namely the basal friction coefficient or the ice viscosity parameter. Here, we present an approach to infer both properties simultaneously for the whole of the Antarctic ice sheet. After the assimilation, the root-mean-square deviation between modelled and observed surface velocities attains 8.7 ma(-1) for the entire domain, with a slightly higher value of 14.0 ma(-1) for the ice shelves. An exception in terms of the velocity mismatch is the Thwaites Glacier Ice Shelf, where the RMS value is almost 70 ma(-1). The reason is that the underlying Bedmap2 geometry ignores the presence of an ice rise, which exerts major control on the dynamics of the eastern part of the ice shelf. On these grounds, we suggest an approach to account for pinning points not included in Bedmap2 by locally allowing an optimisation of basal friction during the inversion. In this way, the velocity mismatch on the ice shelf of Thwaites Glacier is more than halved. A characteristic velocity mismatch pattern emerges for unaccounted pinning points close to the marine shelf front. This pattern is exploited to manually identify seven uncharted features around Antarctica that exert significant resistance to the shelf flow. Potential pinning points are detected on Fimbul, West, Shackleton, Nickerson and Venable ice shelves. As pinning points can provide substantial resistance to shelf flow, with considerable consequences if they became ungrounded in the future, the model community is in need of detailed bathymetry there. Our data assimilation points to some of these dynamically important features not present in Bedmap2 and implicitly quantifies their relevance.</t>
  </si>
  <si>
    <t>[Fuerst, J. J.; Durand, G.; Gillet-Chaulet, F.; Merino, N.; Tavard, L.; Gagliardini, O.] CNRS, Lab Glaciol &amp; Geophys Environm, Grenoble, France; [Fuerst, J. J.; Durand, G.; Gillet-Chaulet, F.; Merino, N.; Tavard, L.; Gagliardini, O.] Univ Grenoble Alpes, LGGE, Grenoble, France; [Mouginot, J.] Univ Calif Irvine, Dept Earth Syst Sci, Irvine, CA USA; [Gourmelen, N.] Univ Edinburgh, Sch Geosci, Edinburgh, Midlothian, Scotland; [Gagliardini, O.] Inst Univ France, Paris, France</t>
  </si>
  <si>
    <t>Communaute Universite Grenoble Alpes; Universite Grenoble Alpes (UGA); Centre National de la Recherche Scientifique (CNRS); Communaute Universite Grenoble Alpes; Universite Grenoble Alpes (UGA); University of California System; University of California Irvine; University of Edinburgh; Institut Universitaire de France</t>
  </si>
  <si>
    <t>Fürst, JJ (corresponding author), CNRS, Lab Glaciol &amp; Geophys Environm, Grenoble, France.</t>
  </si>
  <si>
    <t>johannes.fuerst@lgge.obs.ujf-grenoble.fr</t>
  </si>
  <si>
    <t>Mouginot, Jeremie/G-7045-2015; Gagliardini, Olivier/GQQ-1222-2022</t>
  </si>
  <si>
    <t>Mouginot, Jeremie/0000-0001-9155-5455; Gagliardini, Olivier/0000-0001-9162-3518; Furst, Johannes/0000-0003-3988-5849</t>
  </si>
  <si>
    <t>French National Research Agency (ANR) under the SUMER [Blanc SIMI 6, ANR-12-BS06-0018]; Rhone-Alpes region [C P E R0713 CIRA]; OSUG labex [ANR10 LABX56]; Equip@Meso project of the programme Investissements d'Avenir [ANR-10-EQPX-29-01]; Agence Nationale de la Recherche (ANR) [ANR-12-BS06-0018] Funding Source: Agence Nationale de la Recherche (ANR)</t>
  </si>
  <si>
    <t>French National Research Agency (ANR) under the SUMER(Agence Nationale de la Recherche (ANR)); Rhone-Alpes region(Region Auvergne-Rhone-Alpes); OSUG labex; Equip@Meso project of the programme Investissements d'Avenir(Agence Nationale de la Recherche (ANR)); Agence Nationale de la Recherche (ANR)(Agence Nationale de la Recherche (ANR))</t>
  </si>
  <si>
    <t>This study was funded by the French National Research Agency (ANR) under the SUMER (Blanc SIMI 6) 2012 project referenced as ANR-12-BS06-0018. Results presented in this publications are based on numerical simulation performed on two platforms for scientific computing. Part of the simulations were conducted using the Froggy platform of the CIMENT (Calcul Intensif/Modelisation/Experimentation Numerique et Technologique) infrastructure, which is supported by the Rhone-Alpes region (grant C P E R0713 CIRA), the OSUG@2020 labex (reference ANR10 LABX56) and the Equip@Meso project (reference ANR-10-EQPX-29-01) of the programme Investissements d'Avenir supervised by the Agence Nationale pour la Recherche. The other part of the simulations were conducted at the CINES (Centre Informatique National de l'Enseignement Superieur) computing centre under allocation 2015-016066 from GENCI (Grand Equipement National de Calcul Intensif). Results presented here also received support and benefited from the development team at the CSC-IT Center for Science Ltd. (Finland).</t>
  </si>
  <si>
    <t>10.5194/tc-9-1427-2015</t>
  </si>
  <si>
    <t>CQ5QY</t>
  </si>
  <si>
    <t>WOS:000360661700008</t>
  </si>
  <si>
    <t>Istomina, L; Heygster, G; Huntemann, M; Schwarz, P; Birnbaum, G; Scharien, R; Polashenski, C; Perovich, D; Zege, E; Malinka, A; Prikhach, A; Katsev, I</t>
  </si>
  <si>
    <t>Istomina, L.; Heygster, G.; Huntemann, M.; Schwarz, P.; Birnbaum, G.; Scharien, R.; Polashenski, C.; Perovich, D.; Zege, E.; Malinka, A.; Prikhach, A.; Katsev, I.</t>
  </si>
  <si>
    <t>Melt pond fraction and spectral sea ice albedo retrieval from MERIS data - Part 1: Validation against in situ, aerial, and ship cruise data</t>
  </si>
  <si>
    <t>The presence of melt ponds on the Arctic sea ice strongly affects the energy balance of the Arctic Ocean in summer. It affects albedo as well as transmittance through the sea ice, which has consequences for the heat balance and mass balance of sea ice. An algorithm to retrieve melt pond fraction and sea ice albedo from Medium Resolution Imaging Spectrometer (MERIS) data is validated against aerial, shipborne and in situ campaign data. The results show the best correlation for lanclfast and multiyear ice of high ice concentrations. For broadband albedo, R-2 is equal to 0.85, with the RMS (root mean square) being equal to 0.068; for the melt pond fraction, R-2 is equal to 0.36, with the RMS being equal to 0.065. The correlation for lower ice concentrations, subpixel ice floes, blue ice and wet ice is lower due to ice drift and challenging for the retrieval surface conditions. Combining all aerial observations gives a mean albedo RMS of 0.089 and a mean melt pond fraction RMS of 0.22. The in situ melt pond fraction correlation is R-2 = 0.52 with an RMS = 0.14. Ship cruise data might be affected by documentation of varying accuracy within the Antarctic Sea Ice Processes and Climate (ASPeCt) protocol, which may contribute to the discrepancy between the satellite value and the observed value: mean R-2 = 0.044, mean RMS = 0.16. An additional dynamic spatial cloud filter for MERIS over snow and ice has been developed to assist with the validation on swath data.</t>
  </si>
  <si>
    <t>[Istomina, L.; Heygster, G.; Huntemann, M.] Univ Bremen, Inst Environm Phys, D-28359 Bremen, Germany; [Schwarz, P.] Univ Trier, Dept Environm Meteorol, Trier, Germany; [Birnbaum, G.] Helmholtz Ctr Polar &amp; Marine Res, Alfred Wegener Inst, Bremerhaven, Germany; [Scharien, R.] Univ Victoria, Dept Geog, Victoria, BC, Canada; [Polashenski, C.; Perovich, D.] US Army, Cold Reg Res &amp; Engn Lab, Engineer Res &amp; Dev Ctr, Hanover, NH 03755 USA; [Zege, E.; Malinka, A.; Prikhach, A.; Katsev, I.] Natl Acad Sci Belarus, BI Stepanov Phys Inst, Minsk, BELARUS</t>
  </si>
  <si>
    <t>University of Bremen; Universitat Trier; Helmholtz Association; Alfred Wegener Institute, Helmholtz Centre for Polar &amp; Marine Research; University of Victoria; United States Department of Defense; United States Army; U.S. Army Corps of Engineers; U.S. Army Engineer Research &amp; Development Center (ERDC); Cold Regions Research &amp; Engineering Laboratory (CRREL); National Academy of Sciences of Belarus (NASB); B.I. Stepanov Institute of Physics of the National Academy of Sciences of Belarus</t>
  </si>
  <si>
    <t>Istomina, L (corresponding author), Univ Bremen, Inst Environm Phys, D-28359 Bremen, Germany.</t>
  </si>
  <si>
    <t>lora@iup.physik.uni-bremen.de</t>
  </si>
  <si>
    <t>Prikhach, Alexander/ABB-5719-2020; Malinka, Aleksey/AAW-3377-2021; Birnbaum, Gerit/D-4350-2014; Heygster, Georg C./B-4928-2014</t>
  </si>
  <si>
    <t>Malinka, Aleksey/0000-0002-0651-5115; Istomina, Larysa/0000-0002-0946-1386; Birnbaum, Gerit/0000-0002-0252-6781; Heygster, Georg/0000-0003-2232-7429</t>
  </si>
  <si>
    <t>Centre for Earth Observation Science at the University of Manitoba; Polar Continental Shelf Project; EU project SIDARUS</t>
  </si>
  <si>
    <t>Centre for Earth Observation Science at the University of Manitoba; Polar Continental Shelf Project(Natural Resources Canada); EU project SIDARUS</t>
  </si>
  <si>
    <t>The authors express gratitude to Stefan Hendricks for providing photos of the hourly bridge observations of the TransArc 2011 cruise, to Daniel Steinhage for providing photos taken with a downward-looking camera during the aircraft campaign NOGRAM-2 2011, to the C-ICE 2002 participants, J. Yackel and the Cryosphere Climate Research Group, Department of Geography, University of Calgary. The Centre for Earth Observation Science at the University of Manitoba and the Polar Continental Shelf Project are gratefully recognized for their logistic and financial support.; This work has been funded as a part of EU project SIDARUS.</t>
  </si>
  <si>
    <t>10.5194/tc-9-1551-2015</t>
  </si>
  <si>
    <t>WOS:000360661700015</t>
  </si>
  <si>
    <t>Zou, KY; Liu, XC</t>
  </si>
  <si>
    <t>Zou Keyuan; Liu Xinchang</t>
  </si>
  <si>
    <t>New Trends in China's Practice in Antarctic Expedition Management</t>
  </si>
  <si>
    <t>INTERNATIONAL JOURNAL OF MARINE AND COASTAL LAW</t>
  </si>
  <si>
    <t>Yang, Fan/JVO-8611-2024; Zou, Keyuan/AAG-4874-2019; Zou, Keyuan/ABD-6549-2020</t>
  </si>
  <si>
    <t>MARTINUS NIJHOFF PUBL</t>
  </si>
  <si>
    <t>LEIDEN</t>
  </si>
  <si>
    <t>PO BOX 9000, LEIDEN, 2300 PA, NETHERLANDS</t>
  </si>
  <si>
    <t>0927-3522</t>
  </si>
  <si>
    <t>1571-8085</t>
  </si>
  <si>
    <t>INT J MAR COAST LAW</t>
  </si>
  <si>
    <t>Int. J. Mar. Coast. Law</t>
  </si>
  <si>
    <t>10.1163/15718085-12341369</t>
  </si>
  <si>
    <t>CQ2UM</t>
  </si>
  <si>
    <t>WOS:000360457200006</t>
  </si>
  <si>
    <t>Pilo, GS; Mata, MM; Azevedo, JLL</t>
  </si>
  <si>
    <t>Pilo, G. S.; Mata, M. M.; Azevedo, J. L. L.</t>
  </si>
  <si>
    <t>Eddy surface properties and propagation at Southern Hemisphere western boundary current systems</t>
  </si>
  <si>
    <t>EAST AUSTRALIAN CURRENT; MESOSCALE EDDIES; BRAZIL CURRENT; AGULHAS RINGS; ATLANTIC; DECAY; DYNAMICS; VARIABILITY; CIRCULATION; SIGNATURE</t>
  </si>
  <si>
    <t>Oceanic eddies exist throughout the world oceans, but are more energetic when associated with western boundary currents (WBC) systems. In these regions, eddies play an important role in mixing and energy exchange. Therefore, it is important to quantify and qualify eddies associated with these systems. This is particularly true for the Southern Hemisphere WBC system where only few eddy censuses have been performed to date. In these systems, important aspects of the local eddy population are still unknown, like their spatial distribution and propagation patterns. Moreover, the understanding of these patterns helps to establish monitoring programs and to gain insight in how eddies would affect local mixing. Here, we use a global eddy data set to qualify eddies based on their surface characteristics in the Agulhas Current (AC), the Brazil Current (BC) and the East Australian Current (EAC) systems. The analyses reveal that eddy propagation within each system is highly forced by the local mean flow and bathymetry. Large values of eddy amplitude and temporal variability are associated with the BC and EAC retroflections, while small values occur in the centre of the Argentine Basin and in the Tasman Sea. In the AC system, eddy polarity dictates the propagation distance. BC system eddies do not propagate beyond the Argentine Basin, and are advected by the local ocean circulation. EAC system eddies from both polarities cross south of Tasmania but only the anticyclonic ones reach the Great Australian Bight. For all three WBC systems, both cyclonic and anticyclonic eddies present a geographical segregation according to radius size and amplitude. Regions of high eddy kinetic energy are associated with the eddies' mean amplitudes, and not with their densities.</t>
  </si>
  <si>
    <t>[Pilo, G. S.; Mata, M. M.; Azevedo, J. L. L.] Univ Fed Rio Grande FURG, Inst Oceanog, Lab Estudos Oceanos &amp; Clima, Rio Grande, RS, Brazil</t>
  </si>
  <si>
    <t>Pilo, GS (corresponding author), Univ Tasmania, Inst Marine &amp; Antarctic Studies, Hobart, Tas 7001, Australia.</t>
  </si>
  <si>
    <t>gabriela.semolinipilo@utas.edu.au</t>
  </si>
  <si>
    <t>; Mata, Mauricio/H-4605-2011</t>
  </si>
  <si>
    <t>Azevedo, Jose Luiz/0000-0001-5799-1261; Pilo, Gabriela/0000-0002-8590-8645; Mata, Mauricio/0000-0002-9028-8284</t>
  </si>
  <si>
    <t>Brazilian Research Council (CNPq) [558262/2009-0]; CNPq [557171/2009-1, 475529/2012-0]; CNES</t>
  </si>
  <si>
    <t>Brazilian Research Council (CNPq)(Conselho Nacional de Desenvolvimento Cientifico e Tecnologico (CNPQ)); CNPq(Conselho Nacional de Desenvolvimento Cientifico e Tecnologico (CNPQ)); CNES(Centre National D'etudes Spatiales)</t>
  </si>
  <si>
    <t>This study is a contribution to the MOVAR project, funded by the Brazilian Research Council (CNPq; grant 558262/2009-0). G. S. Pilo and M. M. Mata acknowledge financial support received from CNPq (grants 557171/2009-1 and 475529/2012-0). We thank D. Chelton and M. Saraceno for useful discussions that greatly improved the original manuscript, and Richard Coleman for helping with the manuscript's review and grammar corrections. We thank the two anonymous referees that contributed a lot to improve the quality of this manuscript. We also thank the group led by J. Williams on a review workshop that also contributed to the overall improvement of the manuscript. The Reference Series Aviso altimeter products were produced by Ssalto/Duacs and distributed by Aviso, with support from CNES (http://www.aviso.altimetry.fr/duacs, downloaded in September 2013). The global eddy data set was developed and made freely available by D. Chelton and M. Schlax (http://cioss.coas.oregonstate.edu/eddies/, downloaded in December 2011).</t>
  </si>
  <si>
    <t>10.5194/os-11-629-2015</t>
  </si>
  <si>
    <t>CQ5PI</t>
  </si>
  <si>
    <t>WOS:000360657200009</t>
  </si>
  <si>
    <t>Thomsen, HA; Ostergaard, JB</t>
  </si>
  <si>
    <t>Thomsen, Helge A.; Ostergaard, Jette B.</t>
  </si>
  <si>
    <t>Coccolithophorids in Polar Waters: Mercedesia gen. nov., Ericiolus, Quaternariella and Porsildia gen. nov.</t>
  </si>
  <si>
    <t>coccolithophorid; Mercedesia; Ericiolus; Quaternariella; Porsildia; Polar Regions; electron microscopy</t>
  </si>
  <si>
    <t>ARCTIC COCCOLITHOPHORIDS; WEST GREENLAND; PRYMNESIOPHYCEAE; ALASKA</t>
  </si>
  <si>
    <t>Coccolithophorid samples from arctic and antartic regions have been examined for an update on species morphology, life history aspects and biogeography for the coccolithophorid genera Ericiolus and Quaternariella and two other genera here described as new. Mercedesia gen. nov. comprises three new species, M. aspiphora sp. nov. from both polar regions, the arctic M. multistellata sp. nov. and the Antarctic M. pusilla sp. nov. The genus is characterized by its monomorphic nannoliths that are shaped like three-armed stars. The new arctic monospecific genus Porsildia gen. nov. is established for the heterococcolith-bearing species P. acerviphora sp. nov. Combination cells, from the arctic region, bearing holococcoliths of Quaternariella obscura and previously undescribed heterococcoliths, with a Papposphaeracean affinity, are described here for the first time.</t>
  </si>
  <si>
    <t>[Thomsen, Helge A.] Tech Univ Denmark, Natl Inst Aquat Resources, Charlottenlund, Denmark</t>
  </si>
  <si>
    <t>Technical University of Denmark</t>
  </si>
  <si>
    <t>Thomsen, HA (corresponding author), DTU Aqua, Jaegersborg Alle 1, DK-2920 Charlottenlund, Denmark.</t>
  </si>
  <si>
    <t>hat@aqua.dtu.dk</t>
  </si>
  <si>
    <t>Thomsen, Helge Abildhauge/0000-0002-0748-5755</t>
  </si>
  <si>
    <t>ERC Advanced Grant project MINOS [250254]; NRC project MicroPolar [225956/E10]</t>
  </si>
  <si>
    <t>ERC Advanced Grant project MINOS; NRC project MicroPolar</t>
  </si>
  <si>
    <t>Thanks are due to crew members and scientific personnel participating in the research cruises that supplied material for this publication. Staff at the Arctic Station, W. Greenland, are acknowledged for granting us access to the station and its facilities on many occasions. The work was supported by the ERC Advanced Grant project MINOS (project number 250254) and the NRC project MicroPolar (project number 225956/E10) through M. Heldal, University of Bergen. We greatly appreciate - courtesy of M. Heldal - the possibility to include SEM micrographs from various Svalbard localities. Thanks are due to an anonymous reviewer for providing multiple valuable suggestions for improving the manuscript.</t>
  </si>
  <si>
    <t>10.4467/16890027AP.15.013.3210</t>
  </si>
  <si>
    <t>CQ1SE</t>
  </si>
  <si>
    <t>WOS:000360378300001</t>
  </si>
  <si>
    <t>Rybalka, N; Boy, J; Nacke, H; Daniel, R; Friedl, T</t>
  </si>
  <si>
    <t>Rybalka, Nataliya; Boy, Jens; Nacke, Heiko; Daniel, Rolf; Friedl, Thomas</t>
  </si>
  <si>
    <t>MICROALGAE COMMUNITIES IN ANTARCTIC SOILS: CHANGES ALONG SOIL DEVELOPMENTAL STAGES AND TESTING FOR GEOGRAPHICAL DISTRIBUTION</t>
  </si>
  <si>
    <t>EUROPEAN JOURNAL OF PHYCOLOGY</t>
  </si>
  <si>
    <t>[Rybalka, Nataliya] Expt Phycol &amp; Culture Collect Algae SAG, D-37073 Gottingen, Germany; [Rybalka, Nataliya; Nacke, Heiko; Daniel, Rolf] Univ Gottingen, Genom &amp; Appl Microbiol, D-37073 Gottingen, Germany; [Boy, Jens] Leibniz Univ Hannover, Inst Soil Sci, D-30419 Hannover, Germany; [Friedl, Thomas] Univ Gottingen, Expt Phycol &amp; Culture Collect Algae SAG, D-37077 Gottingen, Germany</t>
  </si>
  <si>
    <t>University of Gottingen; Leibniz University Hannover; University of Gottingen</t>
  </si>
  <si>
    <t>nrybalk@uni-goettingen.de; boy@ifbk.uni-hannover.de; Heiko.Nacke@biologie.uni-goettingen.de; rdaniel@uni-goettingen.de; tfriedl@uni-goettingen.de</t>
  </si>
  <si>
    <t>Rybalka, Nataliya/K-7693-2019; Friedl, Thomas/AAS-4403-2021; Daniel, Rolf/AAQ-5933-2021; Boy, Jens/B-2926-2018</t>
  </si>
  <si>
    <t>Daniel, Rolf/0000-0002-8646-7925; Boy, Jens/0000-0002-2751-957X</t>
  </si>
  <si>
    <t>0967-0262</t>
  </si>
  <si>
    <t>1469-4433</t>
  </si>
  <si>
    <t>EUR J PHYCOL</t>
  </si>
  <si>
    <t>Eur. J. Phycol.</t>
  </si>
  <si>
    <t>1OR.16</t>
  </si>
  <si>
    <t>CP9VX</t>
  </si>
  <si>
    <t>WOS:000360244400026</t>
  </si>
  <si>
    <t>Alvarado, P; Huang, Y; Wang, J; Garrido, I; Diaz, MJ; Holtheuer, J; Leiva, S</t>
  </si>
  <si>
    <t>Alvarado, Pamela; Huang, Ying; Wang, Jian; Garrido, Ignacio; Diaz, Maria J.; Holtheuer, Jorge; Leiva, Sergio</t>
  </si>
  <si>
    <t>PHYLOGENETIC DIVERSITY OF EPIBIOTIC GRAM-POSITIVE BACTERIA ISOLATED FROM ANTARCTIC MACROALGAE</t>
  </si>
  <si>
    <t>[Alvarado, Pamela; Leiva, Sergio] Univ Austral Chile, Inst Bioquim &amp; Microbiol, Valdivia, Chile; [Huang, Ying; Wang, Jian] Chinese Acad Sci, Inst Microbiol, State Key Lab Microbial Resources, Beijing 100101, Peoples R China; [Garrido, Ignacio; Diaz, Maria J.; Holtheuer, Jorge] Univ Austral Chile, Inst Ciencias Marinas &amp; Limnol, Valdivia, Chile</t>
  </si>
  <si>
    <t>Universidad Austral de Chile; Chinese Academy of Sciences; Institute of Microbiology, CAS; Universidad Austral de Chile</t>
  </si>
  <si>
    <t>pame_bea@hotmail.com; huangy@im.ac.cn; galois2@126.com; garridoigna-cio87@gmail.com; mjdiaza@gmail.com; jorgeholtheuer@gmail.com; sleiva@uach.cl</t>
  </si>
  <si>
    <t>Alvarado, Pamela/JOJ-8930-2023</t>
  </si>
  <si>
    <t>4OR.3</t>
  </si>
  <si>
    <t>WOS:000360244400056</t>
  </si>
  <si>
    <t>Blackburn, SI; Jameson, ID; Albinsson, ME; Appleyard, S; Dunstan, G; Bolch, CJS; Negri, AP; Revill, A</t>
  </si>
  <si>
    <t>Blackburn, Susan I.; Jameson, Ian D.; Albinsson, Maria E.; Appleyard, Sharon; Dunstan, Graeme; Bolch, Christopher J. S.; Negri, Andrew P.; Revill, Andrew</t>
  </si>
  <si>
    <t>AUSTRALIAN NATIONAL ALGAE CULTURE COLLECTION - UNIQUE BIODIVERSITY INFORMING ECOSYSTEM KNOWLEDGE AND BIORESOURCES</t>
  </si>
  <si>
    <t>[Blackburn, Susan I.; Jameson, Ian D.] CSIRO, Natl Res Collect Australia, Hobart, Tas 7000, Australia; [Albinsson, Maria E.; Appleyard, Sharon; Dunstan, Graeme; Revill, Andrew] CSIRO, Ocean &amp; Atmosphere Flagship, Hobart, Tas 7000, Australia; [Bolch, Christopher J. S.] Univ Tasmania, Inst Marine &amp; Antarctic Studies, Launceston, Tas 7250, Australia; [Negri, Andrew P.] Australian Inst Marine Sci, Environm Chem, Townsville, Qld 4810, Australia</t>
  </si>
  <si>
    <t>Commonwealth Scientific &amp; Industrial Research Organisation (CSIRO); Commonwealth Scientific &amp; Industrial Research Organisation (CSIRO); University of Tasmania; Australian Institute of Marine Science</t>
  </si>
  <si>
    <t>susan.blackburn@csiro.au; ian.jameson@csiro.au; maria.albinsson@csiro.au; sharon.appleyard@csiro.au; susan.blackburn@csiro.au; Chris.Bolch@utas.edu.au; A.Negri@aims.gov.au; andy.revill@csiro.au</t>
  </si>
  <si>
    <t>Negri, Andrew P/G-9909-2017; Bolch, Christopher J/J-7619-2014; Appleyard, Sharon/AAJ-9942-2020; /AAY-2080-2020; Revill, Andrew T/B-8733-2011; appleyard, sharon/D-6076-2012; Blackburn, Susan I/M-9955-2013</t>
  </si>
  <si>
    <t>Appleyard, Sharon/0000-0002-3105-1690; /0000-0002-1365-9723; appleyard, sharon/0000-0002-3105-1690;</t>
  </si>
  <si>
    <t>4OR.4</t>
  </si>
  <si>
    <t>WOS:000360244400057</t>
  </si>
  <si>
    <t>Pazoutová, M; De Clerck, O; Del Cortona, A; Dauchot, N; Kosnar, J; Peters, AF; Rindi, F; Sherwood, AR; Smith, DR; Verbruggen, H; Rombauts, S</t>
  </si>
  <si>
    <t>Pazoutova, Marie; De Clerck, Olivier; Del Cortona, Andrea; Dauchot, Nicolas; Kosnar, Jiri; Peters, Akira F.; Rindi, Fabio; Sherwood, Alison R.; Smith, David R.; Verbruggen, Heroen; Rombauts, Stephane</t>
  </si>
  <si>
    <t>WHOLE GENOME SEQUENCING OF THE ANTARCTIC GREEN ALGA PRASIOLA CRISPA</t>
  </si>
  <si>
    <t>[Pazoutova, Marie; Kosnar, Jiri] Univ South Bohemia, Dept Bot, Ceske Budejovice 37005, Czech Republic; [De Clerck, Olivier] Univ Ghent, Dept Biol, Phycol Res Grp, B-9000 Ghent, Belgium; [Del Cortona, Andrea; Rombauts, Stephane] VIB Ugent, Dept Plant Syst Biol, B-9052 Ghent, Belgium; [Dauchot, Nicolas] Univ Namur, Res Unit Plant Biol, B-5000 Namur, Belgium; [Peters, Akira F.] Bezhin Rosko, F-29250 Santec, France; [Rindi, Fabio] Univ Politecn Marche, Dipartimento Sci Vita &amp; Ambiente, I-60131 Ancona, Italy; [Sherwood, Alison R.] Univ Hawaii Manoa, Dept Bot, Honolulu, HI 96822 USA; [Smith, David R.] Univ Western Ontario, Dept Biol, London, ON N6A 5B7, Canada; [Verbruggen, Heroen] Univ Melbourne, Sch BioSci, Melbourne, Vic 3010, Australia</t>
  </si>
  <si>
    <t>University of South Bohemia Ceske Budejovice; Ghent University; Flanders Institute for Biotechnology (VIB); Ghent University; University of Namur; Marche Polytechnic University; University of Hawaii System; University of Hawaii Manoa; Western University (University of Western Ontario); Melbourne Genomics Health Alliance; University of Melbourne</t>
  </si>
  <si>
    <t>marie.pazoutova@gmail.com; olivier.declerck@ugent.be; andrea.delcortona@gmail.com; nicolas.dauchot@unamur.be; JiriKosnar@seznam.cz; akirapeters@gmail.com; f.rindi@univpm.it; asherwoo@hawaii.edu; dsmit242@uwo.ca; heroen.verbruggen@gmail.com; strom@psb.ugent.be</t>
  </si>
  <si>
    <t>Rindi, Fabio/ITU-7669-2023; Pazoutova, Marie/AGH-1374-2022; Verbruggen, Heroen/C-6951-2009; Rombauts, Stephane/D-7640-2014; De Clerck, Olivier/AAU-4295-2020; Rindi, Fabio/H-7147-2019; Smith, David Roy/L-7910-2015</t>
  </si>
  <si>
    <t>Verbruggen, Heroen/0000-0002-6305-4749; Rombauts, Stephane/0000-0002-3985-4981; Smith, David Roy/0000-0001-9560-5210</t>
  </si>
  <si>
    <t>5OR.7</t>
  </si>
  <si>
    <t>WOS:000360244400073</t>
  </si>
  <si>
    <t>Jungblut, AD; Krusor, M; Mackey, T; Sumner, D; Hawes, I</t>
  </si>
  <si>
    <t>Jungblut, Anne D.; Krusor, Megan; Mackey, Tyler; Sumner, Dawn; Hawes, Ian</t>
  </si>
  <si>
    <t>CYANOBACTERIA AND MICROBIAL MATS IN ANTARCTIC TERRESTRIAL AQUATIC ECOSYSTEMS: DIVERSITY, DISTRIBUTION AND RESPONSE TO ENVIRONMENTAL VARIABLES</t>
  </si>
  <si>
    <t>[Jungblut, Anne D.] Nat Hist Museum, Life Sci, London SW7 5BD, England; [Krusor, Megan; Mackey, Tyler] Univ Calif Davis, Dept Earth &amp; Planetary Sci, Davis, CA 95616 USA; [Sumner, Dawn] Univ Calif Davis, Dept Earth &amp; Planetary Sci, Davis, CA 95616 USA; [Hawes, Ian] Univ Canterbury, Gateway Antarctica, Christchurch, New Zealand</t>
  </si>
  <si>
    <t>Natural History Museum London; University of California System; University of California Davis; University of California System; University of California Davis; University of Canterbury</t>
  </si>
  <si>
    <t>a.jungblut@nhm.ac.uk; mkrusor@gmail.com; tjmackey@ucdavis.edu; dysumner@ucdavis.edu; ian.hawes@canterbury.ac.nz</t>
  </si>
  <si>
    <t>Sumner, Dawn Y/E-8744-2011</t>
  </si>
  <si>
    <t>9OR.5</t>
  </si>
  <si>
    <t>WOS:000360244400122</t>
  </si>
  <si>
    <t>Wulff, A; Torstensson, A</t>
  </si>
  <si>
    <t>Wulff, Angela; Torstensson, Anders</t>
  </si>
  <si>
    <t>AUTOTROPHS IN ANTARCTIC MELTWATER MICROBIAL MATS - THE TOUGH SURVIVORS</t>
  </si>
  <si>
    <t>[Wulff, Angela; Torstensson, Anders] Univ Gothenburg, Biol &amp; Environm Sci, SE-40530 Gothenburg, Sweden</t>
  </si>
  <si>
    <t>University of Gothenburg</t>
  </si>
  <si>
    <t>angela.wulff@bioenv.gu.se; anders.torstensson@bioenv.gu.se</t>
  </si>
  <si>
    <t>9OR.18</t>
  </si>
  <si>
    <t>WOS:000360244400135</t>
  </si>
  <si>
    <t>Küpper, FC</t>
  </si>
  <si>
    <t>Kuepper, Frithjof C.</t>
  </si>
  <si>
    <t>EXPLORATION OF ARCTIC AND ANTARCTIC SEAWEED BIODIVERSITY IN THE CONTEXT OF POLAR CLIMATE CHANGE</t>
  </si>
  <si>
    <t>[Kuepper, Frithjof C.] Univ Aberdeen, Oceanlab, Newburgh AB41 6AA, Aberdeen, Scotland; [Kuepper, Frithjof C.] Univ Aberdeen, Sch Biol Sci, Newburgh AB41 6AA, Aberdeen, Scotland</t>
  </si>
  <si>
    <t>University of Aberdeen; University of Aberdeen</t>
  </si>
  <si>
    <t>fkuepper@abdn.ac.uk</t>
  </si>
  <si>
    <t>NERC [dml011000] Funding Source: UKRI; Natural Environment Research Council [dml011000] Funding Source: researchfish</t>
  </si>
  <si>
    <t>10OR.11</t>
  </si>
  <si>
    <t>WOS:000360244400150</t>
  </si>
  <si>
    <t>Hurd, CL</t>
  </si>
  <si>
    <t>Hurd, Catriona L.</t>
  </si>
  <si>
    <t>SLOW FLOW HABITATS AS REFUGIA FOR CORALLINE ALGAE FROM OCEAN ACIDIFICATION</t>
  </si>
  <si>
    <t>[Hurd, Catriona L.] Univ Tasmania, Univ Otago, Inst Marine &amp; Antarctic Studies, Dept Bot, Hobart, Tas 7005, Australia</t>
  </si>
  <si>
    <t>catriona.hurd@utas.edu.au</t>
  </si>
  <si>
    <t>Hurd, Catriona L/J-2411-2013</t>
  </si>
  <si>
    <t>14OR.8</t>
  </si>
  <si>
    <t>WOS:000360244400183</t>
  </si>
  <si>
    <t>Parker, BM; Davey, MP; Norman, L; Schlarb-Ridley, BG; Smith, AG</t>
  </si>
  <si>
    <t>Parker, Brenda M.; Davey, Matthew P.; Norman, Louiza; Schlarb-Ridley, Beatrix G.; Smith, Alison G.</t>
  </si>
  <si>
    <t>BIOMASS FROM BRINE: SCALE UP OF NITRATE BIOREMEDIATION EXPERIMENTS</t>
  </si>
  <si>
    <t>[Parker, Brenda M.] UCL, Biochem Engn, London WC1H 0AH, England; [Davey, Matthew P.; Norman, Louiza; Smith, Alison G.] Univ Cambridge, Plant Sci, Cambridge CB2 3EA, England; [Schlarb-Ridley, Beatrix G.] British Antarctic Survey, Innovat &amp; Impact, Cambridge CB3 0ET, England</t>
  </si>
  <si>
    <t>University of London; University College London; University of Cambridge; UK Research &amp; Innovation (UKRI); Natural Environment Research Council (NERC); NERC British Antarctic Survey</t>
  </si>
  <si>
    <t>brenda.parker@ucl.ac.uk; mpd39@cam.ac.uk; ln293@cam.ac.uk; beatrix@bas.ac.uk; as25@cam.ac.uk</t>
  </si>
  <si>
    <t>Parker, Brenda M/B-1302-2016</t>
  </si>
  <si>
    <t>3PO.11</t>
  </si>
  <si>
    <t>WOS:000360244400253</t>
  </si>
  <si>
    <t>Leal, PP; Hurd, CL; Sander, SS; Armstrong, E; Fernández, PA; Roleda, MY</t>
  </si>
  <si>
    <t>Leal, Pablo P.; Hurd, Catriona L.; Sander, Sylvia S.; Armstrong, Evelyn; Fernandez, Pamela A.; Roleda, Michael Y.</t>
  </si>
  <si>
    <t>EFFECTS OF SEAWATER pH TEMPERATURE AND COPPER EXPOSURE ON THE DEVELOPMENT OF MEIOSPORES OF THE KELPS MACROCYSTIS PYRIFERA AND UNDARIA PINNATIFIDA (LAMINARIALES, OCHROPHYTA)</t>
  </si>
  <si>
    <t>[Leal, Pablo P.; Fernandez, Pamela A.] Univ Otago, Dept Bot, Dunedin 9016, New Zealand; [Hurd, Catriona L.] Univ Tasmania, Inst Marine &amp; Antarctic Studies, Hobart, Tas 7004, Australia; [Sander, Sylvia S.; Armstrong, Evelyn] Univ Otago, Dept Chem, Dunedin 9016, New Zealand; [Roleda, Michael Y.] Norwegian Inst Agr &amp; Environm Res, Bioforsk, N-8049 Bodo, Norway</t>
  </si>
  <si>
    <t>University of Otago; University of Tasmania; University of Otago; Bioforsk</t>
  </si>
  <si>
    <t>pablo.sandoval@otago.ac.nz; Catriona.Hurd@utas.edu.au; sylvias@chemistry.otago.ac.nz; earmstrong@chemistry.otago.ac.nz; pamela.fernandez@botany.otago.ac.nz; Michael.Roleda@bioforsk.no</t>
  </si>
  <si>
    <t>Leal, Pablo P./N-3927-2019; Sander, Sylvia/AAC-3559-2022; Fernandez, Pamela/AAX-1676-2021; Hurd, Catriona L/J-2411-2013; Fernandez, Pamela Andrea/K-2021-2014</t>
  </si>
  <si>
    <t>Leal, Pablo P./0000-0002-7616-1850; Sander, Sylvia/0000-0001-9581-9737; Fernandez, Pamela/0000-0003-3122-0084; Fernandez, Pamela Andrea/0000-0003-3122-0084</t>
  </si>
  <si>
    <t>9PO.5</t>
  </si>
  <si>
    <t>WOS:000360244400298</t>
  </si>
  <si>
    <t>Rippin, M; Becker, B</t>
  </si>
  <si>
    <t>Rippin, Martin; Becker, Burkhard</t>
  </si>
  <si>
    <t>BIOLOGICAL SOIL CRUST DIVERSITY AND VARIABILITY OF THE ARCTIC AND ANTARCTIC</t>
  </si>
  <si>
    <t>[Rippin, Martin] Univ Cologne, Dept Biol, D-50674 Cologne, Germany; [Becker, Burkhard] Univ Cologne, Cologne Bioctr, D-50674 Cologne, Germany</t>
  </si>
  <si>
    <t>University of Cologne; University of Cologne</t>
  </si>
  <si>
    <t>martin.rippin@web.de; b.becker@uni-koeln.de</t>
  </si>
  <si>
    <t>Becker, Burkhard/I-4022-2012</t>
  </si>
  <si>
    <t>9PO.21</t>
  </si>
  <si>
    <t>WOS:000360244400314</t>
  </si>
  <si>
    <t>Pichrtová, M; Kulichová, J; Rysánek, D; Nemcová, Y</t>
  </si>
  <si>
    <t>Pichrtova, Martina; Kulichova, Jana; Rysanek, David; Nemcova, Yvonne</t>
  </si>
  <si>
    <t>MOLECULAR DIVERSITY OF ARCTIC AND ANTARCTIC MAT-FORMING ZYGNEMATOPHYCEAE</t>
  </si>
  <si>
    <t>[Pichrtova, Martina; Kulichova, Jana; Rysanek, David; Nemcova, Yvonne] Charles Univ Prague, Dept Bot, Fac Sci, Prague 12801, Czech Republic</t>
  </si>
  <si>
    <t>pichrtov@natur.cuni.cz; vesela6@natur.cuni.cz; rysadavid@seznam.cz; ynemcova@natur.cuni.cz</t>
  </si>
  <si>
    <t>Nemcova, Yvonne/I-6989-2015; Nemcova, Yvonne/HGC-1581-2022; Pichrtová, Martina/N-1298-2014; Kulichová, Jana/A-2486-2013; Ryšánek, David/G-8312-2018</t>
  </si>
  <si>
    <t>Nemcova, Yvonne/0000-0002-5396-5717; Pichrtová, Martina/0000-0002-6003-9666; Kulichová, Jana/0000-0001-8035-4770;</t>
  </si>
  <si>
    <t>9PO.22</t>
  </si>
  <si>
    <t>WOS:000360244400315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</si>
</sst>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1" x14ac:knownFonts="1">
    <font>
      <sz val="10"/>
      <name val="Arial"/>
    </font>
  </fonts>
  <fills count="2">
    <fill>
      <patternFill patternType="none"/>
    </fill>
    <fill>
      <patternFill patternType="gray125"/>
    </fill>
  </fills>
  <borders count="1">
    <border>
      <left/>
      <right/>
      <top/>
      <bottom/>
      <diagonal/>
    </border>
  </borders>
  <cellStyleXfs count="1">
    <xf numFmtId="0" fontId="0" fillId="0" borderId="0"/>
  </cellStyleXfs>
  <cellXfs count="1">
    <xf numFmtId="0" fontId="0" fillId="0" borderId="0" xfId="0"/>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T1001"/>
  <sheetViews>
    <sheetView tabSelected="1" workbookViewId="0"/>
  </sheetViews>
  <sheetFormatPr baseColWidth="10" defaultRowHeight="13" x14ac:dyDescent="0.15"/>
  <cols>
    <col min="1" max="256" width="8.83203125" customWidth="1"/>
  </cols>
  <sheetData>
    <row r="1" spans="1:72" x14ac:dyDescent="0.15">
      <c r="A1" t="s">
        <v>0</v>
      </c>
      <c r="B1" t="s">
        <v>1</v>
      </c>
      <c r="C1" t="s">
        <v>2</v>
      </c>
      <c r="D1" t="s">
        <v>3</v>
      </c>
      <c r="E1" t="s">
        <v>4</v>
      </c>
      <c r="F1" t="s">
        <v>5</v>
      </c>
      <c r="G1" t="s">
        <v>6</v>
      </c>
      <c r="H1" t="s">
        <v>7</v>
      </c>
      <c r="I1" t="s">
        <v>8</v>
      </c>
      <c r="J1" t="s">
        <v>9</v>
      </c>
      <c r="K1" t="s">
        <v>10</v>
      </c>
      <c r="L1" t="s">
        <v>11</v>
      </c>
      <c r="M1" t="s">
        <v>12</v>
      </c>
      <c r="N1" t="s">
        <v>13</v>
      </c>
      <c r="O1" t="s">
        <v>14</v>
      </c>
      <c r="P1" t="s">
        <v>15</v>
      </c>
      <c r="Q1" t="s">
        <v>16</v>
      </c>
      <c r="R1" t="s">
        <v>17</v>
      </c>
      <c r="S1" t="s">
        <v>18</v>
      </c>
      <c r="T1" t="s">
        <v>19</v>
      </c>
      <c r="U1" t="s">
        <v>20</v>
      </c>
      <c r="V1" t="s">
        <v>21</v>
      </c>
      <c r="W1" t="s">
        <v>22</v>
      </c>
      <c r="X1" t="s">
        <v>23</v>
      </c>
      <c r="Y1" t="s">
        <v>24</v>
      </c>
      <c r="Z1" t="s">
        <v>25</v>
      </c>
      <c r="AA1" t="s">
        <v>26</v>
      </c>
      <c r="AB1" t="s">
        <v>27</v>
      </c>
      <c r="AC1" t="s">
        <v>28</v>
      </c>
      <c r="AD1" t="s">
        <v>29</v>
      </c>
      <c r="AE1" t="s">
        <v>30</v>
      </c>
      <c r="AF1" t="s">
        <v>31</v>
      </c>
      <c r="AG1" t="s">
        <v>32</v>
      </c>
      <c r="AH1" t="s">
        <v>33</v>
      </c>
      <c r="AI1" t="s">
        <v>34</v>
      </c>
      <c r="AJ1" t="s">
        <v>35</v>
      </c>
      <c r="AK1" t="s">
        <v>36</v>
      </c>
      <c r="AL1" t="s">
        <v>37</v>
      </c>
      <c r="AM1" t="s">
        <v>38</v>
      </c>
      <c r="AN1" t="s">
        <v>39</v>
      </c>
      <c r="AO1" t="s">
        <v>40</v>
      </c>
      <c r="AP1" t="s">
        <v>41</v>
      </c>
      <c r="AQ1" t="s">
        <v>42</v>
      </c>
      <c r="AR1" t="s">
        <v>43</v>
      </c>
      <c r="AS1" t="s">
        <v>44</v>
      </c>
      <c r="AT1" t="s">
        <v>45</v>
      </c>
      <c r="AU1" t="s">
        <v>46</v>
      </c>
      <c r="AV1" t="s">
        <v>47</v>
      </c>
      <c r="AW1" t="s">
        <v>48</v>
      </c>
      <c r="AX1" t="s">
        <v>49</v>
      </c>
      <c r="AY1" t="s">
        <v>50</v>
      </c>
      <c r="AZ1" t="s">
        <v>51</v>
      </c>
      <c r="BA1" t="s">
        <v>52</v>
      </c>
      <c r="BB1" t="s">
        <v>53</v>
      </c>
      <c r="BC1" t="s">
        <v>54</v>
      </c>
      <c r="BD1" t="s">
        <v>55</v>
      </c>
      <c r="BE1" t="s">
        <v>56</v>
      </c>
      <c r="BF1" t="s">
        <v>57</v>
      </c>
      <c r="BG1" t="s">
        <v>58</v>
      </c>
      <c r="BH1" t="s">
        <v>59</v>
      </c>
      <c r="BI1" t="s">
        <v>60</v>
      </c>
      <c r="BJ1" t="s">
        <v>61</v>
      </c>
      <c r="BK1" t="s">
        <v>62</v>
      </c>
      <c r="BL1" t="s">
        <v>63</v>
      </c>
      <c r="BM1" t="s">
        <v>64</v>
      </c>
      <c r="BN1" t="s">
        <v>65</v>
      </c>
      <c r="BO1" t="s">
        <v>66</v>
      </c>
      <c r="BP1" t="s">
        <v>67</v>
      </c>
      <c r="BQ1" t="s">
        <v>68</v>
      </c>
      <c r="BR1" t="s">
        <v>69</v>
      </c>
      <c r="BS1" t="s">
        <v>70</v>
      </c>
      <c r="BT1" t="s">
        <v>71</v>
      </c>
    </row>
    <row r="2" spans="1:72" x14ac:dyDescent="0.15">
      <c r="A2" t="s">
        <v>72</v>
      </c>
      <c r="B2" t="s">
        <v>73</v>
      </c>
      <c r="C2" t="s">
        <v>74</v>
      </c>
      <c r="D2" t="s">
        <v>74</v>
      </c>
      <c r="E2" t="s">
        <v>74</v>
      </c>
      <c r="F2" t="s">
        <v>75</v>
      </c>
      <c r="G2" t="s">
        <v>74</v>
      </c>
      <c r="H2" t="s">
        <v>74</v>
      </c>
      <c r="I2" t="s">
        <v>76</v>
      </c>
      <c r="J2" t="s">
        <v>77</v>
      </c>
      <c r="K2" t="s">
        <v>74</v>
      </c>
      <c r="L2" t="s">
        <v>74</v>
      </c>
      <c r="M2" t="s">
        <v>78</v>
      </c>
      <c r="N2" t="s">
        <v>79</v>
      </c>
      <c r="O2" t="s">
        <v>74</v>
      </c>
      <c r="P2" t="s">
        <v>74</v>
      </c>
      <c r="Q2" t="s">
        <v>74</v>
      </c>
      <c r="R2" t="s">
        <v>74</v>
      </c>
      <c r="S2" t="s">
        <v>74</v>
      </c>
      <c r="T2" t="s">
        <v>74</v>
      </c>
      <c r="U2" t="s">
        <v>80</v>
      </c>
      <c r="V2" t="s">
        <v>81</v>
      </c>
      <c r="W2" t="s">
        <v>82</v>
      </c>
      <c r="X2" t="s">
        <v>83</v>
      </c>
      <c r="Y2" t="s">
        <v>84</v>
      </c>
      <c r="Z2" t="s">
        <v>85</v>
      </c>
      <c r="AA2" t="s">
        <v>86</v>
      </c>
      <c r="AB2" t="s">
        <v>87</v>
      </c>
      <c r="AC2" t="s">
        <v>88</v>
      </c>
      <c r="AD2" t="s">
        <v>89</v>
      </c>
      <c r="AE2" t="s">
        <v>90</v>
      </c>
      <c r="AF2" t="s">
        <v>74</v>
      </c>
      <c r="AG2">
        <v>42</v>
      </c>
      <c r="AH2">
        <v>6</v>
      </c>
      <c r="AI2">
        <v>7</v>
      </c>
      <c r="AJ2">
        <v>6</v>
      </c>
      <c r="AK2">
        <v>41</v>
      </c>
      <c r="AL2" t="s">
        <v>91</v>
      </c>
      <c r="AM2" t="s">
        <v>92</v>
      </c>
      <c r="AN2" t="s">
        <v>93</v>
      </c>
      <c r="AO2" t="s">
        <v>94</v>
      </c>
      <c r="AP2" t="s">
        <v>74</v>
      </c>
      <c r="AQ2" t="s">
        <v>74</v>
      </c>
      <c r="AR2" t="s">
        <v>95</v>
      </c>
      <c r="AS2" t="s">
        <v>96</v>
      </c>
      <c r="AT2" t="s">
        <v>97</v>
      </c>
      <c r="AU2">
        <v>2015</v>
      </c>
      <c r="AV2">
        <v>7</v>
      </c>
      <c r="AW2">
        <v>3</v>
      </c>
      <c r="AX2" t="s">
        <v>74</v>
      </c>
      <c r="AY2" t="s">
        <v>74</v>
      </c>
      <c r="AZ2" t="s">
        <v>74</v>
      </c>
      <c r="BA2" t="s">
        <v>74</v>
      </c>
      <c r="BB2">
        <v>547</v>
      </c>
      <c r="BC2">
        <v>553</v>
      </c>
      <c r="BD2" t="s">
        <v>74</v>
      </c>
      <c r="BE2" t="s">
        <v>98</v>
      </c>
      <c r="BF2" t="str">
        <f>HYPERLINK("http://dx.doi.org/10.1111/1758-2229.12287","http://dx.doi.org/10.1111/1758-2229.12287")</f>
        <v>http://dx.doi.org/10.1111/1758-2229.12287</v>
      </c>
      <c r="BG2" t="s">
        <v>74</v>
      </c>
      <c r="BH2" t="s">
        <v>74</v>
      </c>
      <c r="BI2">
        <v>7</v>
      </c>
      <c r="BJ2" t="s">
        <v>99</v>
      </c>
      <c r="BK2" t="s">
        <v>100</v>
      </c>
      <c r="BL2" t="s">
        <v>101</v>
      </c>
      <c r="BM2" t="s">
        <v>102</v>
      </c>
      <c r="BN2">
        <v>25727763</v>
      </c>
      <c r="BO2" t="s">
        <v>103</v>
      </c>
      <c r="BP2" t="s">
        <v>74</v>
      </c>
      <c r="BQ2" t="s">
        <v>74</v>
      </c>
      <c r="BR2" t="s">
        <v>104</v>
      </c>
      <c r="BS2" t="s">
        <v>105</v>
      </c>
      <c r="BT2" t="str">
        <f>HYPERLINK("https%3A%2F%2Fwww.webofscience.com%2Fwos%2Fwoscc%2Ffull-record%2FWOS:000354375100020","View Full Record in Web of Science")</f>
        <v>View Full Record in Web of Science</v>
      </c>
    </row>
    <row r="3" spans="1:72" x14ac:dyDescent="0.15">
      <c r="A3" t="s">
        <v>72</v>
      </c>
      <c r="B3" t="s">
        <v>106</v>
      </c>
      <c r="C3" t="s">
        <v>74</v>
      </c>
      <c r="D3" t="s">
        <v>74</v>
      </c>
      <c r="E3" t="s">
        <v>74</v>
      </c>
      <c r="F3" t="s">
        <v>107</v>
      </c>
      <c r="G3" t="s">
        <v>74</v>
      </c>
      <c r="H3" t="s">
        <v>74</v>
      </c>
      <c r="I3" t="s">
        <v>108</v>
      </c>
      <c r="J3" t="s">
        <v>109</v>
      </c>
      <c r="K3" t="s">
        <v>74</v>
      </c>
      <c r="L3" t="s">
        <v>74</v>
      </c>
      <c r="M3" t="s">
        <v>78</v>
      </c>
      <c r="N3" t="s">
        <v>79</v>
      </c>
      <c r="O3" t="s">
        <v>74</v>
      </c>
      <c r="P3" t="s">
        <v>74</v>
      </c>
      <c r="Q3" t="s">
        <v>74</v>
      </c>
      <c r="R3" t="s">
        <v>74</v>
      </c>
      <c r="S3" t="s">
        <v>74</v>
      </c>
      <c r="T3" t="s">
        <v>74</v>
      </c>
      <c r="U3" t="s">
        <v>110</v>
      </c>
      <c r="V3" t="s">
        <v>111</v>
      </c>
      <c r="W3" t="s">
        <v>112</v>
      </c>
      <c r="X3" t="s">
        <v>113</v>
      </c>
      <c r="Y3" t="s">
        <v>114</v>
      </c>
      <c r="Z3" t="s">
        <v>115</v>
      </c>
      <c r="AA3" t="s">
        <v>74</v>
      </c>
      <c r="AB3" t="s">
        <v>116</v>
      </c>
      <c r="AC3" t="s">
        <v>117</v>
      </c>
      <c r="AD3" t="s">
        <v>118</v>
      </c>
      <c r="AE3" t="s">
        <v>119</v>
      </c>
      <c r="AF3" t="s">
        <v>74</v>
      </c>
      <c r="AG3">
        <v>68</v>
      </c>
      <c r="AH3">
        <v>12</v>
      </c>
      <c r="AI3">
        <v>13</v>
      </c>
      <c r="AJ3">
        <v>1</v>
      </c>
      <c r="AK3">
        <v>30</v>
      </c>
      <c r="AL3" t="s">
        <v>120</v>
      </c>
      <c r="AM3" t="s">
        <v>121</v>
      </c>
      <c r="AN3" t="s">
        <v>122</v>
      </c>
      <c r="AO3" t="s">
        <v>123</v>
      </c>
      <c r="AP3" t="s">
        <v>124</v>
      </c>
      <c r="AQ3" t="s">
        <v>74</v>
      </c>
      <c r="AR3" t="s">
        <v>125</v>
      </c>
      <c r="AS3" t="s">
        <v>126</v>
      </c>
      <c r="AT3" t="s">
        <v>97</v>
      </c>
      <c r="AU3">
        <v>2015</v>
      </c>
      <c r="AV3">
        <v>35</v>
      </c>
      <c r="AW3">
        <v>3</v>
      </c>
      <c r="AX3" t="s">
        <v>74</v>
      </c>
      <c r="AY3" t="s">
        <v>74</v>
      </c>
      <c r="AZ3" t="s">
        <v>74</v>
      </c>
      <c r="BA3" t="s">
        <v>74</v>
      </c>
      <c r="BB3">
        <v>221</v>
      </c>
      <c r="BC3">
        <v>235</v>
      </c>
      <c r="BD3" t="s">
        <v>74</v>
      </c>
      <c r="BE3" t="s">
        <v>127</v>
      </c>
      <c r="BF3" t="str">
        <f>HYPERLINK("http://dx.doi.org/10.1007/s00367-015-0402-x","http://dx.doi.org/10.1007/s00367-015-0402-x")</f>
        <v>http://dx.doi.org/10.1007/s00367-015-0402-x</v>
      </c>
      <c r="BG3" t="s">
        <v>74</v>
      </c>
      <c r="BH3" t="s">
        <v>74</v>
      </c>
      <c r="BI3">
        <v>15</v>
      </c>
      <c r="BJ3" t="s">
        <v>128</v>
      </c>
      <c r="BK3" t="s">
        <v>100</v>
      </c>
      <c r="BL3" t="s">
        <v>129</v>
      </c>
      <c r="BM3" t="s">
        <v>130</v>
      </c>
      <c r="BN3" t="s">
        <v>74</v>
      </c>
      <c r="BO3" t="s">
        <v>74</v>
      </c>
      <c r="BP3" t="s">
        <v>74</v>
      </c>
      <c r="BQ3" t="s">
        <v>74</v>
      </c>
      <c r="BR3" t="s">
        <v>104</v>
      </c>
      <c r="BS3" t="s">
        <v>131</v>
      </c>
      <c r="BT3" t="str">
        <f>HYPERLINK("https%3A%2F%2Fwww.webofscience.com%2Fwos%2Fwoscc%2Ffull-record%2FWOS:000354194700005","View Full Record in Web of Science")</f>
        <v>View Full Record in Web of Science</v>
      </c>
    </row>
    <row r="4" spans="1:72" x14ac:dyDescent="0.15">
      <c r="A4" t="s">
        <v>72</v>
      </c>
      <c r="B4" t="s">
        <v>132</v>
      </c>
      <c r="C4" t="s">
        <v>74</v>
      </c>
      <c r="D4" t="s">
        <v>74</v>
      </c>
      <c r="E4" t="s">
        <v>74</v>
      </c>
      <c r="F4" t="s">
        <v>133</v>
      </c>
      <c r="G4" t="s">
        <v>74</v>
      </c>
      <c r="H4" t="s">
        <v>74</v>
      </c>
      <c r="I4" t="s">
        <v>134</v>
      </c>
      <c r="J4" t="s">
        <v>135</v>
      </c>
      <c r="K4" t="s">
        <v>74</v>
      </c>
      <c r="L4" t="s">
        <v>74</v>
      </c>
      <c r="M4" t="s">
        <v>78</v>
      </c>
      <c r="N4" t="s">
        <v>79</v>
      </c>
      <c r="O4" t="s">
        <v>74</v>
      </c>
      <c r="P4" t="s">
        <v>74</v>
      </c>
      <c r="Q4" t="s">
        <v>74</v>
      </c>
      <c r="R4" t="s">
        <v>74</v>
      </c>
      <c r="S4" t="s">
        <v>74</v>
      </c>
      <c r="T4" t="s">
        <v>136</v>
      </c>
      <c r="U4" t="s">
        <v>137</v>
      </c>
      <c r="V4" t="s">
        <v>138</v>
      </c>
      <c r="W4" t="s">
        <v>139</v>
      </c>
      <c r="X4" t="s">
        <v>140</v>
      </c>
      <c r="Y4" t="s">
        <v>141</v>
      </c>
      <c r="Z4" t="s">
        <v>142</v>
      </c>
      <c r="AA4" t="s">
        <v>143</v>
      </c>
      <c r="AB4" t="s">
        <v>144</v>
      </c>
      <c r="AC4" t="s">
        <v>145</v>
      </c>
      <c r="AD4" t="s">
        <v>146</v>
      </c>
      <c r="AE4" t="s">
        <v>147</v>
      </c>
      <c r="AF4" t="s">
        <v>74</v>
      </c>
      <c r="AG4">
        <v>78</v>
      </c>
      <c r="AH4">
        <v>56</v>
      </c>
      <c r="AI4">
        <v>64</v>
      </c>
      <c r="AJ4">
        <v>2</v>
      </c>
      <c r="AK4">
        <v>101</v>
      </c>
      <c r="AL4" t="s">
        <v>91</v>
      </c>
      <c r="AM4" t="s">
        <v>92</v>
      </c>
      <c r="AN4" t="s">
        <v>93</v>
      </c>
      <c r="AO4" t="s">
        <v>148</v>
      </c>
      <c r="AP4" t="s">
        <v>149</v>
      </c>
      <c r="AQ4" t="s">
        <v>74</v>
      </c>
      <c r="AR4" t="s">
        <v>150</v>
      </c>
      <c r="AS4" t="s">
        <v>151</v>
      </c>
      <c r="AT4" t="s">
        <v>97</v>
      </c>
      <c r="AU4">
        <v>2015</v>
      </c>
      <c r="AV4">
        <v>21</v>
      </c>
      <c r="AW4">
        <v>6</v>
      </c>
      <c r="AX4" t="s">
        <v>74</v>
      </c>
      <c r="AY4" t="s">
        <v>74</v>
      </c>
      <c r="AZ4" t="s">
        <v>74</v>
      </c>
      <c r="BA4" t="s">
        <v>74</v>
      </c>
      <c r="BB4">
        <v>2191</v>
      </c>
      <c r="BC4">
        <v>2205</v>
      </c>
      <c r="BD4" t="s">
        <v>74</v>
      </c>
      <c r="BE4" t="s">
        <v>152</v>
      </c>
      <c r="BF4" t="str">
        <f>HYPERLINK("http://dx.doi.org/10.1111/gcb.12878","http://dx.doi.org/10.1111/gcb.12878")</f>
        <v>http://dx.doi.org/10.1111/gcb.12878</v>
      </c>
      <c r="BG4" t="s">
        <v>74</v>
      </c>
      <c r="BH4" t="s">
        <v>74</v>
      </c>
      <c r="BI4">
        <v>15</v>
      </c>
      <c r="BJ4" t="s">
        <v>153</v>
      </c>
      <c r="BK4" t="s">
        <v>100</v>
      </c>
      <c r="BL4" t="s">
        <v>154</v>
      </c>
      <c r="BM4" t="s">
        <v>155</v>
      </c>
      <c r="BN4">
        <v>25626857</v>
      </c>
      <c r="BO4" t="s">
        <v>156</v>
      </c>
      <c r="BP4" t="s">
        <v>74</v>
      </c>
      <c r="BQ4" t="s">
        <v>74</v>
      </c>
      <c r="BR4" t="s">
        <v>104</v>
      </c>
      <c r="BS4" t="s">
        <v>157</v>
      </c>
      <c r="BT4" t="str">
        <f>HYPERLINK("https%3A%2F%2Fwww.webofscience.com%2Fwos%2Fwoscc%2Ffull-record%2FWOS:000353977500008","View Full Record in Web of Science")</f>
        <v>View Full Record in Web of Science</v>
      </c>
    </row>
    <row r="5" spans="1:72" x14ac:dyDescent="0.15">
      <c r="A5" t="s">
        <v>72</v>
      </c>
      <c r="B5" t="s">
        <v>158</v>
      </c>
      <c r="C5" t="s">
        <v>74</v>
      </c>
      <c r="D5" t="s">
        <v>74</v>
      </c>
      <c r="E5" t="s">
        <v>74</v>
      </c>
      <c r="F5" t="s">
        <v>159</v>
      </c>
      <c r="G5" t="s">
        <v>74</v>
      </c>
      <c r="H5" t="s">
        <v>74</v>
      </c>
      <c r="I5" t="s">
        <v>160</v>
      </c>
      <c r="J5" t="s">
        <v>135</v>
      </c>
      <c r="K5" t="s">
        <v>74</v>
      </c>
      <c r="L5" t="s">
        <v>74</v>
      </c>
      <c r="M5" t="s">
        <v>78</v>
      </c>
      <c r="N5" t="s">
        <v>79</v>
      </c>
      <c r="O5" t="s">
        <v>74</v>
      </c>
      <c r="P5" t="s">
        <v>74</v>
      </c>
      <c r="Q5" t="s">
        <v>74</v>
      </c>
      <c r="R5" t="s">
        <v>74</v>
      </c>
      <c r="S5" t="s">
        <v>74</v>
      </c>
      <c r="T5" t="s">
        <v>161</v>
      </c>
      <c r="U5" t="s">
        <v>162</v>
      </c>
      <c r="V5" t="s">
        <v>163</v>
      </c>
      <c r="W5" t="s">
        <v>164</v>
      </c>
      <c r="X5" t="s">
        <v>165</v>
      </c>
      <c r="Y5" t="s">
        <v>166</v>
      </c>
      <c r="Z5" t="s">
        <v>167</v>
      </c>
      <c r="AA5" t="s">
        <v>168</v>
      </c>
      <c r="AB5" t="s">
        <v>169</v>
      </c>
      <c r="AC5" t="s">
        <v>170</v>
      </c>
      <c r="AD5" t="s">
        <v>171</v>
      </c>
      <c r="AE5" t="s">
        <v>172</v>
      </c>
      <c r="AF5" t="s">
        <v>74</v>
      </c>
      <c r="AG5">
        <v>65</v>
      </c>
      <c r="AH5">
        <v>25</v>
      </c>
      <c r="AI5">
        <v>28</v>
      </c>
      <c r="AJ5">
        <v>1</v>
      </c>
      <c r="AK5">
        <v>54</v>
      </c>
      <c r="AL5" t="s">
        <v>91</v>
      </c>
      <c r="AM5" t="s">
        <v>92</v>
      </c>
      <c r="AN5" t="s">
        <v>93</v>
      </c>
      <c r="AO5" t="s">
        <v>148</v>
      </c>
      <c r="AP5" t="s">
        <v>149</v>
      </c>
      <c r="AQ5" t="s">
        <v>74</v>
      </c>
      <c r="AR5" t="s">
        <v>150</v>
      </c>
      <c r="AS5" t="s">
        <v>151</v>
      </c>
      <c r="AT5" t="s">
        <v>97</v>
      </c>
      <c r="AU5">
        <v>2015</v>
      </c>
      <c r="AV5">
        <v>21</v>
      </c>
      <c r="AW5">
        <v>6</v>
      </c>
      <c r="AX5" t="s">
        <v>74</v>
      </c>
      <c r="AY5" t="s">
        <v>74</v>
      </c>
      <c r="AZ5" t="s">
        <v>74</v>
      </c>
      <c r="BA5" t="s">
        <v>74</v>
      </c>
      <c r="BB5">
        <v>2454</v>
      </c>
      <c r="BC5">
        <v>2464</v>
      </c>
      <c r="BD5" t="s">
        <v>74</v>
      </c>
      <c r="BE5" t="s">
        <v>173</v>
      </c>
      <c r="BF5" t="str">
        <f>HYPERLINK("http://dx.doi.org/10.1111/gcb.12848","http://dx.doi.org/10.1111/gcb.12848")</f>
        <v>http://dx.doi.org/10.1111/gcb.12848</v>
      </c>
      <c r="BG5" t="s">
        <v>74</v>
      </c>
      <c r="BH5" t="s">
        <v>74</v>
      </c>
      <c r="BI5">
        <v>11</v>
      </c>
      <c r="BJ5" t="s">
        <v>153</v>
      </c>
      <c r="BK5" t="s">
        <v>100</v>
      </c>
      <c r="BL5" t="s">
        <v>154</v>
      </c>
      <c r="BM5" t="s">
        <v>155</v>
      </c>
      <c r="BN5">
        <v>25545349</v>
      </c>
      <c r="BO5" t="s">
        <v>74</v>
      </c>
      <c r="BP5" t="s">
        <v>74</v>
      </c>
      <c r="BQ5" t="s">
        <v>74</v>
      </c>
      <c r="BR5" t="s">
        <v>104</v>
      </c>
      <c r="BS5" t="s">
        <v>174</v>
      </c>
      <c r="BT5" t="str">
        <f>HYPERLINK("https%3A%2F%2Fwww.webofscience.com%2Fwos%2Fwoscc%2Ffull-record%2FWOS:000353977500029","View Full Record in Web of Science")</f>
        <v>View Full Record in Web of Science</v>
      </c>
    </row>
    <row r="6" spans="1:72" x14ac:dyDescent="0.15">
      <c r="A6" t="s">
        <v>72</v>
      </c>
      <c r="B6" t="s">
        <v>175</v>
      </c>
      <c r="C6" t="s">
        <v>74</v>
      </c>
      <c r="D6" t="s">
        <v>74</v>
      </c>
      <c r="E6" t="s">
        <v>74</v>
      </c>
      <c r="F6" t="s">
        <v>176</v>
      </c>
      <c r="G6" t="s">
        <v>74</v>
      </c>
      <c r="H6" t="s">
        <v>74</v>
      </c>
      <c r="I6" t="s">
        <v>177</v>
      </c>
      <c r="J6" t="s">
        <v>178</v>
      </c>
      <c r="K6" t="s">
        <v>74</v>
      </c>
      <c r="L6" t="s">
        <v>74</v>
      </c>
      <c r="M6" t="s">
        <v>78</v>
      </c>
      <c r="N6" t="s">
        <v>79</v>
      </c>
      <c r="O6" t="s">
        <v>74</v>
      </c>
      <c r="P6" t="s">
        <v>74</v>
      </c>
      <c r="Q6" t="s">
        <v>74</v>
      </c>
      <c r="R6" t="s">
        <v>74</v>
      </c>
      <c r="S6" t="s">
        <v>74</v>
      </c>
      <c r="T6" t="s">
        <v>179</v>
      </c>
      <c r="U6" t="s">
        <v>180</v>
      </c>
      <c r="V6" t="s">
        <v>181</v>
      </c>
      <c r="W6" t="s">
        <v>182</v>
      </c>
      <c r="X6" t="s">
        <v>183</v>
      </c>
      <c r="Y6" t="s">
        <v>184</v>
      </c>
      <c r="Z6" t="s">
        <v>185</v>
      </c>
      <c r="AA6" t="s">
        <v>186</v>
      </c>
      <c r="AB6" t="s">
        <v>187</v>
      </c>
      <c r="AC6" t="s">
        <v>188</v>
      </c>
      <c r="AD6" t="s">
        <v>189</v>
      </c>
      <c r="AE6" t="s">
        <v>190</v>
      </c>
      <c r="AF6" t="s">
        <v>74</v>
      </c>
      <c r="AG6">
        <v>64</v>
      </c>
      <c r="AH6">
        <v>15</v>
      </c>
      <c r="AI6">
        <v>17</v>
      </c>
      <c r="AJ6">
        <v>0</v>
      </c>
      <c r="AK6">
        <v>37</v>
      </c>
      <c r="AL6" t="s">
        <v>91</v>
      </c>
      <c r="AM6" t="s">
        <v>92</v>
      </c>
      <c r="AN6" t="s">
        <v>93</v>
      </c>
      <c r="AO6" t="s">
        <v>191</v>
      </c>
      <c r="AP6" t="s">
        <v>192</v>
      </c>
      <c r="AQ6" t="s">
        <v>74</v>
      </c>
      <c r="AR6" t="s">
        <v>193</v>
      </c>
      <c r="AS6" t="s">
        <v>194</v>
      </c>
      <c r="AT6" t="s">
        <v>97</v>
      </c>
      <c r="AU6">
        <v>2015</v>
      </c>
      <c r="AV6">
        <v>42</v>
      </c>
      <c r="AW6">
        <v>6</v>
      </c>
      <c r="AX6" t="s">
        <v>74</v>
      </c>
      <c r="AY6" t="s">
        <v>74</v>
      </c>
      <c r="AZ6" t="s">
        <v>74</v>
      </c>
      <c r="BA6" t="s">
        <v>74</v>
      </c>
      <c r="BB6">
        <v>1103</v>
      </c>
      <c r="BC6">
        <v>1113</v>
      </c>
      <c r="BD6" t="s">
        <v>74</v>
      </c>
      <c r="BE6" t="s">
        <v>195</v>
      </c>
      <c r="BF6" t="str">
        <f>HYPERLINK("http://dx.doi.org/10.1111/jbi.12497","http://dx.doi.org/10.1111/jbi.12497")</f>
        <v>http://dx.doi.org/10.1111/jbi.12497</v>
      </c>
      <c r="BG6" t="s">
        <v>74</v>
      </c>
      <c r="BH6" t="s">
        <v>74</v>
      </c>
      <c r="BI6">
        <v>11</v>
      </c>
      <c r="BJ6" t="s">
        <v>196</v>
      </c>
      <c r="BK6" t="s">
        <v>100</v>
      </c>
      <c r="BL6" t="s">
        <v>197</v>
      </c>
      <c r="BM6" t="s">
        <v>198</v>
      </c>
      <c r="BN6" t="s">
        <v>74</v>
      </c>
      <c r="BO6" t="s">
        <v>74</v>
      </c>
      <c r="BP6" t="s">
        <v>74</v>
      </c>
      <c r="BQ6" t="s">
        <v>74</v>
      </c>
      <c r="BR6" t="s">
        <v>104</v>
      </c>
      <c r="BS6" t="s">
        <v>199</v>
      </c>
      <c r="BT6" t="str">
        <f>HYPERLINK("https%3A%2F%2Fwww.webofscience.com%2Fwos%2Fwoscc%2Ffull-record%2FWOS:000354289100010","View Full Record in Web of Science")</f>
        <v>View Full Record in Web of Science</v>
      </c>
    </row>
    <row r="7" spans="1:72" x14ac:dyDescent="0.15">
      <c r="A7" t="s">
        <v>72</v>
      </c>
      <c r="B7" t="s">
        <v>200</v>
      </c>
      <c r="C7" t="s">
        <v>74</v>
      </c>
      <c r="D7" t="s">
        <v>74</v>
      </c>
      <c r="E7" t="s">
        <v>74</v>
      </c>
      <c r="F7" t="s">
        <v>201</v>
      </c>
      <c r="G7" t="s">
        <v>74</v>
      </c>
      <c r="H7" t="s">
        <v>74</v>
      </c>
      <c r="I7" t="s">
        <v>202</v>
      </c>
      <c r="J7" t="s">
        <v>203</v>
      </c>
      <c r="K7" t="s">
        <v>74</v>
      </c>
      <c r="L7" t="s">
        <v>74</v>
      </c>
      <c r="M7" t="s">
        <v>78</v>
      </c>
      <c r="N7" t="s">
        <v>79</v>
      </c>
      <c r="O7" t="s">
        <v>74</v>
      </c>
      <c r="P7" t="s">
        <v>74</v>
      </c>
      <c r="Q7" t="s">
        <v>74</v>
      </c>
      <c r="R7" t="s">
        <v>74</v>
      </c>
      <c r="S7" t="s">
        <v>74</v>
      </c>
      <c r="T7" t="s">
        <v>74</v>
      </c>
      <c r="U7" t="s">
        <v>204</v>
      </c>
      <c r="V7" t="s">
        <v>205</v>
      </c>
      <c r="W7" t="s">
        <v>206</v>
      </c>
      <c r="X7" t="s">
        <v>207</v>
      </c>
      <c r="Y7" t="s">
        <v>208</v>
      </c>
      <c r="Z7" t="s">
        <v>209</v>
      </c>
      <c r="AA7" t="s">
        <v>210</v>
      </c>
      <c r="AB7" t="s">
        <v>211</v>
      </c>
      <c r="AC7" t="s">
        <v>212</v>
      </c>
      <c r="AD7" t="s">
        <v>213</v>
      </c>
      <c r="AE7" t="s">
        <v>214</v>
      </c>
      <c r="AF7" t="s">
        <v>74</v>
      </c>
      <c r="AG7">
        <v>57</v>
      </c>
      <c r="AH7">
        <v>11</v>
      </c>
      <c r="AI7">
        <v>15</v>
      </c>
      <c r="AJ7">
        <v>0</v>
      </c>
      <c r="AK7">
        <v>19</v>
      </c>
      <c r="AL7" t="s">
        <v>91</v>
      </c>
      <c r="AM7" t="s">
        <v>92</v>
      </c>
      <c r="AN7" t="s">
        <v>93</v>
      </c>
      <c r="AO7" t="s">
        <v>215</v>
      </c>
      <c r="AP7" t="s">
        <v>216</v>
      </c>
      <c r="AQ7" t="s">
        <v>74</v>
      </c>
      <c r="AR7" t="s">
        <v>203</v>
      </c>
      <c r="AS7" t="s">
        <v>217</v>
      </c>
      <c r="AT7" t="s">
        <v>97</v>
      </c>
      <c r="AU7">
        <v>2015</v>
      </c>
      <c r="AV7">
        <v>27</v>
      </c>
      <c r="AW7">
        <v>3</v>
      </c>
      <c r="AX7" t="s">
        <v>74</v>
      </c>
      <c r="AY7" t="s">
        <v>74</v>
      </c>
      <c r="AZ7" t="s">
        <v>74</v>
      </c>
      <c r="BA7" t="s">
        <v>74</v>
      </c>
      <c r="BB7">
        <v>238</v>
      </c>
      <c r="BC7">
        <v>246</v>
      </c>
      <c r="BD7" t="s">
        <v>74</v>
      </c>
      <c r="BE7" t="s">
        <v>218</v>
      </c>
      <c r="BF7" t="str">
        <f>HYPERLINK("http://dx.doi.org/10.1111/ter.12153","http://dx.doi.org/10.1111/ter.12153")</f>
        <v>http://dx.doi.org/10.1111/ter.12153</v>
      </c>
      <c r="BG7" t="s">
        <v>74</v>
      </c>
      <c r="BH7" t="s">
        <v>74</v>
      </c>
      <c r="BI7">
        <v>9</v>
      </c>
      <c r="BJ7" t="s">
        <v>219</v>
      </c>
      <c r="BK7" t="s">
        <v>100</v>
      </c>
      <c r="BL7" t="s">
        <v>220</v>
      </c>
      <c r="BM7" t="s">
        <v>221</v>
      </c>
      <c r="BN7" t="s">
        <v>74</v>
      </c>
      <c r="BO7" t="s">
        <v>74</v>
      </c>
      <c r="BP7" t="s">
        <v>74</v>
      </c>
      <c r="BQ7" t="s">
        <v>74</v>
      </c>
      <c r="BR7" t="s">
        <v>104</v>
      </c>
      <c r="BS7" t="s">
        <v>222</v>
      </c>
      <c r="BT7" t="str">
        <f>HYPERLINK("https%3A%2F%2Fwww.webofscience.com%2Fwos%2Fwoscc%2Ffull-record%2FWOS:000354201400010","View Full Record in Web of Science")</f>
        <v>View Full Record in Web of Science</v>
      </c>
    </row>
    <row r="8" spans="1:72" x14ac:dyDescent="0.15">
      <c r="A8" t="s">
        <v>72</v>
      </c>
      <c r="B8" t="s">
        <v>223</v>
      </c>
      <c r="C8" t="s">
        <v>74</v>
      </c>
      <c r="D8" t="s">
        <v>74</v>
      </c>
      <c r="E8" t="s">
        <v>74</v>
      </c>
      <c r="F8" t="s">
        <v>224</v>
      </c>
      <c r="G8" t="s">
        <v>74</v>
      </c>
      <c r="H8" t="s">
        <v>74</v>
      </c>
      <c r="I8" t="s">
        <v>225</v>
      </c>
      <c r="J8" t="s">
        <v>226</v>
      </c>
      <c r="K8" t="s">
        <v>74</v>
      </c>
      <c r="L8" t="s">
        <v>74</v>
      </c>
      <c r="M8" t="s">
        <v>78</v>
      </c>
      <c r="N8" t="s">
        <v>79</v>
      </c>
      <c r="O8" t="s">
        <v>74</v>
      </c>
      <c r="P8" t="s">
        <v>74</v>
      </c>
      <c r="Q8" t="s">
        <v>74</v>
      </c>
      <c r="R8" t="s">
        <v>74</v>
      </c>
      <c r="S8" t="s">
        <v>74</v>
      </c>
      <c r="T8" t="s">
        <v>227</v>
      </c>
      <c r="U8" t="s">
        <v>228</v>
      </c>
      <c r="V8" t="s">
        <v>229</v>
      </c>
      <c r="W8" t="s">
        <v>230</v>
      </c>
      <c r="X8" t="s">
        <v>231</v>
      </c>
      <c r="Y8" t="s">
        <v>232</v>
      </c>
      <c r="Z8" t="s">
        <v>233</v>
      </c>
      <c r="AA8" t="s">
        <v>234</v>
      </c>
      <c r="AB8" t="s">
        <v>235</v>
      </c>
      <c r="AC8" t="s">
        <v>236</v>
      </c>
      <c r="AD8" t="s">
        <v>237</v>
      </c>
      <c r="AE8" t="s">
        <v>238</v>
      </c>
      <c r="AF8" t="s">
        <v>74</v>
      </c>
      <c r="AG8">
        <v>195</v>
      </c>
      <c r="AH8">
        <v>20</v>
      </c>
      <c r="AI8">
        <v>24</v>
      </c>
      <c r="AJ8">
        <v>0</v>
      </c>
      <c r="AK8">
        <v>53</v>
      </c>
      <c r="AL8" t="s">
        <v>239</v>
      </c>
      <c r="AM8" t="s">
        <v>240</v>
      </c>
      <c r="AN8" t="s">
        <v>241</v>
      </c>
      <c r="AO8" t="s">
        <v>242</v>
      </c>
      <c r="AP8" t="s">
        <v>243</v>
      </c>
      <c r="AQ8" t="s">
        <v>74</v>
      </c>
      <c r="AR8" t="s">
        <v>226</v>
      </c>
      <c r="AS8" t="s">
        <v>244</v>
      </c>
      <c r="AT8" t="s">
        <v>97</v>
      </c>
      <c r="AU8">
        <v>2015</v>
      </c>
      <c r="AV8">
        <v>253</v>
      </c>
      <c r="AW8" t="s">
        <v>74</v>
      </c>
      <c r="AX8" t="s">
        <v>74</v>
      </c>
      <c r="AY8" t="s">
        <v>74</v>
      </c>
      <c r="AZ8" t="s">
        <v>74</v>
      </c>
      <c r="BA8" t="s">
        <v>74</v>
      </c>
      <c r="BB8">
        <v>66</v>
      </c>
      <c r="BC8">
        <v>98</v>
      </c>
      <c r="BD8" t="s">
        <v>74</v>
      </c>
      <c r="BE8" t="s">
        <v>245</v>
      </c>
      <c r="BF8" t="str">
        <f>HYPERLINK("http://dx.doi.org/10.1016/j.icarus.2015.02.017","http://dx.doi.org/10.1016/j.icarus.2015.02.017")</f>
        <v>http://dx.doi.org/10.1016/j.icarus.2015.02.017</v>
      </c>
      <c r="BG8" t="s">
        <v>74</v>
      </c>
      <c r="BH8" t="s">
        <v>74</v>
      </c>
      <c r="BI8">
        <v>33</v>
      </c>
      <c r="BJ8" t="s">
        <v>246</v>
      </c>
      <c r="BK8" t="s">
        <v>100</v>
      </c>
      <c r="BL8" t="s">
        <v>246</v>
      </c>
      <c r="BM8" t="s">
        <v>247</v>
      </c>
      <c r="BN8" t="s">
        <v>74</v>
      </c>
      <c r="BO8" t="s">
        <v>248</v>
      </c>
      <c r="BP8" t="s">
        <v>74</v>
      </c>
      <c r="BQ8" t="s">
        <v>74</v>
      </c>
      <c r="BR8" t="s">
        <v>104</v>
      </c>
      <c r="BS8" t="s">
        <v>249</v>
      </c>
      <c r="BT8" t="str">
        <f>HYPERLINK("https%3A%2F%2Fwww.webofscience.com%2Fwos%2Fwoscc%2Ffull-record%2FWOS:000353755200007","View Full Record in Web of Science")</f>
        <v>View Full Record in Web of Science</v>
      </c>
    </row>
    <row r="9" spans="1:72" x14ac:dyDescent="0.15">
      <c r="A9" t="s">
        <v>72</v>
      </c>
      <c r="B9" t="s">
        <v>250</v>
      </c>
      <c r="C9" t="s">
        <v>74</v>
      </c>
      <c r="D9" t="s">
        <v>74</v>
      </c>
      <c r="E9" t="s">
        <v>74</v>
      </c>
      <c r="F9" t="s">
        <v>251</v>
      </c>
      <c r="G9" t="s">
        <v>74</v>
      </c>
      <c r="H9" t="s">
        <v>74</v>
      </c>
      <c r="I9" t="s">
        <v>252</v>
      </c>
      <c r="J9" t="s">
        <v>253</v>
      </c>
      <c r="K9" t="s">
        <v>74</v>
      </c>
      <c r="L9" t="s">
        <v>74</v>
      </c>
      <c r="M9" t="s">
        <v>78</v>
      </c>
      <c r="N9" t="s">
        <v>79</v>
      </c>
      <c r="O9" t="s">
        <v>74</v>
      </c>
      <c r="P9" t="s">
        <v>74</v>
      </c>
      <c r="Q9" t="s">
        <v>74</v>
      </c>
      <c r="R9" t="s">
        <v>74</v>
      </c>
      <c r="S9" t="s">
        <v>74</v>
      </c>
      <c r="T9" t="s">
        <v>254</v>
      </c>
      <c r="U9" t="s">
        <v>255</v>
      </c>
      <c r="V9" t="s">
        <v>256</v>
      </c>
      <c r="W9" t="s">
        <v>257</v>
      </c>
      <c r="X9" t="s">
        <v>258</v>
      </c>
      <c r="Y9" t="s">
        <v>259</v>
      </c>
      <c r="Z9" t="s">
        <v>260</v>
      </c>
      <c r="AA9" t="s">
        <v>261</v>
      </c>
      <c r="AB9" t="s">
        <v>262</v>
      </c>
      <c r="AC9" t="s">
        <v>263</v>
      </c>
      <c r="AD9" t="s">
        <v>264</v>
      </c>
      <c r="AE9" t="s">
        <v>265</v>
      </c>
      <c r="AF9" t="s">
        <v>74</v>
      </c>
      <c r="AG9">
        <v>21</v>
      </c>
      <c r="AH9">
        <v>27</v>
      </c>
      <c r="AI9">
        <v>27</v>
      </c>
      <c r="AJ9">
        <v>2</v>
      </c>
      <c r="AK9">
        <v>18</v>
      </c>
      <c r="AL9" t="s">
        <v>266</v>
      </c>
      <c r="AM9" t="s">
        <v>267</v>
      </c>
      <c r="AN9" t="s">
        <v>268</v>
      </c>
      <c r="AO9" t="s">
        <v>269</v>
      </c>
      <c r="AP9" t="s">
        <v>270</v>
      </c>
      <c r="AQ9" t="s">
        <v>74</v>
      </c>
      <c r="AR9" t="s">
        <v>271</v>
      </c>
      <c r="AS9" t="s">
        <v>272</v>
      </c>
      <c r="AT9" t="s">
        <v>273</v>
      </c>
      <c r="AU9">
        <v>2015</v>
      </c>
      <c r="AV9">
        <v>42</v>
      </c>
      <c r="AW9">
        <v>10</v>
      </c>
      <c r="AX9" t="s">
        <v>74</v>
      </c>
      <c r="AY9" t="s">
        <v>74</v>
      </c>
      <c r="AZ9" t="s">
        <v>74</v>
      </c>
      <c r="BA9" t="s">
        <v>74</v>
      </c>
      <c r="BB9">
        <v>3647</v>
      </c>
      <c r="BC9">
        <v>3653</v>
      </c>
      <c r="BD9" t="s">
        <v>74</v>
      </c>
      <c r="BE9" t="s">
        <v>274</v>
      </c>
      <c r="BF9" t="str">
        <f>HYPERLINK("http://dx.doi.org/10.1002/2015GL064101","http://dx.doi.org/10.1002/2015GL064101")</f>
        <v>http://dx.doi.org/10.1002/2015GL064101</v>
      </c>
      <c r="BG9" t="s">
        <v>74</v>
      </c>
      <c r="BH9" t="s">
        <v>74</v>
      </c>
      <c r="BI9">
        <v>7</v>
      </c>
      <c r="BJ9" t="s">
        <v>219</v>
      </c>
      <c r="BK9" t="s">
        <v>100</v>
      </c>
      <c r="BL9" t="s">
        <v>220</v>
      </c>
      <c r="BM9" t="s">
        <v>275</v>
      </c>
      <c r="BN9" t="s">
        <v>74</v>
      </c>
      <c r="BO9" t="s">
        <v>156</v>
      </c>
      <c r="BP9" t="s">
        <v>74</v>
      </c>
      <c r="BQ9" t="s">
        <v>74</v>
      </c>
      <c r="BR9" t="s">
        <v>104</v>
      </c>
      <c r="BS9" t="s">
        <v>276</v>
      </c>
      <c r="BT9" t="str">
        <f>HYPERLINK("https%3A%2F%2Fwww.webofscience.com%2Fwos%2Fwoscc%2Ffull-record%2FWOS:000356631300003","View Full Record in Web of Science")</f>
        <v>View Full Record in Web of Science</v>
      </c>
    </row>
    <row r="10" spans="1:72" x14ac:dyDescent="0.15">
      <c r="A10" t="s">
        <v>72</v>
      </c>
      <c r="B10" t="s">
        <v>277</v>
      </c>
      <c r="C10" t="s">
        <v>74</v>
      </c>
      <c r="D10" t="s">
        <v>74</v>
      </c>
      <c r="E10" t="s">
        <v>74</v>
      </c>
      <c r="F10" t="s">
        <v>278</v>
      </c>
      <c r="G10" t="s">
        <v>74</v>
      </c>
      <c r="H10" t="s">
        <v>74</v>
      </c>
      <c r="I10" t="s">
        <v>279</v>
      </c>
      <c r="J10" t="s">
        <v>253</v>
      </c>
      <c r="K10" t="s">
        <v>74</v>
      </c>
      <c r="L10" t="s">
        <v>74</v>
      </c>
      <c r="M10" t="s">
        <v>78</v>
      </c>
      <c r="N10" t="s">
        <v>79</v>
      </c>
      <c r="O10" t="s">
        <v>74</v>
      </c>
      <c r="P10" t="s">
        <v>74</v>
      </c>
      <c r="Q10" t="s">
        <v>74</v>
      </c>
      <c r="R10" t="s">
        <v>74</v>
      </c>
      <c r="S10" t="s">
        <v>74</v>
      </c>
      <c r="T10" t="s">
        <v>280</v>
      </c>
      <c r="U10" t="s">
        <v>281</v>
      </c>
      <c r="V10" t="s">
        <v>282</v>
      </c>
      <c r="W10" t="s">
        <v>283</v>
      </c>
      <c r="X10" t="s">
        <v>284</v>
      </c>
      <c r="Y10" t="s">
        <v>285</v>
      </c>
      <c r="Z10" t="s">
        <v>286</v>
      </c>
      <c r="AA10" t="s">
        <v>287</v>
      </c>
      <c r="AB10" t="s">
        <v>288</v>
      </c>
      <c r="AC10" t="s">
        <v>289</v>
      </c>
      <c r="AD10" t="s">
        <v>290</v>
      </c>
      <c r="AE10" t="s">
        <v>291</v>
      </c>
      <c r="AF10" t="s">
        <v>74</v>
      </c>
      <c r="AG10">
        <v>38</v>
      </c>
      <c r="AH10">
        <v>22</v>
      </c>
      <c r="AI10">
        <v>25</v>
      </c>
      <c r="AJ10">
        <v>0</v>
      </c>
      <c r="AK10">
        <v>16</v>
      </c>
      <c r="AL10" t="s">
        <v>266</v>
      </c>
      <c r="AM10" t="s">
        <v>267</v>
      </c>
      <c r="AN10" t="s">
        <v>268</v>
      </c>
      <c r="AO10" t="s">
        <v>269</v>
      </c>
      <c r="AP10" t="s">
        <v>270</v>
      </c>
      <c r="AQ10" t="s">
        <v>74</v>
      </c>
      <c r="AR10" t="s">
        <v>271</v>
      </c>
      <c r="AS10" t="s">
        <v>272</v>
      </c>
      <c r="AT10" t="s">
        <v>273</v>
      </c>
      <c r="AU10">
        <v>2015</v>
      </c>
      <c r="AV10">
        <v>42</v>
      </c>
      <c r="AW10">
        <v>10</v>
      </c>
      <c r="AX10" t="s">
        <v>74</v>
      </c>
      <c r="AY10" t="s">
        <v>74</v>
      </c>
      <c r="AZ10" t="s">
        <v>74</v>
      </c>
      <c r="BA10" t="s">
        <v>74</v>
      </c>
      <c r="BB10">
        <v>3936</v>
      </c>
      <c r="BC10">
        <v>3943</v>
      </c>
      <c r="BD10" t="s">
        <v>74</v>
      </c>
      <c r="BE10" t="s">
        <v>292</v>
      </c>
      <c r="BF10" t="str">
        <f>HYPERLINK("http://dx.doi.org/10.1002/2015GL064029","http://dx.doi.org/10.1002/2015GL064029")</f>
        <v>http://dx.doi.org/10.1002/2015GL064029</v>
      </c>
      <c r="BG10" t="s">
        <v>74</v>
      </c>
      <c r="BH10" t="s">
        <v>74</v>
      </c>
      <c r="BI10">
        <v>8</v>
      </c>
      <c r="BJ10" t="s">
        <v>219</v>
      </c>
      <c r="BK10" t="s">
        <v>100</v>
      </c>
      <c r="BL10" t="s">
        <v>220</v>
      </c>
      <c r="BM10" t="s">
        <v>275</v>
      </c>
      <c r="BN10" t="s">
        <v>74</v>
      </c>
      <c r="BO10" t="s">
        <v>293</v>
      </c>
      <c r="BP10" t="s">
        <v>74</v>
      </c>
      <c r="BQ10" t="s">
        <v>74</v>
      </c>
      <c r="BR10" t="s">
        <v>104</v>
      </c>
      <c r="BS10" t="s">
        <v>294</v>
      </c>
      <c r="BT10" t="str">
        <f>HYPERLINK("https%3A%2F%2Fwww.webofscience.com%2Fwos%2Fwoscc%2Ffull-record%2FWOS:000356631300039","View Full Record in Web of Science")</f>
        <v>View Full Record in Web of Science</v>
      </c>
    </row>
    <row r="11" spans="1:72" x14ac:dyDescent="0.15">
      <c r="A11" t="s">
        <v>72</v>
      </c>
      <c r="B11" t="s">
        <v>295</v>
      </c>
      <c r="C11" t="s">
        <v>74</v>
      </c>
      <c r="D11" t="s">
        <v>74</v>
      </c>
      <c r="E11" t="s">
        <v>74</v>
      </c>
      <c r="F11" t="s">
        <v>296</v>
      </c>
      <c r="G11" t="s">
        <v>74</v>
      </c>
      <c r="H11" t="s">
        <v>74</v>
      </c>
      <c r="I11" t="s">
        <v>297</v>
      </c>
      <c r="J11" t="s">
        <v>253</v>
      </c>
      <c r="K11" t="s">
        <v>74</v>
      </c>
      <c r="L11" t="s">
        <v>74</v>
      </c>
      <c r="M11" t="s">
        <v>78</v>
      </c>
      <c r="N11" t="s">
        <v>79</v>
      </c>
      <c r="O11" t="s">
        <v>74</v>
      </c>
      <c r="P11" t="s">
        <v>74</v>
      </c>
      <c r="Q11" t="s">
        <v>74</v>
      </c>
      <c r="R11" t="s">
        <v>74</v>
      </c>
      <c r="S11" t="s">
        <v>74</v>
      </c>
      <c r="T11" t="s">
        <v>298</v>
      </c>
      <c r="U11" t="s">
        <v>299</v>
      </c>
      <c r="V11" t="s">
        <v>300</v>
      </c>
      <c r="W11" t="s">
        <v>301</v>
      </c>
      <c r="X11" t="s">
        <v>302</v>
      </c>
      <c r="Y11" t="s">
        <v>303</v>
      </c>
      <c r="Z11" t="s">
        <v>304</v>
      </c>
      <c r="AA11" t="s">
        <v>305</v>
      </c>
      <c r="AB11" t="s">
        <v>306</v>
      </c>
      <c r="AC11" t="s">
        <v>307</v>
      </c>
      <c r="AD11" t="s">
        <v>308</v>
      </c>
      <c r="AE11" t="s">
        <v>309</v>
      </c>
      <c r="AF11" t="s">
        <v>74</v>
      </c>
      <c r="AG11">
        <v>37</v>
      </c>
      <c r="AH11">
        <v>12</v>
      </c>
      <c r="AI11">
        <v>15</v>
      </c>
      <c r="AJ11">
        <v>2</v>
      </c>
      <c r="AK11">
        <v>26</v>
      </c>
      <c r="AL11" t="s">
        <v>266</v>
      </c>
      <c r="AM11" t="s">
        <v>267</v>
      </c>
      <c r="AN11" t="s">
        <v>268</v>
      </c>
      <c r="AO11" t="s">
        <v>269</v>
      </c>
      <c r="AP11" t="s">
        <v>270</v>
      </c>
      <c r="AQ11" t="s">
        <v>74</v>
      </c>
      <c r="AR11" t="s">
        <v>271</v>
      </c>
      <c r="AS11" t="s">
        <v>272</v>
      </c>
      <c r="AT11" t="s">
        <v>273</v>
      </c>
      <c r="AU11">
        <v>2015</v>
      </c>
      <c r="AV11">
        <v>42</v>
      </c>
      <c r="AW11">
        <v>10</v>
      </c>
      <c r="AX11" t="s">
        <v>74</v>
      </c>
      <c r="AY11" t="s">
        <v>74</v>
      </c>
      <c r="AZ11" t="s">
        <v>74</v>
      </c>
      <c r="BA11" t="s">
        <v>74</v>
      </c>
      <c r="BB11">
        <v>3944</v>
      </c>
      <c r="BC11">
        <v>3953</v>
      </c>
      <c r="BD11" t="s">
        <v>74</v>
      </c>
      <c r="BE11" t="s">
        <v>310</v>
      </c>
      <c r="BF11" t="str">
        <f>HYPERLINK("http://dx.doi.org/10.1002/2015GL063390","http://dx.doi.org/10.1002/2015GL063390")</f>
        <v>http://dx.doi.org/10.1002/2015GL063390</v>
      </c>
      <c r="BG11" t="s">
        <v>74</v>
      </c>
      <c r="BH11" t="s">
        <v>74</v>
      </c>
      <c r="BI11">
        <v>10</v>
      </c>
      <c r="BJ11" t="s">
        <v>219</v>
      </c>
      <c r="BK11" t="s">
        <v>100</v>
      </c>
      <c r="BL11" t="s">
        <v>220</v>
      </c>
      <c r="BM11" t="s">
        <v>275</v>
      </c>
      <c r="BN11" t="s">
        <v>74</v>
      </c>
      <c r="BO11" t="s">
        <v>74</v>
      </c>
      <c r="BP11" t="s">
        <v>74</v>
      </c>
      <c r="BQ11" t="s">
        <v>74</v>
      </c>
      <c r="BR11" t="s">
        <v>104</v>
      </c>
      <c r="BS11" t="s">
        <v>311</v>
      </c>
      <c r="BT11" t="str">
        <f>HYPERLINK("https%3A%2F%2Fwww.webofscience.com%2Fwos%2Fwoscc%2Ffull-record%2FWOS:000356631300040","View Full Record in Web of Science")</f>
        <v>View Full Record in Web of Science</v>
      </c>
    </row>
    <row r="12" spans="1:72" x14ac:dyDescent="0.15">
      <c r="A12" t="s">
        <v>72</v>
      </c>
      <c r="B12" t="s">
        <v>312</v>
      </c>
      <c r="C12" t="s">
        <v>74</v>
      </c>
      <c r="D12" t="s">
        <v>74</v>
      </c>
      <c r="E12" t="s">
        <v>74</v>
      </c>
      <c r="F12" t="s">
        <v>313</v>
      </c>
      <c r="G12" t="s">
        <v>74</v>
      </c>
      <c r="H12" t="s">
        <v>74</v>
      </c>
      <c r="I12" t="s">
        <v>314</v>
      </c>
      <c r="J12" t="s">
        <v>253</v>
      </c>
      <c r="K12" t="s">
        <v>74</v>
      </c>
      <c r="L12" t="s">
        <v>74</v>
      </c>
      <c r="M12" t="s">
        <v>78</v>
      </c>
      <c r="N12" t="s">
        <v>79</v>
      </c>
      <c r="O12" t="s">
        <v>74</v>
      </c>
      <c r="P12" t="s">
        <v>74</v>
      </c>
      <c r="Q12" t="s">
        <v>74</v>
      </c>
      <c r="R12" t="s">
        <v>74</v>
      </c>
      <c r="S12" t="s">
        <v>74</v>
      </c>
      <c r="T12" t="s">
        <v>315</v>
      </c>
      <c r="U12" t="s">
        <v>316</v>
      </c>
      <c r="V12" t="s">
        <v>317</v>
      </c>
      <c r="W12" t="s">
        <v>318</v>
      </c>
      <c r="X12" t="s">
        <v>319</v>
      </c>
      <c r="Y12" t="s">
        <v>320</v>
      </c>
      <c r="Z12" t="s">
        <v>321</v>
      </c>
      <c r="AA12" t="s">
        <v>322</v>
      </c>
      <c r="AB12" t="s">
        <v>323</v>
      </c>
      <c r="AC12" t="s">
        <v>324</v>
      </c>
      <c r="AD12" t="s">
        <v>325</v>
      </c>
      <c r="AE12" t="s">
        <v>326</v>
      </c>
      <c r="AF12" t="s">
        <v>74</v>
      </c>
      <c r="AG12">
        <v>55</v>
      </c>
      <c r="AH12">
        <v>73</v>
      </c>
      <c r="AI12">
        <v>81</v>
      </c>
      <c r="AJ12">
        <v>6</v>
      </c>
      <c r="AK12">
        <v>45</v>
      </c>
      <c r="AL12" t="s">
        <v>266</v>
      </c>
      <c r="AM12" t="s">
        <v>267</v>
      </c>
      <c r="AN12" t="s">
        <v>268</v>
      </c>
      <c r="AO12" t="s">
        <v>269</v>
      </c>
      <c r="AP12" t="s">
        <v>270</v>
      </c>
      <c r="AQ12" t="s">
        <v>74</v>
      </c>
      <c r="AR12" t="s">
        <v>271</v>
      </c>
      <c r="AS12" t="s">
        <v>272</v>
      </c>
      <c r="AT12" t="s">
        <v>273</v>
      </c>
      <c r="AU12">
        <v>2015</v>
      </c>
      <c r="AV12">
        <v>42</v>
      </c>
      <c r="AW12">
        <v>10</v>
      </c>
      <c r="AX12" t="s">
        <v>74</v>
      </c>
      <c r="AY12" t="s">
        <v>74</v>
      </c>
      <c r="AZ12" t="s">
        <v>74</v>
      </c>
      <c r="BA12" t="s">
        <v>74</v>
      </c>
      <c r="BB12">
        <v>3989</v>
      </c>
      <c r="BC12">
        <v>3997</v>
      </c>
      <c r="BD12" t="s">
        <v>74</v>
      </c>
      <c r="BE12" t="s">
        <v>327</v>
      </c>
      <c r="BF12" t="str">
        <f>HYPERLINK("http://dx.doi.org/10.1002/2015GL063827","http://dx.doi.org/10.1002/2015GL063827")</f>
        <v>http://dx.doi.org/10.1002/2015GL063827</v>
      </c>
      <c r="BG12" t="s">
        <v>74</v>
      </c>
      <c r="BH12" t="s">
        <v>74</v>
      </c>
      <c r="BI12">
        <v>9</v>
      </c>
      <c r="BJ12" t="s">
        <v>219</v>
      </c>
      <c r="BK12" t="s">
        <v>100</v>
      </c>
      <c r="BL12" t="s">
        <v>220</v>
      </c>
      <c r="BM12" t="s">
        <v>275</v>
      </c>
      <c r="BN12" t="s">
        <v>74</v>
      </c>
      <c r="BO12" t="s">
        <v>293</v>
      </c>
      <c r="BP12" t="s">
        <v>74</v>
      </c>
      <c r="BQ12" t="s">
        <v>74</v>
      </c>
      <c r="BR12" t="s">
        <v>104</v>
      </c>
      <c r="BS12" t="s">
        <v>328</v>
      </c>
      <c r="BT12" t="str">
        <f>HYPERLINK("https%3A%2F%2Fwww.webofscience.com%2Fwos%2Fwoscc%2Ffull-record%2FWOS:000356631300045","View Full Record in Web of Science")</f>
        <v>View Full Record in Web of Science</v>
      </c>
    </row>
    <row r="13" spans="1:72" x14ac:dyDescent="0.15">
      <c r="A13" t="s">
        <v>72</v>
      </c>
      <c r="B13" t="s">
        <v>329</v>
      </c>
      <c r="C13" t="s">
        <v>74</v>
      </c>
      <c r="D13" t="s">
        <v>74</v>
      </c>
      <c r="E13" t="s">
        <v>74</v>
      </c>
      <c r="F13" t="s">
        <v>330</v>
      </c>
      <c r="G13" t="s">
        <v>74</v>
      </c>
      <c r="H13" t="s">
        <v>74</v>
      </c>
      <c r="I13" t="s">
        <v>331</v>
      </c>
      <c r="J13" t="s">
        <v>253</v>
      </c>
      <c r="K13" t="s">
        <v>74</v>
      </c>
      <c r="L13" t="s">
        <v>74</v>
      </c>
      <c r="M13" t="s">
        <v>78</v>
      </c>
      <c r="N13" t="s">
        <v>79</v>
      </c>
      <c r="O13" t="s">
        <v>74</v>
      </c>
      <c r="P13" t="s">
        <v>74</v>
      </c>
      <c r="Q13" t="s">
        <v>74</v>
      </c>
      <c r="R13" t="s">
        <v>74</v>
      </c>
      <c r="S13" t="s">
        <v>74</v>
      </c>
      <c r="T13" t="s">
        <v>332</v>
      </c>
      <c r="U13" t="s">
        <v>333</v>
      </c>
      <c r="V13" t="s">
        <v>334</v>
      </c>
      <c r="W13" t="s">
        <v>335</v>
      </c>
      <c r="X13" t="s">
        <v>336</v>
      </c>
      <c r="Y13" t="s">
        <v>337</v>
      </c>
      <c r="Z13" t="s">
        <v>338</v>
      </c>
      <c r="AA13" t="s">
        <v>339</v>
      </c>
      <c r="AB13" t="s">
        <v>340</v>
      </c>
      <c r="AC13" t="s">
        <v>341</v>
      </c>
      <c r="AD13" t="s">
        <v>341</v>
      </c>
      <c r="AE13" t="s">
        <v>342</v>
      </c>
      <c r="AF13" t="s">
        <v>74</v>
      </c>
      <c r="AG13">
        <v>34</v>
      </c>
      <c r="AH13">
        <v>30</v>
      </c>
      <c r="AI13">
        <v>31</v>
      </c>
      <c r="AJ13">
        <v>0</v>
      </c>
      <c r="AK13">
        <v>12</v>
      </c>
      <c r="AL13" t="s">
        <v>266</v>
      </c>
      <c r="AM13" t="s">
        <v>267</v>
      </c>
      <c r="AN13" t="s">
        <v>268</v>
      </c>
      <c r="AO13" t="s">
        <v>269</v>
      </c>
      <c r="AP13" t="s">
        <v>270</v>
      </c>
      <c r="AQ13" t="s">
        <v>74</v>
      </c>
      <c r="AR13" t="s">
        <v>271</v>
      </c>
      <c r="AS13" t="s">
        <v>272</v>
      </c>
      <c r="AT13" t="s">
        <v>273</v>
      </c>
      <c r="AU13">
        <v>2015</v>
      </c>
      <c r="AV13">
        <v>42</v>
      </c>
      <c r="AW13">
        <v>10</v>
      </c>
      <c r="AX13" t="s">
        <v>74</v>
      </c>
      <c r="AY13" t="s">
        <v>74</v>
      </c>
      <c r="AZ13" t="s">
        <v>74</v>
      </c>
      <c r="BA13" t="s">
        <v>74</v>
      </c>
      <c r="BB13">
        <v>4199</v>
      </c>
      <c r="BC13">
        <v>4207</v>
      </c>
      <c r="BD13" t="s">
        <v>74</v>
      </c>
      <c r="BE13" t="s">
        <v>343</v>
      </c>
      <c r="BF13" t="str">
        <f>HYPERLINK("http://dx.doi.org/10.1002/2015GL063966","http://dx.doi.org/10.1002/2015GL063966")</f>
        <v>http://dx.doi.org/10.1002/2015GL063966</v>
      </c>
      <c r="BG13" t="s">
        <v>74</v>
      </c>
      <c r="BH13" t="s">
        <v>74</v>
      </c>
      <c r="BI13">
        <v>9</v>
      </c>
      <c r="BJ13" t="s">
        <v>219</v>
      </c>
      <c r="BK13" t="s">
        <v>100</v>
      </c>
      <c r="BL13" t="s">
        <v>220</v>
      </c>
      <c r="BM13" t="s">
        <v>275</v>
      </c>
      <c r="BN13" t="s">
        <v>74</v>
      </c>
      <c r="BO13" t="s">
        <v>156</v>
      </c>
      <c r="BP13" t="s">
        <v>74</v>
      </c>
      <c r="BQ13" t="s">
        <v>74</v>
      </c>
      <c r="BR13" t="s">
        <v>104</v>
      </c>
      <c r="BS13" t="s">
        <v>344</v>
      </c>
      <c r="BT13" t="str">
        <f>HYPERLINK("https%3A%2F%2Fwww.webofscience.com%2Fwos%2Fwoscc%2Ffull-record%2FWOS:000356631300071","View Full Record in Web of Science")</f>
        <v>View Full Record in Web of Science</v>
      </c>
    </row>
    <row r="14" spans="1:72" x14ac:dyDescent="0.15">
      <c r="A14" t="s">
        <v>72</v>
      </c>
      <c r="B14" t="s">
        <v>345</v>
      </c>
      <c r="C14" t="s">
        <v>74</v>
      </c>
      <c r="D14" t="s">
        <v>74</v>
      </c>
      <c r="E14" t="s">
        <v>74</v>
      </c>
      <c r="F14" t="s">
        <v>346</v>
      </c>
      <c r="G14" t="s">
        <v>74</v>
      </c>
      <c r="H14" t="s">
        <v>74</v>
      </c>
      <c r="I14" t="s">
        <v>347</v>
      </c>
      <c r="J14" t="s">
        <v>253</v>
      </c>
      <c r="K14" t="s">
        <v>74</v>
      </c>
      <c r="L14" t="s">
        <v>74</v>
      </c>
      <c r="M14" t="s">
        <v>78</v>
      </c>
      <c r="N14" t="s">
        <v>79</v>
      </c>
      <c r="O14" t="s">
        <v>74</v>
      </c>
      <c r="P14" t="s">
        <v>74</v>
      </c>
      <c r="Q14" t="s">
        <v>74</v>
      </c>
      <c r="R14" t="s">
        <v>74</v>
      </c>
      <c r="S14" t="s">
        <v>74</v>
      </c>
      <c r="T14" t="s">
        <v>348</v>
      </c>
      <c r="U14" t="s">
        <v>349</v>
      </c>
      <c r="V14" t="s">
        <v>350</v>
      </c>
      <c r="W14" t="s">
        <v>351</v>
      </c>
      <c r="X14" t="s">
        <v>352</v>
      </c>
      <c r="Y14" t="s">
        <v>353</v>
      </c>
      <c r="Z14" t="s">
        <v>354</v>
      </c>
      <c r="AA14" t="s">
        <v>355</v>
      </c>
      <c r="AB14" t="s">
        <v>356</v>
      </c>
      <c r="AC14" t="s">
        <v>357</v>
      </c>
      <c r="AD14" t="s">
        <v>358</v>
      </c>
      <c r="AE14" t="s">
        <v>359</v>
      </c>
      <c r="AF14" t="s">
        <v>74</v>
      </c>
      <c r="AG14">
        <v>41</v>
      </c>
      <c r="AH14">
        <v>35</v>
      </c>
      <c r="AI14">
        <v>37</v>
      </c>
      <c r="AJ14">
        <v>0</v>
      </c>
      <c r="AK14">
        <v>19</v>
      </c>
      <c r="AL14" t="s">
        <v>266</v>
      </c>
      <c r="AM14" t="s">
        <v>267</v>
      </c>
      <c r="AN14" t="s">
        <v>268</v>
      </c>
      <c r="AO14" t="s">
        <v>269</v>
      </c>
      <c r="AP14" t="s">
        <v>270</v>
      </c>
      <c r="AQ14" t="s">
        <v>74</v>
      </c>
      <c r="AR14" t="s">
        <v>271</v>
      </c>
      <c r="AS14" t="s">
        <v>272</v>
      </c>
      <c r="AT14" t="s">
        <v>273</v>
      </c>
      <c r="AU14">
        <v>2015</v>
      </c>
      <c r="AV14">
        <v>42</v>
      </c>
      <c r="AW14">
        <v>10</v>
      </c>
      <c r="AX14" t="s">
        <v>74</v>
      </c>
      <c r="AY14" t="s">
        <v>74</v>
      </c>
      <c r="AZ14" t="s">
        <v>74</v>
      </c>
      <c r="BA14" t="s">
        <v>74</v>
      </c>
      <c r="BB14">
        <v>4216</v>
      </c>
      <c r="BC14">
        <v>4223</v>
      </c>
      <c r="BD14" t="s">
        <v>74</v>
      </c>
      <c r="BE14" t="s">
        <v>360</v>
      </c>
      <c r="BF14" t="str">
        <f>HYPERLINK("http://dx.doi.org/10.1002/2015GL063759","http://dx.doi.org/10.1002/2015GL063759")</f>
        <v>http://dx.doi.org/10.1002/2015GL063759</v>
      </c>
      <c r="BG14" t="s">
        <v>74</v>
      </c>
      <c r="BH14" t="s">
        <v>74</v>
      </c>
      <c r="BI14">
        <v>8</v>
      </c>
      <c r="BJ14" t="s">
        <v>219</v>
      </c>
      <c r="BK14" t="s">
        <v>100</v>
      </c>
      <c r="BL14" t="s">
        <v>220</v>
      </c>
      <c r="BM14" t="s">
        <v>275</v>
      </c>
      <c r="BN14" t="s">
        <v>74</v>
      </c>
      <c r="BO14" t="s">
        <v>156</v>
      </c>
      <c r="BP14" t="s">
        <v>74</v>
      </c>
      <c r="BQ14" t="s">
        <v>74</v>
      </c>
      <c r="BR14" t="s">
        <v>104</v>
      </c>
      <c r="BS14" t="s">
        <v>361</v>
      </c>
      <c r="BT14" t="str">
        <f>HYPERLINK("https%3A%2F%2Fwww.webofscience.com%2Fwos%2Fwoscc%2Ffull-record%2FWOS:000356631300073","View Full Record in Web of Science")</f>
        <v>View Full Record in Web of Science</v>
      </c>
    </row>
    <row r="15" spans="1:72" x14ac:dyDescent="0.15">
      <c r="A15" t="s">
        <v>72</v>
      </c>
      <c r="B15" t="s">
        <v>362</v>
      </c>
      <c r="C15" t="s">
        <v>74</v>
      </c>
      <c r="D15" t="s">
        <v>74</v>
      </c>
      <c r="E15" t="s">
        <v>74</v>
      </c>
      <c r="F15" t="s">
        <v>363</v>
      </c>
      <c r="G15" t="s">
        <v>74</v>
      </c>
      <c r="H15" t="s">
        <v>74</v>
      </c>
      <c r="I15" t="s">
        <v>364</v>
      </c>
      <c r="J15" t="s">
        <v>365</v>
      </c>
      <c r="K15" t="s">
        <v>74</v>
      </c>
      <c r="L15" t="s">
        <v>74</v>
      </c>
      <c r="M15" t="s">
        <v>78</v>
      </c>
      <c r="N15" t="s">
        <v>79</v>
      </c>
      <c r="O15" t="s">
        <v>74</v>
      </c>
      <c r="P15" t="s">
        <v>74</v>
      </c>
      <c r="Q15" t="s">
        <v>74</v>
      </c>
      <c r="R15" t="s">
        <v>74</v>
      </c>
      <c r="S15" t="s">
        <v>74</v>
      </c>
      <c r="T15" t="s">
        <v>74</v>
      </c>
      <c r="U15" t="s">
        <v>366</v>
      </c>
      <c r="V15" t="s">
        <v>367</v>
      </c>
      <c r="W15" t="s">
        <v>368</v>
      </c>
      <c r="X15" t="s">
        <v>369</v>
      </c>
      <c r="Y15" t="s">
        <v>370</v>
      </c>
      <c r="Z15" t="s">
        <v>371</v>
      </c>
      <c r="AA15" t="s">
        <v>372</v>
      </c>
      <c r="AB15" t="s">
        <v>373</v>
      </c>
      <c r="AC15" t="s">
        <v>374</v>
      </c>
      <c r="AD15" t="s">
        <v>375</v>
      </c>
      <c r="AE15" t="s">
        <v>376</v>
      </c>
      <c r="AF15" t="s">
        <v>74</v>
      </c>
      <c r="AG15">
        <v>63</v>
      </c>
      <c r="AH15">
        <v>53</v>
      </c>
      <c r="AI15">
        <v>57</v>
      </c>
      <c r="AJ15">
        <v>0</v>
      </c>
      <c r="AK15">
        <v>41</v>
      </c>
      <c r="AL15" t="s">
        <v>377</v>
      </c>
      <c r="AM15" t="s">
        <v>378</v>
      </c>
      <c r="AN15" t="s">
        <v>379</v>
      </c>
      <c r="AO15" t="s">
        <v>380</v>
      </c>
      <c r="AP15" t="s">
        <v>74</v>
      </c>
      <c r="AQ15" t="s">
        <v>74</v>
      </c>
      <c r="AR15" t="s">
        <v>365</v>
      </c>
      <c r="AS15" t="s">
        <v>381</v>
      </c>
      <c r="AT15" t="s">
        <v>273</v>
      </c>
      <c r="AU15">
        <v>2015</v>
      </c>
      <c r="AV15">
        <v>16</v>
      </c>
      <c r="AW15" t="s">
        <v>74</v>
      </c>
      <c r="AX15" t="s">
        <v>74</v>
      </c>
      <c r="AY15" t="s">
        <v>74</v>
      </c>
      <c r="AZ15" t="s">
        <v>74</v>
      </c>
      <c r="BA15" t="s">
        <v>74</v>
      </c>
      <c r="BB15" t="s">
        <v>74</v>
      </c>
      <c r="BC15" t="s">
        <v>74</v>
      </c>
      <c r="BD15">
        <v>410</v>
      </c>
      <c r="BE15" t="s">
        <v>382</v>
      </c>
      <c r="BF15" t="str">
        <f>HYPERLINK("http://dx.doi.org/10.1186/s12864-015-1625-y","http://dx.doi.org/10.1186/s12864-015-1625-y")</f>
        <v>http://dx.doi.org/10.1186/s12864-015-1625-y</v>
      </c>
      <c r="BG15" t="s">
        <v>74</v>
      </c>
      <c r="BH15" t="s">
        <v>74</v>
      </c>
      <c r="BI15">
        <v>10</v>
      </c>
      <c r="BJ15" t="s">
        <v>383</v>
      </c>
      <c r="BK15" t="s">
        <v>100</v>
      </c>
      <c r="BL15" t="s">
        <v>383</v>
      </c>
      <c r="BM15" t="s">
        <v>384</v>
      </c>
      <c r="BN15">
        <v>26016672</v>
      </c>
      <c r="BO15" t="s">
        <v>385</v>
      </c>
      <c r="BP15" t="s">
        <v>74</v>
      </c>
      <c r="BQ15" t="s">
        <v>74</v>
      </c>
      <c r="BR15" t="s">
        <v>104</v>
      </c>
      <c r="BS15" t="s">
        <v>386</v>
      </c>
      <c r="BT15" t="str">
        <f>HYPERLINK("https%3A%2F%2Fwww.webofscience.com%2Fwos%2Fwoscc%2Ffull-record%2FWOS:000355146100002","View Full Record in Web of Science")</f>
        <v>View Full Record in Web of Science</v>
      </c>
    </row>
    <row r="16" spans="1:72" x14ac:dyDescent="0.15">
      <c r="A16" t="s">
        <v>72</v>
      </c>
      <c r="B16" t="s">
        <v>387</v>
      </c>
      <c r="C16" t="s">
        <v>74</v>
      </c>
      <c r="D16" t="s">
        <v>74</v>
      </c>
      <c r="E16" t="s">
        <v>74</v>
      </c>
      <c r="F16" t="s">
        <v>388</v>
      </c>
      <c r="G16" t="s">
        <v>74</v>
      </c>
      <c r="H16" t="s">
        <v>74</v>
      </c>
      <c r="I16" t="s">
        <v>389</v>
      </c>
      <c r="J16" t="s">
        <v>390</v>
      </c>
      <c r="K16" t="s">
        <v>74</v>
      </c>
      <c r="L16" t="s">
        <v>74</v>
      </c>
      <c r="M16" t="s">
        <v>78</v>
      </c>
      <c r="N16" t="s">
        <v>79</v>
      </c>
      <c r="O16" t="s">
        <v>74</v>
      </c>
      <c r="P16" t="s">
        <v>74</v>
      </c>
      <c r="Q16" t="s">
        <v>74</v>
      </c>
      <c r="R16" t="s">
        <v>74</v>
      </c>
      <c r="S16" t="s">
        <v>74</v>
      </c>
      <c r="T16" t="s">
        <v>391</v>
      </c>
      <c r="U16" t="s">
        <v>392</v>
      </c>
      <c r="V16" t="s">
        <v>393</v>
      </c>
      <c r="W16" t="s">
        <v>394</v>
      </c>
      <c r="X16" t="s">
        <v>395</v>
      </c>
      <c r="Y16" t="s">
        <v>396</v>
      </c>
      <c r="Z16" t="s">
        <v>397</v>
      </c>
      <c r="AA16" t="s">
        <v>398</v>
      </c>
      <c r="AB16" t="s">
        <v>399</v>
      </c>
      <c r="AC16" t="s">
        <v>74</v>
      </c>
      <c r="AD16" t="s">
        <v>74</v>
      </c>
      <c r="AE16" t="s">
        <v>74</v>
      </c>
      <c r="AF16" t="s">
        <v>74</v>
      </c>
      <c r="AG16">
        <v>38</v>
      </c>
      <c r="AH16">
        <v>40</v>
      </c>
      <c r="AI16">
        <v>47</v>
      </c>
      <c r="AJ16">
        <v>0</v>
      </c>
      <c r="AK16">
        <v>10</v>
      </c>
      <c r="AL16" t="s">
        <v>266</v>
      </c>
      <c r="AM16" t="s">
        <v>267</v>
      </c>
      <c r="AN16" t="s">
        <v>268</v>
      </c>
      <c r="AO16" t="s">
        <v>400</v>
      </c>
      <c r="AP16" t="s">
        <v>401</v>
      </c>
      <c r="AQ16" t="s">
        <v>74</v>
      </c>
      <c r="AR16" t="s">
        <v>402</v>
      </c>
      <c r="AS16" t="s">
        <v>403</v>
      </c>
      <c r="AT16" t="s">
        <v>404</v>
      </c>
      <c r="AU16">
        <v>2015</v>
      </c>
      <c r="AV16">
        <v>120</v>
      </c>
      <c r="AW16">
        <v>10</v>
      </c>
      <c r="AX16" t="s">
        <v>74</v>
      </c>
      <c r="AY16" t="s">
        <v>74</v>
      </c>
      <c r="AZ16" t="s">
        <v>74</v>
      </c>
      <c r="BA16" t="s">
        <v>74</v>
      </c>
      <c r="BB16">
        <v>4506</v>
      </c>
      <c r="BC16">
        <v>4521</v>
      </c>
      <c r="BD16" t="s">
        <v>74</v>
      </c>
      <c r="BE16" t="s">
        <v>405</v>
      </c>
      <c r="BF16" t="str">
        <f>HYPERLINK("http://dx.doi.org/10.1002/2014JD022879","http://dx.doi.org/10.1002/2014JD022879")</f>
        <v>http://dx.doi.org/10.1002/2014JD022879</v>
      </c>
      <c r="BG16" t="s">
        <v>74</v>
      </c>
      <c r="BH16" t="s">
        <v>74</v>
      </c>
      <c r="BI16">
        <v>16</v>
      </c>
      <c r="BJ16" t="s">
        <v>406</v>
      </c>
      <c r="BK16" t="s">
        <v>100</v>
      </c>
      <c r="BL16" t="s">
        <v>406</v>
      </c>
      <c r="BM16" t="s">
        <v>407</v>
      </c>
      <c r="BN16" t="s">
        <v>74</v>
      </c>
      <c r="BO16" t="s">
        <v>408</v>
      </c>
      <c r="BP16" t="s">
        <v>74</v>
      </c>
      <c r="BQ16" t="s">
        <v>74</v>
      </c>
      <c r="BR16" t="s">
        <v>104</v>
      </c>
      <c r="BS16" t="s">
        <v>409</v>
      </c>
      <c r="BT16" t="str">
        <f>HYPERLINK("https%3A%2F%2Fwww.webofscience.com%2Fwos%2Fwoscc%2Ffull-record%2FWOS:000356696800005","View Full Record in Web of Science")</f>
        <v>View Full Record in Web of Science</v>
      </c>
    </row>
    <row r="17" spans="1:72" x14ac:dyDescent="0.15">
      <c r="A17" t="s">
        <v>72</v>
      </c>
      <c r="B17" t="s">
        <v>410</v>
      </c>
      <c r="C17" t="s">
        <v>74</v>
      </c>
      <c r="D17" t="s">
        <v>74</v>
      </c>
      <c r="E17" t="s">
        <v>74</v>
      </c>
      <c r="F17" t="s">
        <v>411</v>
      </c>
      <c r="G17" t="s">
        <v>74</v>
      </c>
      <c r="H17" t="s">
        <v>74</v>
      </c>
      <c r="I17" t="s">
        <v>412</v>
      </c>
      <c r="J17" t="s">
        <v>413</v>
      </c>
      <c r="K17" t="s">
        <v>74</v>
      </c>
      <c r="L17" t="s">
        <v>74</v>
      </c>
      <c r="M17" t="s">
        <v>78</v>
      </c>
      <c r="N17" t="s">
        <v>79</v>
      </c>
      <c r="O17" t="s">
        <v>74</v>
      </c>
      <c r="P17" t="s">
        <v>74</v>
      </c>
      <c r="Q17" t="s">
        <v>74</v>
      </c>
      <c r="R17" t="s">
        <v>74</v>
      </c>
      <c r="S17" t="s">
        <v>74</v>
      </c>
      <c r="T17" t="s">
        <v>74</v>
      </c>
      <c r="U17" t="s">
        <v>414</v>
      </c>
      <c r="V17" t="s">
        <v>415</v>
      </c>
      <c r="W17" t="s">
        <v>416</v>
      </c>
      <c r="X17" t="s">
        <v>417</v>
      </c>
      <c r="Y17" t="s">
        <v>418</v>
      </c>
      <c r="Z17" t="s">
        <v>419</v>
      </c>
      <c r="AA17" t="s">
        <v>420</v>
      </c>
      <c r="AB17" t="s">
        <v>421</v>
      </c>
      <c r="AC17" t="s">
        <v>74</v>
      </c>
      <c r="AD17" t="s">
        <v>74</v>
      </c>
      <c r="AE17" t="s">
        <v>74</v>
      </c>
      <c r="AF17" t="s">
        <v>74</v>
      </c>
      <c r="AG17">
        <v>50</v>
      </c>
      <c r="AH17">
        <v>17</v>
      </c>
      <c r="AI17">
        <v>19</v>
      </c>
      <c r="AJ17">
        <v>1</v>
      </c>
      <c r="AK17">
        <v>16</v>
      </c>
      <c r="AL17" t="s">
        <v>422</v>
      </c>
      <c r="AM17" t="s">
        <v>423</v>
      </c>
      <c r="AN17" t="s">
        <v>424</v>
      </c>
      <c r="AO17" t="s">
        <v>425</v>
      </c>
      <c r="AP17" t="s">
        <v>74</v>
      </c>
      <c r="AQ17" t="s">
        <v>74</v>
      </c>
      <c r="AR17" t="s">
        <v>426</v>
      </c>
      <c r="AS17" t="s">
        <v>427</v>
      </c>
      <c r="AT17" t="s">
        <v>404</v>
      </c>
      <c r="AU17">
        <v>2015</v>
      </c>
      <c r="AV17">
        <v>5</v>
      </c>
      <c r="AW17" t="s">
        <v>74</v>
      </c>
      <c r="AX17" t="s">
        <v>74</v>
      </c>
      <c r="AY17" t="s">
        <v>74</v>
      </c>
      <c r="AZ17" t="s">
        <v>74</v>
      </c>
      <c r="BA17" t="s">
        <v>74</v>
      </c>
      <c r="BB17" t="s">
        <v>74</v>
      </c>
      <c r="BC17" t="s">
        <v>74</v>
      </c>
      <c r="BD17">
        <v>10226</v>
      </c>
      <c r="BE17" t="s">
        <v>428</v>
      </c>
      <c r="BF17" t="str">
        <f>HYPERLINK("http://dx.doi.org/10.1038/srep10226","http://dx.doi.org/10.1038/srep10226")</f>
        <v>http://dx.doi.org/10.1038/srep10226</v>
      </c>
      <c r="BG17" t="s">
        <v>74</v>
      </c>
      <c r="BH17" t="s">
        <v>74</v>
      </c>
      <c r="BI17">
        <v>11</v>
      </c>
      <c r="BJ17" t="s">
        <v>429</v>
      </c>
      <c r="BK17" t="s">
        <v>100</v>
      </c>
      <c r="BL17" t="s">
        <v>430</v>
      </c>
      <c r="BM17" t="s">
        <v>431</v>
      </c>
      <c r="BN17">
        <v>26014797</v>
      </c>
      <c r="BO17" t="s">
        <v>432</v>
      </c>
      <c r="BP17" t="s">
        <v>74</v>
      </c>
      <c r="BQ17" t="s">
        <v>74</v>
      </c>
      <c r="BR17" t="s">
        <v>104</v>
      </c>
      <c r="BS17" t="s">
        <v>433</v>
      </c>
      <c r="BT17" t="str">
        <f>HYPERLINK("https%3A%2F%2Fwww.webofscience.com%2Fwos%2Fwoscc%2Ffull-record%2FWOS:000355533400001","View Full Record in Web of Science")</f>
        <v>View Full Record in Web of Science</v>
      </c>
    </row>
    <row r="18" spans="1:72" x14ac:dyDescent="0.15">
      <c r="A18" t="s">
        <v>72</v>
      </c>
      <c r="B18" t="s">
        <v>434</v>
      </c>
      <c r="C18" t="s">
        <v>74</v>
      </c>
      <c r="D18" t="s">
        <v>74</v>
      </c>
      <c r="E18" t="s">
        <v>74</v>
      </c>
      <c r="F18" t="s">
        <v>435</v>
      </c>
      <c r="G18" t="s">
        <v>74</v>
      </c>
      <c r="H18" t="s">
        <v>74</v>
      </c>
      <c r="I18" t="s">
        <v>436</v>
      </c>
      <c r="J18" t="s">
        <v>437</v>
      </c>
      <c r="K18" t="s">
        <v>74</v>
      </c>
      <c r="L18" t="s">
        <v>74</v>
      </c>
      <c r="M18" t="s">
        <v>78</v>
      </c>
      <c r="N18" t="s">
        <v>79</v>
      </c>
      <c r="O18" t="s">
        <v>74</v>
      </c>
      <c r="P18" t="s">
        <v>74</v>
      </c>
      <c r="Q18" t="s">
        <v>74</v>
      </c>
      <c r="R18" t="s">
        <v>74</v>
      </c>
      <c r="S18" t="s">
        <v>74</v>
      </c>
      <c r="T18" t="s">
        <v>438</v>
      </c>
      <c r="U18" t="s">
        <v>439</v>
      </c>
      <c r="V18" t="s">
        <v>440</v>
      </c>
      <c r="W18" t="s">
        <v>441</v>
      </c>
      <c r="X18" t="s">
        <v>442</v>
      </c>
      <c r="Y18" t="s">
        <v>443</v>
      </c>
      <c r="Z18" t="s">
        <v>444</v>
      </c>
      <c r="AA18" t="s">
        <v>445</v>
      </c>
      <c r="AB18" t="s">
        <v>446</v>
      </c>
      <c r="AC18" t="s">
        <v>74</v>
      </c>
      <c r="AD18" t="s">
        <v>74</v>
      </c>
      <c r="AE18" t="s">
        <v>74</v>
      </c>
      <c r="AF18" t="s">
        <v>74</v>
      </c>
      <c r="AG18">
        <v>115</v>
      </c>
      <c r="AH18">
        <v>34</v>
      </c>
      <c r="AI18">
        <v>35</v>
      </c>
      <c r="AJ18">
        <v>0</v>
      </c>
      <c r="AK18">
        <v>10</v>
      </c>
      <c r="AL18" t="s">
        <v>447</v>
      </c>
      <c r="AM18" t="s">
        <v>448</v>
      </c>
      <c r="AN18" t="s">
        <v>449</v>
      </c>
      <c r="AO18" t="s">
        <v>450</v>
      </c>
      <c r="AP18" t="s">
        <v>451</v>
      </c>
      <c r="AQ18" t="s">
        <v>74</v>
      </c>
      <c r="AR18" t="s">
        <v>452</v>
      </c>
      <c r="AS18" t="s">
        <v>453</v>
      </c>
      <c r="AT18" t="s">
        <v>404</v>
      </c>
      <c r="AU18">
        <v>2015</v>
      </c>
      <c r="AV18">
        <v>47</v>
      </c>
      <c r="AW18">
        <v>3</v>
      </c>
      <c r="AX18" t="s">
        <v>74</v>
      </c>
      <c r="AY18" t="s">
        <v>74</v>
      </c>
      <c r="AZ18" t="s">
        <v>454</v>
      </c>
      <c r="BA18" t="s">
        <v>74</v>
      </c>
      <c r="BB18">
        <v>333</v>
      </c>
      <c r="BC18">
        <v>389</v>
      </c>
      <c r="BD18" t="s">
        <v>74</v>
      </c>
      <c r="BE18" t="s">
        <v>455</v>
      </c>
      <c r="BF18" t="str">
        <f>HYPERLINK("http://dx.doi.org/10.1080/00438243.2015.1030508","http://dx.doi.org/10.1080/00438243.2015.1030508")</f>
        <v>http://dx.doi.org/10.1080/00438243.2015.1030508</v>
      </c>
      <c r="BG18" t="s">
        <v>74</v>
      </c>
      <c r="BH18" t="s">
        <v>74</v>
      </c>
      <c r="BI18">
        <v>57</v>
      </c>
      <c r="BJ18" t="s">
        <v>456</v>
      </c>
      <c r="BK18" t="s">
        <v>457</v>
      </c>
      <c r="BL18" t="s">
        <v>456</v>
      </c>
      <c r="BM18" t="s">
        <v>458</v>
      </c>
      <c r="BN18" t="s">
        <v>74</v>
      </c>
      <c r="BO18" t="s">
        <v>74</v>
      </c>
      <c r="BP18" t="s">
        <v>74</v>
      </c>
      <c r="BQ18" t="s">
        <v>74</v>
      </c>
      <c r="BR18" t="s">
        <v>104</v>
      </c>
      <c r="BS18" t="s">
        <v>459</v>
      </c>
      <c r="BT18" t="str">
        <f>HYPERLINK("https%3A%2F%2Fwww.webofscience.com%2Fwos%2Fwoscc%2Ffull-record%2FWOS:000355197300002","View Full Record in Web of Science")</f>
        <v>View Full Record in Web of Science</v>
      </c>
    </row>
    <row r="19" spans="1:72" x14ac:dyDescent="0.15">
      <c r="A19" t="s">
        <v>72</v>
      </c>
      <c r="B19" t="s">
        <v>460</v>
      </c>
      <c r="C19" t="s">
        <v>74</v>
      </c>
      <c r="D19" t="s">
        <v>74</v>
      </c>
      <c r="E19" t="s">
        <v>74</v>
      </c>
      <c r="F19" t="s">
        <v>461</v>
      </c>
      <c r="G19" t="s">
        <v>74</v>
      </c>
      <c r="H19" t="s">
        <v>74</v>
      </c>
      <c r="I19" t="s">
        <v>462</v>
      </c>
      <c r="J19" t="s">
        <v>463</v>
      </c>
      <c r="K19" t="s">
        <v>74</v>
      </c>
      <c r="L19" t="s">
        <v>74</v>
      </c>
      <c r="M19" t="s">
        <v>78</v>
      </c>
      <c r="N19" t="s">
        <v>79</v>
      </c>
      <c r="O19" t="s">
        <v>74</v>
      </c>
      <c r="P19" t="s">
        <v>74</v>
      </c>
      <c r="Q19" t="s">
        <v>74</v>
      </c>
      <c r="R19" t="s">
        <v>74</v>
      </c>
      <c r="S19" t="s">
        <v>74</v>
      </c>
      <c r="T19" t="s">
        <v>464</v>
      </c>
      <c r="U19" t="s">
        <v>465</v>
      </c>
      <c r="V19" t="s">
        <v>466</v>
      </c>
      <c r="W19" t="s">
        <v>467</v>
      </c>
      <c r="X19" t="s">
        <v>468</v>
      </c>
      <c r="Y19" t="s">
        <v>469</v>
      </c>
      <c r="Z19" t="s">
        <v>470</v>
      </c>
      <c r="AA19" t="s">
        <v>471</v>
      </c>
      <c r="AB19" t="s">
        <v>472</v>
      </c>
      <c r="AC19" t="s">
        <v>473</v>
      </c>
      <c r="AD19" t="s">
        <v>474</v>
      </c>
      <c r="AE19" t="s">
        <v>475</v>
      </c>
      <c r="AF19" t="s">
        <v>74</v>
      </c>
      <c r="AG19">
        <v>61</v>
      </c>
      <c r="AH19">
        <v>27</v>
      </c>
      <c r="AI19">
        <v>29</v>
      </c>
      <c r="AJ19">
        <v>0</v>
      </c>
      <c r="AK19">
        <v>36</v>
      </c>
      <c r="AL19" t="s">
        <v>476</v>
      </c>
      <c r="AM19" t="s">
        <v>477</v>
      </c>
      <c r="AN19" t="s">
        <v>478</v>
      </c>
      <c r="AO19" t="s">
        <v>479</v>
      </c>
      <c r="AP19" t="s">
        <v>74</v>
      </c>
      <c r="AQ19" t="s">
        <v>74</v>
      </c>
      <c r="AR19" t="s">
        <v>480</v>
      </c>
      <c r="AS19" t="s">
        <v>481</v>
      </c>
      <c r="AT19" t="s">
        <v>404</v>
      </c>
      <c r="AU19">
        <v>2015</v>
      </c>
      <c r="AV19">
        <v>6</v>
      </c>
      <c r="AW19" t="s">
        <v>74</v>
      </c>
      <c r="AX19" t="s">
        <v>74</v>
      </c>
      <c r="AY19" t="s">
        <v>74</v>
      </c>
      <c r="AZ19" t="s">
        <v>74</v>
      </c>
      <c r="BA19" t="s">
        <v>74</v>
      </c>
      <c r="BB19" t="s">
        <v>74</v>
      </c>
      <c r="BC19" t="s">
        <v>74</v>
      </c>
      <c r="BD19">
        <v>485</v>
      </c>
      <c r="BE19" t="s">
        <v>482</v>
      </c>
      <c r="BF19" t="str">
        <f>HYPERLINK("http://dx.doi.org/10.3389/fmicb.2015.00485","http://dx.doi.org/10.3389/fmicb.2015.00485")</f>
        <v>http://dx.doi.org/10.3389/fmicb.2015.00485</v>
      </c>
      <c r="BG19" t="s">
        <v>74</v>
      </c>
      <c r="BH19" t="s">
        <v>74</v>
      </c>
      <c r="BI19">
        <v>11</v>
      </c>
      <c r="BJ19" t="s">
        <v>483</v>
      </c>
      <c r="BK19" t="s">
        <v>100</v>
      </c>
      <c r="BL19" t="s">
        <v>483</v>
      </c>
      <c r="BM19" t="s">
        <v>484</v>
      </c>
      <c r="BN19">
        <v>26074890</v>
      </c>
      <c r="BO19" t="s">
        <v>485</v>
      </c>
      <c r="BP19" t="s">
        <v>74</v>
      </c>
      <c r="BQ19" t="s">
        <v>74</v>
      </c>
      <c r="BR19" t="s">
        <v>104</v>
      </c>
      <c r="BS19" t="s">
        <v>486</v>
      </c>
      <c r="BT19" t="str">
        <f>HYPERLINK("https%3A%2F%2Fwww.webofscience.com%2Fwos%2Fwoscc%2Ffull-record%2FWOS:000356285500001","View Full Record in Web of Science")</f>
        <v>View Full Record in Web of Science</v>
      </c>
    </row>
    <row r="20" spans="1:72" x14ac:dyDescent="0.15">
      <c r="A20" t="s">
        <v>72</v>
      </c>
      <c r="B20" t="s">
        <v>487</v>
      </c>
      <c r="C20" t="s">
        <v>74</v>
      </c>
      <c r="D20" t="s">
        <v>74</v>
      </c>
      <c r="E20" t="s">
        <v>74</v>
      </c>
      <c r="F20" t="s">
        <v>488</v>
      </c>
      <c r="G20" t="s">
        <v>74</v>
      </c>
      <c r="H20" t="s">
        <v>74</v>
      </c>
      <c r="I20" t="s">
        <v>489</v>
      </c>
      <c r="J20" t="s">
        <v>490</v>
      </c>
      <c r="K20" t="s">
        <v>74</v>
      </c>
      <c r="L20" t="s">
        <v>74</v>
      </c>
      <c r="M20" t="s">
        <v>78</v>
      </c>
      <c r="N20" t="s">
        <v>79</v>
      </c>
      <c r="O20" t="s">
        <v>74</v>
      </c>
      <c r="P20" t="s">
        <v>74</v>
      </c>
      <c r="Q20" t="s">
        <v>74</v>
      </c>
      <c r="R20" t="s">
        <v>74</v>
      </c>
      <c r="S20" t="s">
        <v>74</v>
      </c>
      <c r="T20" t="s">
        <v>491</v>
      </c>
      <c r="U20" t="s">
        <v>492</v>
      </c>
      <c r="V20" t="s">
        <v>493</v>
      </c>
      <c r="W20" t="s">
        <v>494</v>
      </c>
      <c r="X20" t="s">
        <v>495</v>
      </c>
      <c r="Y20" t="s">
        <v>496</v>
      </c>
      <c r="Z20" t="s">
        <v>497</v>
      </c>
      <c r="AA20" t="s">
        <v>498</v>
      </c>
      <c r="AB20" t="s">
        <v>499</v>
      </c>
      <c r="AC20" t="s">
        <v>500</v>
      </c>
      <c r="AD20" t="s">
        <v>500</v>
      </c>
      <c r="AE20" t="s">
        <v>501</v>
      </c>
      <c r="AF20" t="s">
        <v>74</v>
      </c>
      <c r="AG20">
        <v>169</v>
      </c>
      <c r="AH20">
        <v>23</v>
      </c>
      <c r="AI20">
        <v>24</v>
      </c>
      <c r="AJ20">
        <v>2</v>
      </c>
      <c r="AK20">
        <v>15</v>
      </c>
      <c r="AL20" t="s">
        <v>502</v>
      </c>
      <c r="AM20" t="s">
        <v>503</v>
      </c>
      <c r="AN20" t="s">
        <v>504</v>
      </c>
      <c r="AO20" t="s">
        <v>505</v>
      </c>
      <c r="AP20" t="s">
        <v>506</v>
      </c>
      <c r="AQ20" t="s">
        <v>74</v>
      </c>
      <c r="AR20" t="s">
        <v>490</v>
      </c>
      <c r="AS20" t="s">
        <v>507</v>
      </c>
      <c r="AT20" t="s">
        <v>404</v>
      </c>
      <c r="AU20">
        <v>2015</v>
      </c>
      <c r="AV20">
        <v>3963</v>
      </c>
      <c r="AW20">
        <v>3</v>
      </c>
      <c r="AX20" t="s">
        <v>74</v>
      </c>
      <c r="AY20" t="s">
        <v>74</v>
      </c>
      <c r="AZ20" t="s">
        <v>74</v>
      </c>
      <c r="BA20" t="s">
        <v>74</v>
      </c>
      <c r="BB20">
        <v>251</v>
      </c>
      <c r="BC20">
        <v>294</v>
      </c>
      <c r="BD20" t="s">
        <v>74</v>
      </c>
      <c r="BE20" t="s">
        <v>508</v>
      </c>
      <c r="BF20" t="str">
        <f>HYPERLINK("http://dx.doi.org/10.11646/zootaxa.3963.3.1","http://dx.doi.org/10.11646/zootaxa.3963.3.1")</f>
        <v>http://dx.doi.org/10.11646/zootaxa.3963.3.1</v>
      </c>
      <c r="BG20" t="s">
        <v>74</v>
      </c>
      <c r="BH20" t="s">
        <v>74</v>
      </c>
      <c r="BI20">
        <v>44</v>
      </c>
      <c r="BJ20" t="s">
        <v>509</v>
      </c>
      <c r="BK20" t="s">
        <v>100</v>
      </c>
      <c r="BL20" t="s">
        <v>509</v>
      </c>
      <c r="BM20" t="s">
        <v>510</v>
      </c>
      <c r="BN20">
        <v>26249402</v>
      </c>
      <c r="BO20" t="s">
        <v>74</v>
      </c>
      <c r="BP20" t="s">
        <v>74</v>
      </c>
      <c r="BQ20" t="s">
        <v>74</v>
      </c>
      <c r="BR20" t="s">
        <v>104</v>
      </c>
      <c r="BS20" t="s">
        <v>511</v>
      </c>
      <c r="BT20" t="str">
        <f>HYPERLINK("https%3A%2F%2Fwww.webofscience.com%2Fwos%2Fwoscc%2Ffull-record%2FWOS:000355262600001","View Full Record in Web of Science")</f>
        <v>View Full Record in Web of Science</v>
      </c>
    </row>
    <row r="21" spans="1:72" x14ac:dyDescent="0.15">
      <c r="A21" t="s">
        <v>72</v>
      </c>
      <c r="B21" t="s">
        <v>512</v>
      </c>
      <c r="C21" t="s">
        <v>74</v>
      </c>
      <c r="D21" t="s">
        <v>74</v>
      </c>
      <c r="E21" t="s">
        <v>74</v>
      </c>
      <c r="F21" t="s">
        <v>513</v>
      </c>
      <c r="G21" t="s">
        <v>74</v>
      </c>
      <c r="H21" t="s">
        <v>74</v>
      </c>
      <c r="I21" t="s">
        <v>514</v>
      </c>
      <c r="J21" t="s">
        <v>515</v>
      </c>
      <c r="K21" t="s">
        <v>74</v>
      </c>
      <c r="L21" t="s">
        <v>74</v>
      </c>
      <c r="M21" t="s">
        <v>78</v>
      </c>
      <c r="N21" t="s">
        <v>79</v>
      </c>
      <c r="O21" t="s">
        <v>74</v>
      </c>
      <c r="P21" t="s">
        <v>74</v>
      </c>
      <c r="Q21" t="s">
        <v>74</v>
      </c>
      <c r="R21" t="s">
        <v>74</v>
      </c>
      <c r="S21" t="s">
        <v>74</v>
      </c>
      <c r="T21" t="s">
        <v>516</v>
      </c>
      <c r="U21" t="s">
        <v>517</v>
      </c>
      <c r="V21" t="s">
        <v>518</v>
      </c>
      <c r="W21" t="s">
        <v>519</v>
      </c>
      <c r="X21" t="s">
        <v>520</v>
      </c>
      <c r="Y21" t="s">
        <v>521</v>
      </c>
      <c r="Z21" t="s">
        <v>522</v>
      </c>
      <c r="AA21" t="s">
        <v>523</v>
      </c>
      <c r="AB21" t="s">
        <v>524</v>
      </c>
      <c r="AC21" t="s">
        <v>525</v>
      </c>
      <c r="AD21" t="s">
        <v>525</v>
      </c>
      <c r="AE21" t="s">
        <v>526</v>
      </c>
      <c r="AF21" t="s">
        <v>74</v>
      </c>
      <c r="AG21">
        <v>24</v>
      </c>
      <c r="AH21">
        <v>8</v>
      </c>
      <c r="AI21">
        <v>8</v>
      </c>
      <c r="AJ21">
        <v>2</v>
      </c>
      <c r="AK21">
        <v>13</v>
      </c>
      <c r="AL21" t="s">
        <v>527</v>
      </c>
      <c r="AM21" t="s">
        <v>528</v>
      </c>
      <c r="AN21" t="s">
        <v>529</v>
      </c>
      <c r="AO21" t="s">
        <v>530</v>
      </c>
      <c r="AP21" t="s">
        <v>74</v>
      </c>
      <c r="AQ21" t="s">
        <v>74</v>
      </c>
      <c r="AR21" t="s">
        <v>531</v>
      </c>
      <c r="AS21" t="s">
        <v>532</v>
      </c>
      <c r="AT21" t="s">
        <v>533</v>
      </c>
      <c r="AU21">
        <v>2015</v>
      </c>
      <c r="AV21">
        <v>108</v>
      </c>
      <c r="AW21">
        <v>10</v>
      </c>
      <c r="AX21" t="s">
        <v>74</v>
      </c>
      <c r="AY21" t="s">
        <v>74</v>
      </c>
      <c r="AZ21" t="s">
        <v>74</v>
      </c>
      <c r="BA21" t="s">
        <v>74</v>
      </c>
      <c r="BB21">
        <v>1926</v>
      </c>
      <c r="BC21">
        <v>1930</v>
      </c>
      <c r="BD21" t="s">
        <v>74</v>
      </c>
      <c r="BE21" t="s">
        <v>74</v>
      </c>
      <c r="BF21" t="s">
        <v>74</v>
      </c>
      <c r="BG21" t="s">
        <v>74</v>
      </c>
      <c r="BH21" t="s">
        <v>74</v>
      </c>
      <c r="BI21">
        <v>5</v>
      </c>
      <c r="BJ21" t="s">
        <v>429</v>
      </c>
      <c r="BK21" t="s">
        <v>100</v>
      </c>
      <c r="BL21" t="s">
        <v>430</v>
      </c>
      <c r="BM21" t="s">
        <v>534</v>
      </c>
      <c r="BN21" t="s">
        <v>74</v>
      </c>
      <c r="BO21" t="s">
        <v>74</v>
      </c>
      <c r="BP21" t="s">
        <v>74</v>
      </c>
      <c r="BQ21" t="s">
        <v>74</v>
      </c>
      <c r="BR21" t="s">
        <v>104</v>
      </c>
      <c r="BS21" t="s">
        <v>535</v>
      </c>
      <c r="BT21" t="str">
        <f>HYPERLINK("https%3A%2F%2Fwww.webofscience.com%2Fwos%2Fwoscc%2Ffull-record%2FWOS:000355890800034","View Full Record in Web of Science")</f>
        <v>View Full Record in Web of Science</v>
      </c>
    </row>
    <row r="22" spans="1:72" x14ac:dyDescent="0.15">
      <c r="A22" t="s">
        <v>72</v>
      </c>
      <c r="B22" t="s">
        <v>536</v>
      </c>
      <c r="C22" t="s">
        <v>74</v>
      </c>
      <c r="D22" t="s">
        <v>74</v>
      </c>
      <c r="E22" t="s">
        <v>74</v>
      </c>
      <c r="F22" t="s">
        <v>537</v>
      </c>
      <c r="G22" t="s">
        <v>74</v>
      </c>
      <c r="H22" t="s">
        <v>74</v>
      </c>
      <c r="I22" t="s">
        <v>538</v>
      </c>
      <c r="J22" t="s">
        <v>539</v>
      </c>
      <c r="K22" t="s">
        <v>74</v>
      </c>
      <c r="L22" t="s">
        <v>74</v>
      </c>
      <c r="M22" t="s">
        <v>78</v>
      </c>
      <c r="N22" t="s">
        <v>79</v>
      </c>
      <c r="O22" t="s">
        <v>74</v>
      </c>
      <c r="P22" t="s">
        <v>74</v>
      </c>
      <c r="Q22" t="s">
        <v>74</v>
      </c>
      <c r="R22" t="s">
        <v>74</v>
      </c>
      <c r="S22" t="s">
        <v>74</v>
      </c>
      <c r="T22" t="s">
        <v>74</v>
      </c>
      <c r="U22" t="s">
        <v>540</v>
      </c>
      <c r="V22" t="s">
        <v>541</v>
      </c>
      <c r="W22" t="s">
        <v>542</v>
      </c>
      <c r="X22" t="s">
        <v>543</v>
      </c>
      <c r="Y22" t="s">
        <v>544</v>
      </c>
      <c r="Z22" t="s">
        <v>545</v>
      </c>
      <c r="AA22" t="s">
        <v>546</v>
      </c>
      <c r="AB22" t="s">
        <v>547</v>
      </c>
      <c r="AC22" t="s">
        <v>548</v>
      </c>
      <c r="AD22" t="s">
        <v>549</v>
      </c>
      <c r="AE22" t="s">
        <v>550</v>
      </c>
      <c r="AF22" t="s">
        <v>74</v>
      </c>
      <c r="AG22">
        <v>36</v>
      </c>
      <c r="AH22">
        <v>157</v>
      </c>
      <c r="AI22">
        <v>170</v>
      </c>
      <c r="AJ22">
        <v>2</v>
      </c>
      <c r="AK22">
        <v>92</v>
      </c>
      <c r="AL22" t="s">
        <v>551</v>
      </c>
      <c r="AM22" t="s">
        <v>267</v>
      </c>
      <c r="AN22" t="s">
        <v>552</v>
      </c>
      <c r="AO22" t="s">
        <v>553</v>
      </c>
      <c r="AP22" t="s">
        <v>554</v>
      </c>
      <c r="AQ22" t="s">
        <v>74</v>
      </c>
      <c r="AR22" t="s">
        <v>539</v>
      </c>
      <c r="AS22" t="s">
        <v>555</v>
      </c>
      <c r="AT22" t="s">
        <v>556</v>
      </c>
      <c r="AU22">
        <v>2015</v>
      </c>
      <c r="AV22">
        <v>348</v>
      </c>
      <c r="AW22">
        <v>6237</v>
      </c>
      <c r="AX22" t="s">
        <v>74</v>
      </c>
      <c r="AY22" t="s">
        <v>74</v>
      </c>
      <c r="AZ22" t="s">
        <v>74</v>
      </c>
      <c r="BA22" t="s">
        <v>74</v>
      </c>
      <c r="BB22">
        <v>899</v>
      </c>
      <c r="BC22">
        <v>903</v>
      </c>
      <c r="BD22" t="s">
        <v>74</v>
      </c>
      <c r="BE22" t="s">
        <v>557</v>
      </c>
      <c r="BF22" t="str">
        <f>HYPERLINK("http://dx.doi.org/10.1126/science.aaa5727","http://dx.doi.org/10.1126/science.aaa5727")</f>
        <v>http://dx.doi.org/10.1126/science.aaa5727</v>
      </c>
      <c r="BG22" t="s">
        <v>74</v>
      </c>
      <c r="BH22" t="s">
        <v>74</v>
      </c>
      <c r="BI22">
        <v>5</v>
      </c>
      <c r="BJ22" t="s">
        <v>429</v>
      </c>
      <c r="BK22" t="s">
        <v>100</v>
      </c>
      <c r="BL22" t="s">
        <v>430</v>
      </c>
      <c r="BM22" t="s">
        <v>558</v>
      </c>
      <c r="BN22">
        <v>25999505</v>
      </c>
      <c r="BO22" t="s">
        <v>559</v>
      </c>
      <c r="BP22" t="s">
        <v>74</v>
      </c>
      <c r="BQ22" t="s">
        <v>74</v>
      </c>
      <c r="BR22" t="s">
        <v>104</v>
      </c>
      <c r="BS22" t="s">
        <v>560</v>
      </c>
      <c r="BT22" t="str">
        <f>HYPERLINK("https%3A%2F%2Fwww.webofscience.com%2Fwos%2Fwoscc%2Ffull-record%2FWOS:000354877900041","View Full Record in Web of Science")</f>
        <v>View Full Record in Web of Science</v>
      </c>
    </row>
    <row r="23" spans="1:72" x14ac:dyDescent="0.15">
      <c r="A23" t="s">
        <v>72</v>
      </c>
      <c r="B23" t="s">
        <v>561</v>
      </c>
      <c r="C23" t="s">
        <v>74</v>
      </c>
      <c r="D23" t="s">
        <v>74</v>
      </c>
      <c r="E23" t="s">
        <v>74</v>
      </c>
      <c r="F23" t="s">
        <v>562</v>
      </c>
      <c r="G23" t="s">
        <v>74</v>
      </c>
      <c r="H23" t="s">
        <v>74</v>
      </c>
      <c r="I23" t="s">
        <v>563</v>
      </c>
      <c r="J23" t="s">
        <v>564</v>
      </c>
      <c r="K23" t="s">
        <v>74</v>
      </c>
      <c r="L23" t="s">
        <v>74</v>
      </c>
      <c r="M23" t="s">
        <v>78</v>
      </c>
      <c r="N23" t="s">
        <v>79</v>
      </c>
      <c r="O23" t="s">
        <v>74</v>
      </c>
      <c r="P23" t="s">
        <v>74</v>
      </c>
      <c r="Q23" t="s">
        <v>74</v>
      </c>
      <c r="R23" t="s">
        <v>74</v>
      </c>
      <c r="S23" t="s">
        <v>74</v>
      </c>
      <c r="T23" t="s">
        <v>74</v>
      </c>
      <c r="U23" t="s">
        <v>565</v>
      </c>
      <c r="V23" t="s">
        <v>566</v>
      </c>
      <c r="W23" t="s">
        <v>567</v>
      </c>
      <c r="X23" t="s">
        <v>568</v>
      </c>
      <c r="Y23" t="s">
        <v>569</v>
      </c>
      <c r="Z23" t="s">
        <v>570</v>
      </c>
      <c r="AA23" t="s">
        <v>571</v>
      </c>
      <c r="AB23" t="s">
        <v>572</v>
      </c>
      <c r="AC23" t="s">
        <v>573</v>
      </c>
      <c r="AD23" t="s">
        <v>574</v>
      </c>
      <c r="AE23" t="s">
        <v>575</v>
      </c>
      <c r="AF23" t="s">
        <v>74</v>
      </c>
      <c r="AG23">
        <v>22</v>
      </c>
      <c r="AH23">
        <v>17</v>
      </c>
      <c r="AI23">
        <v>18</v>
      </c>
      <c r="AJ23">
        <v>1</v>
      </c>
      <c r="AK23">
        <v>5</v>
      </c>
      <c r="AL23" t="s">
        <v>576</v>
      </c>
      <c r="AM23" t="s">
        <v>577</v>
      </c>
      <c r="AN23" t="s">
        <v>578</v>
      </c>
      <c r="AO23" t="s">
        <v>579</v>
      </c>
      <c r="AP23" t="s">
        <v>580</v>
      </c>
      <c r="AQ23" t="s">
        <v>74</v>
      </c>
      <c r="AR23" t="s">
        <v>581</v>
      </c>
      <c r="AS23" t="s">
        <v>582</v>
      </c>
      <c r="AT23" t="s">
        <v>583</v>
      </c>
      <c r="AU23">
        <v>2015</v>
      </c>
      <c r="AV23">
        <v>9</v>
      </c>
      <c r="AW23">
        <v>8</v>
      </c>
      <c r="AX23" t="s">
        <v>74</v>
      </c>
      <c r="AY23" t="s">
        <v>74</v>
      </c>
      <c r="AZ23" t="s">
        <v>74</v>
      </c>
      <c r="BA23" t="s">
        <v>74</v>
      </c>
      <c r="BB23">
        <v>1048</v>
      </c>
      <c r="BC23">
        <v>1053</v>
      </c>
      <c r="BD23" t="s">
        <v>74</v>
      </c>
      <c r="BE23" t="s">
        <v>584</v>
      </c>
      <c r="BF23" t="str">
        <f>HYPERLINK("http://dx.doi.org/10.1049/iet-com.2014.0807","http://dx.doi.org/10.1049/iet-com.2014.0807")</f>
        <v>http://dx.doi.org/10.1049/iet-com.2014.0807</v>
      </c>
      <c r="BG23" t="s">
        <v>74</v>
      </c>
      <c r="BH23" t="s">
        <v>74</v>
      </c>
      <c r="BI23">
        <v>6</v>
      </c>
      <c r="BJ23" t="s">
        <v>585</v>
      </c>
      <c r="BK23" t="s">
        <v>100</v>
      </c>
      <c r="BL23" t="s">
        <v>586</v>
      </c>
      <c r="BM23" t="s">
        <v>587</v>
      </c>
      <c r="BN23" t="s">
        <v>74</v>
      </c>
      <c r="BO23" t="s">
        <v>156</v>
      </c>
      <c r="BP23" t="s">
        <v>74</v>
      </c>
      <c r="BQ23" t="s">
        <v>74</v>
      </c>
      <c r="BR23" t="s">
        <v>104</v>
      </c>
      <c r="BS23" t="s">
        <v>588</v>
      </c>
      <c r="BT23" t="str">
        <f>HYPERLINK("https%3A%2F%2Fwww.webofscience.com%2Fwos%2Fwoscc%2Ffull-record%2FWOS:000353972100003","View Full Record in Web of Science")</f>
        <v>View Full Record in Web of Science</v>
      </c>
    </row>
    <row r="24" spans="1:72" x14ac:dyDescent="0.15">
      <c r="A24" t="s">
        <v>72</v>
      </c>
      <c r="B24" t="s">
        <v>589</v>
      </c>
      <c r="C24" t="s">
        <v>74</v>
      </c>
      <c r="D24" t="s">
        <v>74</v>
      </c>
      <c r="E24" t="s">
        <v>74</v>
      </c>
      <c r="F24" t="s">
        <v>590</v>
      </c>
      <c r="G24" t="s">
        <v>74</v>
      </c>
      <c r="H24" t="s">
        <v>74</v>
      </c>
      <c r="I24" t="s">
        <v>591</v>
      </c>
      <c r="J24" t="s">
        <v>490</v>
      </c>
      <c r="K24" t="s">
        <v>74</v>
      </c>
      <c r="L24" t="s">
        <v>74</v>
      </c>
      <c r="M24" t="s">
        <v>78</v>
      </c>
      <c r="N24" t="s">
        <v>79</v>
      </c>
      <c r="O24" t="s">
        <v>74</v>
      </c>
      <c r="P24" t="s">
        <v>74</v>
      </c>
      <c r="Q24" t="s">
        <v>74</v>
      </c>
      <c r="R24" t="s">
        <v>74</v>
      </c>
      <c r="S24" t="s">
        <v>74</v>
      </c>
      <c r="T24" t="s">
        <v>592</v>
      </c>
      <c r="U24" t="s">
        <v>593</v>
      </c>
      <c r="V24" t="s">
        <v>594</v>
      </c>
      <c r="W24" t="s">
        <v>595</v>
      </c>
      <c r="X24" t="s">
        <v>596</v>
      </c>
      <c r="Y24" t="s">
        <v>597</v>
      </c>
      <c r="Z24" t="s">
        <v>598</v>
      </c>
      <c r="AA24" t="s">
        <v>599</v>
      </c>
      <c r="AB24" t="s">
        <v>74</v>
      </c>
      <c r="AC24" t="s">
        <v>600</v>
      </c>
      <c r="AD24" t="s">
        <v>600</v>
      </c>
      <c r="AE24" t="s">
        <v>601</v>
      </c>
      <c r="AF24" t="s">
        <v>74</v>
      </c>
      <c r="AG24">
        <v>104</v>
      </c>
      <c r="AH24">
        <v>23</v>
      </c>
      <c r="AI24">
        <v>25</v>
      </c>
      <c r="AJ24">
        <v>0</v>
      </c>
      <c r="AK24">
        <v>9</v>
      </c>
      <c r="AL24" t="s">
        <v>502</v>
      </c>
      <c r="AM24" t="s">
        <v>503</v>
      </c>
      <c r="AN24" t="s">
        <v>504</v>
      </c>
      <c r="AO24" t="s">
        <v>505</v>
      </c>
      <c r="AP24" t="s">
        <v>506</v>
      </c>
      <c r="AQ24" t="s">
        <v>74</v>
      </c>
      <c r="AR24" t="s">
        <v>490</v>
      </c>
      <c r="AS24" t="s">
        <v>507</v>
      </c>
      <c r="AT24" t="s">
        <v>602</v>
      </c>
      <c r="AU24">
        <v>2015</v>
      </c>
      <c r="AV24">
        <v>3958</v>
      </c>
      <c r="AW24">
        <v>1</v>
      </c>
      <c r="AX24" t="s">
        <v>74</v>
      </c>
      <c r="AY24" t="s">
        <v>74</v>
      </c>
      <c r="AZ24" t="s">
        <v>74</v>
      </c>
      <c r="BA24" t="s">
        <v>74</v>
      </c>
      <c r="BB24">
        <v>1</v>
      </c>
      <c r="BC24">
        <v>258</v>
      </c>
      <c r="BD24" t="s">
        <v>74</v>
      </c>
      <c r="BE24" t="s">
        <v>74</v>
      </c>
      <c r="BF24" t="s">
        <v>74</v>
      </c>
      <c r="BG24" t="s">
        <v>74</v>
      </c>
      <c r="BH24" t="s">
        <v>74</v>
      </c>
      <c r="BI24">
        <v>258</v>
      </c>
      <c r="BJ24" t="s">
        <v>509</v>
      </c>
      <c r="BK24" t="s">
        <v>100</v>
      </c>
      <c r="BL24" t="s">
        <v>509</v>
      </c>
      <c r="BM24" t="s">
        <v>603</v>
      </c>
      <c r="BN24">
        <v>26249225</v>
      </c>
      <c r="BO24" t="s">
        <v>74</v>
      </c>
      <c r="BP24" t="s">
        <v>74</v>
      </c>
      <c r="BQ24" t="s">
        <v>74</v>
      </c>
      <c r="BR24" t="s">
        <v>104</v>
      </c>
      <c r="BS24" t="s">
        <v>604</v>
      </c>
      <c r="BT24" t="str">
        <f>HYPERLINK("https%3A%2F%2Fwww.webofscience.com%2Fwos%2Fwoscc%2Ffull-record%2FWOS:000355258700001","View Full Record in Web of Science")</f>
        <v>View Full Record in Web of Science</v>
      </c>
    </row>
    <row r="25" spans="1:72" x14ac:dyDescent="0.15">
      <c r="A25" t="s">
        <v>72</v>
      </c>
      <c r="B25" t="s">
        <v>605</v>
      </c>
      <c r="C25" t="s">
        <v>74</v>
      </c>
      <c r="D25" t="s">
        <v>74</v>
      </c>
      <c r="E25" t="s">
        <v>74</v>
      </c>
      <c r="F25" t="s">
        <v>606</v>
      </c>
      <c r="G25" t="s">
        <v>74</v>
      </c>
      <c r="H25" t="s">
        <v>74</v>
      </c>
      <c r="I25" t="s">
        <v>607</v>
      </c>
      <c r="J25" t="s">
        <v>608</v>
      </c>
      <c r="K25" t="s">
        <v>74</v>
      </c>
      <c r="L25" t="s">
        <v>74</v>
      </c>
      <c r="M25" t="s">
        <v>78</v>
      </c>
      <c r="N25" t="s">
        <v>79</v>
      </c>
      <c r="O25" t="s">
        <v>74</v>
      </c>
      <c r="P25" t="s">
        <v>74</v>
      </c>
      <c r="Q25" t="s">
        <v>74</v>
      </c>
      <c r="R25" t="s">
        <v>74</v>
      </c>
      <c r="S25" t="s">
        <v>74</v>
      </c>
      <c r="T25" t="s">
        <v>609</v>
      </c>
      <c r="U25" t="s">
        <v>610</v>
      </c>
      <c r="V25" t="s">
        <v>611</v>
      </c>
      <c r="W25" t="s">
        <v>612</v>
      </c>
      <c r="X25" t="s">
        <v>613</v>
      </c>
      <c r="Y25" t="s">
        <v>614</v>
      </c>
      <c r="Z25" t="s">
        <v>615</v>
      </c>
      <c r="AA25" t="s">
        <v>616</v>
      </c>
      <c r="AB25" t="s">
        <v>617</v>
      </c>
      <c r="AC25" t="s">
        <v>618</v>
      </c>
      <c r="AD25" t="s">
        <v>619</v>
      </c>
      <c r="AE25" t="s">
        <v>620</v>
      </c>
      <c r="AF25" t="s">
        <v>74</v>
      </c>
      <c r="AG25">
        <v>166</v>
      </c>
      <c r="AH25">
        <v>28</v>
      </c>
      <c r="AI25">
        <v>28</v>
      </c>
      <c r="AJ25">
        <v>0</v>
      </c>
      <c r="AK25">
        <v>12</v>
      </c>
      <c r="AL25" t="s">
        <v>621</v>
      </c>
      <c r="AM25" t="s">
        <v>622</v>
      </c>
      <c r="AN25" t="s">
        <v>623</v>
      </c>
      <c r="AO25" t="s">
        <v>624</v>
      </c>
      <c r="AP25" t="s">
        <v>625</v>
      </c>
      <c r="AQ25" t="s">
        <v>74</v>
      </c>
      <c r="AR25" t="s">
        <v>626</v>
      </c>
      <c r="AS25" t="s">
        <v>627</v>
      </c>
      <c r="AT25" t="s">
        <v>602</v>
      </c>
      <c r="AU25">
        <v>2015</v>
      </c>
      <c r="AV25">
        <v>805</v>
      </c>
      <c r="AW25">
        <v>1</v>
      </c>
      <c r="AX25" t="s">
        <v>74</v>
      </c>
      <c r="AY25" t="s">
        <v>74</v>
      </c>
      <c r="AZ25" t="s">
        <v>74</v>
      </c>
      <c r="BA25" t="s">
        <v>74</v>
      </c>
      <c r="BB25" t="s">
        <v>74</v>
      </c>
      <c r="BC25" t="s">
        <v>74</v>
      </c>
      <c r="BD25">
        <v>13</v>
      </c>
      <c r="BE25" t="s">
        <v>628</v>
      </c>
      <c r="BF25" t="str">
        <f>HYPERLINK("http://dx.doi.org/10.1088/0004-637X/805/1/13","http://dx.doi.org/10.1088/0004-637X/805/1/13")</f>
        <v>http://dx.doi.org/10.1088/0004-637X/805/1/13</v>
      </c>
      <c r="BG25" t="s">
        <v>74</v>
      </c>
      <c r="BH25" t="s">
        <v>74</v>
      </c>
      <c r="BI25">
        <v>32</v>
      </c>
      <c r="BJ25" t="s">
        <v>246</v>
      </c>
      <c r="BK25" t="s">
        <v>100</v>
      </c>
      <c r="BL25" t="s">
        <v>246</v>
      </c>
      <c r="BM25" t="s">
        <v>629</v>
      </c>
      <c r="BN25" t="s">
        <v>74</v>
      </c>
      <c r="BO25" t="s">
        <v>248</v>
      </c>
      <c r="BP25" t="s">
        <v>74</v>
      </c>
      <c r="BQ25" t="s">
        <v>74</v>
      </c>
      <c r="BR25" t="s">
        <v>104</v>
      </c>
      <c r="BS25" t="s">
        <v>630</v>
      </c>
      <c r="BT25" t="str">
        <f>HYPERLINK("https%3A%2F%2Fwww.webofscience.com%2Fwos%2Fwoscc%2Ffull-record%2FWOS:000354991300013","View Full Record in Web of Science")</f>
        <v>View Full Record in Web of Science</v>
      </c>
    </row>
    <row r="26" spans="1:72" x14ac:dyDescent="0.15">
      <c r="A26" t="s">
        <v>72</v>
      </c>
      <c r="B26" t="s">
        <v>631</v>
      </c>
      <c r="C26" t="s">
        <v>74</v>
      </c>
      <c r="D26" t="s">
        <v>74</v>
      </c>
      <c r="E26" t="s">
        <v>74</v>
      </c>
      <c r="F26" t="s">
        <v>632</v>
      </c>
      <c r="G26" t="s">
        <v>74</v>
      </c>
      <c r="H26" t="s">
        <v>74</v>
      </c>
      <c r="I26" t="s">
        <v>633</v>
      </c>
      <c r="J26" t="s">
        <v>634</v>
      </c>
      <c r="K26" t="s">
        <v>74</v>
      </c>
      <c r="L26" t="s">
        <v>74</v>
      </c>
      <c r="M26" t="s">
        <v>78</v>
      </c>
      <c r="N26" t="s">
        <v>79</v>
      </c>
      <c r="O26" t="s">
        <v>74</v>
      </c>
      <c r="P26" t="s">
        <v>74</v>
      </c>
      <c r="Q26" t="s">
        <v>74</v>
      </c>
      <c r="R26" t="s">
        <v>74</v>
      </c>
      <c r="S26" t="s">
        <v>74</v>
      </c>
      <c r="T26" t="s">
        <v>74</v>
      </c>
      <c r="U26" t="s">
        <v>635</v>
      </c>
      <c r="V26" t="s">
        <v>636</v>
      </c>
      <c r="W26" t="s">
        <v>637</v>
      </c>
      <c r="X26" t="s">
        <v>638</v>
      </c>
      <c r="Y26" t="s">
        <v>639</v>
      </c>
      <c r="Z26" t="s">
        <v>640</v>
      </c>
      <c r="AA26" t="s">
        <v>641</v>
      </c>
      <c r="AB26" t="s">
        <v>642</v>
      </c>
      <c r="AC26" t="s">
        <v>643</v>
      </c>
      <c r="AD26" t="s">
        <v>644</v>
      </c>
      <c r="AE26" t="s">
        <v>645</v>
      </c>
      <c r="AF26" t="s">
        <v>74</v>
      </c>
      <c r="AG26">
        <v>36</v>
      </c>
      <c r="AH26">
        <v>70</v>
      </c>
      <c r="AI26">
        <v>74</v>
      </c>
      <c r="AJ26">
        <v>1</v>
      </c>
      <c r="AK26">
        <v>51</v>
      </c>
      <c r="AL26" t="s">
        <v>646</v>
      </c>
      <c r="AM26" t="s">
        <v>267</v>
      </c>
      <c r="AN26" t="s">
        <v>647</v>
      </c>
      <c r="AO26" t="s">
        <v>648</v>
      </c>
      <c r="AP26" t="s">
        <v>649</v>
      </c>
      <c r="AQ26" t="s">
        <v>74</v>
      </c>
      <c r="AR26" t="s">
        <v>650</v>
      </c>
      <c r="AS26" t="s">
        <v>651</v>
      </c>
      <c r="AT26" t="s">
        <v>652</v>
      </c>
      <c r="AU26">
        <v>2015</v>
      </c>
      <c r="AV26">
        <v>87</v>
      </c>
      <c r="AW26">
        <v>10</v>
      </c>
      <c r="AX26" t="s">
        <v>74</v>
      </c>
      <c r="AY26" t="s">
        <v>74</v>
      </c>
      <c r="AZ26" t="s">
        <v>74</v>
      </c>
      <c r="BA26" t="s">
        <v>74</v>
      </c>
      <c r="BB26">
        <v>5198</v>
      </c>
      <c r="BC26">
        <v>5205</v>
      </c>
      <c r="BD26" t="s">
        <v>74</v>
      </c>
      <c r="BE26" t="s">
        <v>653</v>
      </c>
      <c r="BF26" t="str">
        <f>HYPERLINK("http://dx.doi.org/10.1021/acs.analchem.5b00085","http://dx.doi.org/10.1021/acs.analchem.5b00085")</f>
        <v>http://dx.doi.org/10.1021/acs.analchem.5b00085</v>
      </c>
      <c r="BG26" t="s">
        <v>74</v>
      </c>
      <c r="BH26" t="s">
        <v>74</v>
      </c>
      <c r="BI26">
        <v>8</v>
      </c>
      <c r="BJ26" t="s">
        <v>654</v>
      </c>
      <c r="BK26" t="s">
        <v>100</v>
      </c>
      <c r="BL26" t="s">
        <v>655</v>
      </c>
      <c r="BM26" t="s">
        <v>656</v>
      </c>
      <c r="BN26">
        <v>25874646</v>
      </c>
      <c r="BO26" t="s">
        <v>559</v>
      </c>
      <c r="BP26" t="s">
        <v>74</v>
      </c>
      <c r="BQ26" t="s">
        <v>74</v>
      </c>
      <c r="BR26" t="s">
        <v>104</v>
      </c>
      <c r="BS26" t="s">
        <v>657</v>
      </c>
      <c r="BT26" t="str">
        <f>HYPERLINK("https%3A%2F%2Fwww.webofscience.com%2Fwos%2Fwoscc%2Ffull-record%2FWOS:000355057700027","View Full Record in Web of Science")</f>
        <v>View Full Record in Web of Science</v>
      </c>
    </row>
    <row r="27" spans="1:72" x14ac:dyDescent="0.15">
      <c r="A27" t="s">
        <v>72</v>
      </c>
      <c r="B27" t="s">
        <v>658</v>
      </c>
      <c r="C27" t="s">
        <v>74</v>
      </c>
      <c r="D27" t="s">
        <v>74</v>
      </c>
      <c r="E27" t="s">
        <v>74</v>
      </c>
      <c r="F27" t="s">
        <v>659</v>
      </c>
      <c r="G27" t="s">
        <v>74</v>
      </c>
      <c r="H27" t="s">
        <v>74</v>
      </c>
      <c r="I27" t="s">
        <v>660</v>
      </c>
      <c r="J27" t="s">
        <v>661</v>
      </c>
      <c r="K27" t="s">
        <v>74</v>
      </c>
      <c r="L27" t="s">
        <v>74</v>
      </c>
      <c r="M27" t="s">
        <v>78</v>
      </c>
      <c r="N27" t="s">
        <v>79</v>
      </c>
      <c r="O27" t="s">
        <v>74</v>
      </c>
      <c r="P27" t="s">
        <v>74</v>
      </c>
      <c r="Q27" t="s">
        <v>74</v>
      </c>
      <c r="R27" t="s">
        <v>74</v>
      </c>
      <c r="S27" t="s">
        <v>74</v>
      </c>
      <c r="T27" t="s">
        <v>662</v>
      </c>
      <c r="U27" t="s">
        <v>663</v>
      </c>
      <c r="V27" t="s">
        <v>664</v>
      </c>
      <c r="W27" t="s">
        <v>665</v>
      </c>
      <c r="X27" t="s">
        <v>666</v>
      </c>
      <c r="Y27" t="s">
        <v>667</v>
      </c>
      <c r="Z27" t="s">
        <v>668</v>
      </c>
      <c r="AA27" t="s">
        <v>669</v>
      </c>
      <c r="AB27" t="s">
        <v>670</v>
      </c>
      <c r="AC27" t="s">
        <v>671</v>
      </c>
      <c r="AD27" t="s">
        <v>672</v>
      </c>
      <c r="AE27" t="s">
        <v>673</v>
      </c>
      <c r="AF27" t="s">
        <v>74</v>
      </c>
      <c r="AG27">
        <v>61</v>
      </c>
      <c r="AH27">
        <v>33</v>
      </c>
      <c r="AI27">
        <v>35</v>
      </c>
      <c r="AJ27">
        <v>0</v>
      </c>
      <c r="AK27">
        <v>14</v>
      </c>
      <c r="AL27" t="s">
        <v>502</v>
      </c>
      <c r="AM27" t="s">
        <v>503</v>
      </c>
      <c r="AN27" t="s">
        <v>674</v>
      </c>
      <c r="AO27" t="s">
        <v>675</v>
      </c>
      <c r="AP27" t="s">
        <v>676</v>
      </c>
      <c r="AQ27" t="s">
        <v>74</v>
      </c>
      <c r="AR27" t="s">
        <v>661</v>
      </c>
      <c r="AS27" t="s">
        <v>677</v>
      </c>
      <c r="AT27" t="s">
        <v>652</v>
      </c>
      <c r="AU27">
        <v>2015</v>
      </c>
      <c r="AV27">
        <v>208</v>
      </c>
      <c r="AW27">
        <v>2</v>
      </c>
      <c r="AX27" t="s">
        <v>74</v>
      </c>
      <c r="AY27" t="s">
        <v>74</v>
      </c>
      <c r="AZ27" t="s">
        <v>74</v>
      </c>
      <c r="BA27" t="s">
        <v>74</v>
      </c>
      <c r="BB27">
        <v>103</v>
      </c>
      <c r="BC27">
        <v>134</v>
      </c>
      <c r="BD27" t="s">
        <v>74</v>
      </c>
      <c r="BE27" t="s">
        <v>678</v>
      </c>
      <c r="BF27" t="str">
        <f>HYPERLINK("http://dx.doi.org/10.11646/phytotaxa.208.2.1","http://dx.doi.org/10.11646/phytotaxa.208.2.1")</f>
        <v>http://dx.doi.org/10.11646/phytotaxa.208.2.1</v>
      </c>
      <c r="BG27" t="s">
        <v>74</v>
      </c>
      <c r="BH27" t="s">
        <v>74</v>
      </c>
      <c r="BI27">
        <v>32</v>
      </c>
      <c r="BJ27" t="s">
        <v>679</v>
      </c>
      <c r="BK27" t="s">
        <v>100</v>
      </c>
      <c r="BL27" t="s">
        <v>679</v>
      </c>
      <c r="BM27" t="s">
        <v>680</v>
      </c>
      <c r="BN27" t="s">
        <v>74</v>
      </c>
      <c r="BO27" t="s">
        <v>74</v>
      </c>
      <c r="BP27" t="s">
        <v>74</v>
      </c>
      <c r="BQ27" t="s">
        <v>74</v>
      </c>
      <c r="BR27" t="s">
        <v>104</v>
      </c>
      <c r="BS27" t="s">
        <v>681</v>
      </c>
      <c r="BT27" t="str">
        <f>HYPERLINK("https%3A%2F%2Fwww.webofscience.com%2Fwos%2Fwoscc%2Ffull-record%2FWOS:000354990300001","View Full Record in Web of Science")</f>
        <v>View Full Record in Web of Science</v>
      </c>
    </row>
    <row r="28" spans="1:72" x14ac:dyDescent="0.15">
      <c r="A28" t="s">
        <v>72</v>
      </c>
      <c r="B28" t="s">
        <v>682</v>
      </c>
      <c r="C28" t="s">
        <v>74</v>
      </c>
      <c r="D28" t="s">
        <v>74</v>
      </c>
      <c r="E28" t="s">
        <v>74</v>
      </c>
      <c r="F28" t="s">
        <v>683</v>
      </c>
      <c r="G28" t="s">
        <v>74</v>
      </c>
      <c r="H28" t="s">
        <v>74</v>
      </c>
      <c r="I28" t="s">
        <v>684</v>
      </c>
      <c r="J28" t="s">
        <v>253</v>
      </c>
      <c r="K28" t="s">
        <v>74</v>
      </c>
      <c r="L28" t="s">
        <v>74</v>
      </c>
      <c r="M28" t="s">
        <v>78</v>
      </c>
      <c r="N28" t="s">
        <v>79</v>
      </c>
      <c r="O28" t="s">
        <v>74</v>
      </c>
      <c r="P28" t="s">
        <v>74</v>
      </c>
      <c r="Q28" t="s">
        <v>74</v>
      </c>
      <c r="R28" t="s">
        <v>74</v>
      </c>
      <c r="S28" t="s">
        <v>74</v>
      </c>
      <c r="T28" t="s">
        <v>685</v>
      </c>
      <c r="U28" t="s">
        <v>686</v>
      </c>
      <c r="V28" t="s">
        <v>687</v>
      </c>
      <c r="W28" t="s">
        <v>688</v>
      </c>
      <c r="X28" t="s">
        <v>689</v>
      </c>
      <c r="Y28" t="s">
        <v>690</v>
      </c>
      <c r="Z28" t="s">
        <v>691</v>
      </c>
      <c r="AA28" t="s">
        <v>74</v>
      </c>
      <c r="AB28" t="s">
        <v>692</v>
      </c>
      <c r="AC28" t="s">
        <v>693</v>
      </c>
      <c r="AD28" t="s">
        <v>694</v>
      </c>
      <c r="AE28" t="s">
        <v>695</v>
      </c>
      <c r="AF28" t="s">
        <v>74</v>
      </c>
      <c r="AG28">
        <v>31</v>
      </c>
      <c r="AH28">
        <v>33</v>
      </c>
      <c r="AI28">
        <v>36</v>
      </c>
      <c r="AJ28">
        <v>1</v>
      </c>
      <c r="AK28">
        <v>22</v>
      </c>
      <c r="AL28" t="s">
        <v>266</v>
      </c>
      <c r="AM28" t="s">
        <v>267</v>
      </c>
      <c r="AN28" t="s">
        <v>268</v>
      </c>
      <c r="AO28" t="s">
        <v>269</v>
      </c>
      <c r="AP28" t="s">
        <v>270</v>
      </c>
      <c r="AQ28" t="s">
        <v>74</v>
      </c>
      <c r="AR28" t="s">
        <v>271</v>
      </c>
      <c r="AS28" t="s">
        <v>272</v>
      </c>
      <c r="AT28" t="s">
        <v>696</v>
      </c>
      <c r="AU28">
        <v>2015</v>
      </c>
      <c r="AV28">
        <v>42</v>
      </c>
      <c r="AW28">
        <v>9</v>
      </c>
      <c r="AX28" t="s">
        <v>74</v>
      </c>
      <c r="AY28" t="s">
        <v>74</v>
      </c>
      <c r="AZ28" t="s">
        <v>74</v>
      </c>
      <c r="BA28" t="s">
        <v>74</v>
      </c>
      <c r="BB28">
        <v>3406</v>
      </c>
      <c r="BC28">
        <v>3413</v>
      </c>
      <c r="BD28" t="s">
        <v>74</v>
      </c>
      <c r="BE28" t="s">
        <v>697</v>
      </c>
      <c r="BF28" t="str">
        <f>HYPERLINK("http://dx.doi.org/10.1002/2015GL063638","http://dx.doi.org/10.1002/2015GL063638")</f>
        <v>http://dx.doi.org/10.1002/2015GL063638</v>
      </c>
      <c r="BG28" t="s">
        <v>74</v>
      </c>
      <c r="BH28" t="s">
        <v>74</v>
      </c>
      <c r="BI28">
        <v>8</v>
      </c>
      <c r="BJ28" t="s">
        <v>219</v>
      </c>
      <c r="BK28" t="s">
        <v>100</v>
      </c>
      <c r="BL28" t="s">
        <v>220</v>
      </c>
      <c r="BM28" t="s">
        <v>698</v>
      </c>
      <c r="BN28" t="s">
        <v>74</v>
      </c>
      <c r="BO28" t="s">
        <v>74</v>
      </c>
      <c r="BP28" t="s">
        <v>74</v>
      </c>
      <c r="BQ28" t="s">
        <v>74</v>
      </c>
      <c r="BR28" t="s">
        <v>104</v>
      </c>
      <c r="BS28" t="s">
        <v>699</v>
      </c>
      <c r="BT28" t="str">
        <f>HYPERLINK("https%3A%2F%2Fwww.webofscience.com%2Fwos%2Fwoscc%2Ffull-record%2FWOS:000355878300043","View Full Record in Web of Science")</f>
        <v>View Full Record in Web of Science</v>
      </c>
    </row>
    <row r="29" spans="1:72" x14ac:dyDescent="0.15">
      <c r="A29" t="s">
        <v>72</v>
      </c>
      <c r="B29" t="s">
        <v>700</v>
      </c>
      <c r="C29" t="s">
        <v>74</v>
      </c>
      <c r="D29" t="s">
        <v>74</v>
      </c>
      <c r="E29" t="s">
        <v>74</v>
      </c>
      <c r="F29" t="s">
        <v>701</v>
      </c>
      <c r="G29" t="s">
        <v>74</v>
      </c>
      <c r="H29" t="s">
        <v>74</v>
      </c>
      <c r="I29" t="s">
        <v>702</v>
      </c>
      <c r="J29" t="s">
        <v>253</v>
      </c>
      <c r="K29" t="s">
        <v>74</v>
      </c>
      <c r="L29" t="s">
        <v>74</v>
      </c>
      <c r="M29" t="s">
        <v>78</v>
      </c>
      <c r="N29" t="s">
        <v>79</v>
      </c>
      <c r="O29" t="s">
        <v>74</v>
      </c>
      <c r="P29" t="s">
        <v>74</v>
      </c>
      <c r="Q29" t="s">
        <v>74</v>
      </c>
      <c r="R29" t="s">
        <v>74</v>
      </c>
      <c r="S29" t="s">
        <v>74</v>
      </c>
      <c r="T29" t="s">
        <v>703</v>
      </c>
      <c r="U29" t="s">
        <v>704</v>
      </c>
      <c r="V29" t="s">
        <v>705</v>
      </c>
      <c r="W29" t="s">
        <v>706</v>
      </c>
      <c r="X29" t="s">
        <v>707</v>
      </c>
      <c r="Y29" t="s">
        <v>708</v>
      </c>
      <c r="Z29" t="s">
        <v>709</v>
      </c>
      <c r="AA29" t="s">
        <v>710</v>
      </c>
      <c r="AB29" t="s">
        <v>711</v>
      </c>
      <c r="AC29" t="s">
        <v>712</v>
      </c>
      <c r="AD29" t="s">
        <v>713</v>
      </c>
      <c r="AE29" t="s">
        <v>74</v>
      </c>
      <c r="AF29" t="s">
        <v>74</v>
      </c>
      <c r="AG29">
        <v>22</v>
      </c>
      <c r="AH29">
        <v>25</v>
      </c>
      <c r="AI29">
        <v>25</v>
      </c>
      <c r="AJ29">
        <v>0</v>
      </c>
      <c r="AK29">
        <v>5</v>
      </c>
      <c r="AL29" t="s">
        <v>266</v>
      </c>
      <c r="AM29" t="s">
        <v>267</v>
      </c>
      <c r="AN29" t="s">
        <v>268</v>
      </c>
      <c r="AO29" t="s">
        <v>269</v>
      </c>
      <c r="AP29" t="s">
        <v>270</v>
      </c>
      <c r="AQ29" t="s">
        <v>74</v>
      </c>
      <c r="AR29" t="s">
        <v>271</v>
      </c>
      <c r="AS29" t="s">
        <v>272</v>
      </c>
      <c r="AT29" t="s">
        <v>696</v>
      </c>
      <c r="AU29">
        <v>2015</v>
      </c>
      <c r="AV29">
        <v>42</v>
      </c>
      <c r="AW29">
        <v>9</v>
      </c>
      <c r="AX29" t="s">
        <v>74</v>
      </c>
      <c r="AY29" t="s">
        <v>74</v>
      </c>
      <c r="AZ29" t="s">
        <v>74</v>
      </c>
      <c r="BA29" t="s">
        <v>74</v>
      </c>
      <c r="BB29">
        <v>3141</v>
      </c>
      <c r="BC29">
        <v>3149</v>
      </c>
      <c r="BD29" t="s">
        <v>74</v>
      </c>
      <c r="BE29" t="s">
        <v>714</v>
      </c>
      <c r="BF29" t="str">
        <f>HYPERLINK("http://dx.doi.org/10.1002/2015GL063755","http://dx.doi.org/10.1002/2015GL063755")</f>
        <v>http://dx.doi.org/10.1002/2015GL063755</v>
      </c>
      <c r="BG29" t="s">
        <v>74</v>
      </c>
      <c r="BH29" t="s">
        <v>74</v>
      </c>
      <c r="BI29">
        <v>9</v>
      </c>
      <c r="BJ29" t="s">
        <v>219</v>
      </c>
      <c r="BK29" t="s">
        <v>100</v>
      </c>
      <c r="BL29" t="s">
        <v>220</v>
      </c>
      <c r="BM29" t="s">
        <v>698</v>
      </c>
      <c r="BN29" t="s">
        <v>74</v>
      </c>
      <c r="BO29" t="s">
        <v>715</v>
      </c>
      <c r="BP29" t="s">
        <v>74</v>
      </c>
      <c r="BQ29" t="s">
        <v>74</v>
      </c>
      <c r="BR29" t="s">
        <v>104</v>
      </c>
      <c r="BS29" t="s">
        <v>716</v>
      </c>
      <c r="BT29" t="str">
        <f>HYPERLINK("https%3A%2F%2Fwww.webofscience.com%2Fwos%2Fwoscc%2Ffull-record%2FWOS:000355878300010","View Full Record in Web of Science")</f>
        <v>View Full Record in Web of Science</v>
      </c>
    </row>
    <row r="30" spans="1:72" x14ac:dyDescent="0.15">
      <c r="A30" t="s">
        <v>72</v>
      </c>
      <c r="B30" t="s">
        <v>717</v>
      </c>
      <c r="C30" t="s">
        <v>74</v>
      </c>
      <c r="D30" t="s">
        <v>74</v>
      </c>
      <c r="E30" t="s">
        <v>74</v>
      </c>
      <c r="F30" t="s">
        <v>718</v>
      </c>
      <c r="G30" t="s">
        <v>74</v>
      </c>
      <c r="H30" t="s">
        <v>74</v>
      </c>
      <c r="I30" t="s">
        <v>719</v>
      </c>
      <c r="J30" t="s">
        <v>253</v>
      </c>
      <c r="K30" t="s">
        <v>74</v>
      </c>
      <c r="L30" t="s">
        <v>74</v>
      </c>
      <c r="M30" t="s">
        <v>78</v>
      </c>
      <c r="N30" t="s">
        <v>79</v>
      </c>
      <c r="O30" t="s">
        <v>74</v>
      </c>
      <c r="P30" t="s">
        <v>74</v>
      </c>
      <c r="Q30" t="s">
        <v>74</v>
      </c>
      <c r="R30" t="s">
        <v>74</v>
      </c>
      <c r="S30" t="s">
        <v>74</v>
      </c>
      <c r="T30" t="s">
        <v>720</v>
      </c>
      <c r="U30" t="s">
        <v>721</v>
      </c>
      <c r="V30" t="s">
        <v>722</v>
      </c>
      <c r="W30" t="s">
        <v>723</v>
      </c>
      <c r="X30" t="s">
        <v>724</v>
      </c>
      <c r="Y30" t="s">
        <v>725</v>
      </c>
      <c r="Z30" t="s">
        <v>726</v>
      </c>
      <c r="AA30" t="s">
        <v>727</v>
      </c>
      <c r="AB30" t="s">
        <v>728</v>
      </c>
      <c r="AC30" t="s">
        <v>729</v>
      </c>
      <c r="AD30" t="s">
        <v>730</v>
      </c>
      <c r="AE30" t="s">
        <v>731</v>
      </c>
      <c r="AF30" t="s">
        <v>74</v>
      </c>
      <c r="AG30">
        <v>44</v>
      </c>
      <c r="AH30">
        <v>12</v>
      </c>
      <c r="AI30">
        <v>12</v>
      </c>
      <c r="AJ30">
        <v>1</v>
      </c>
      <c r="AK30">
        <v>14</v>
      </c>
      <c r="AL30" t="s">
        <v>266</v>
      </c>
      <c r="AM30" t="s">
        <v>267</v>
      </c>
      <c r="AN30" t="s">
        <v>268</v>
      </c>
      <c r="AO30" t="s">
        <v>269</v>
      </c>
      <c r="AP30" t="s">
        <v>270</v>
      </c>
      <c r="AQ30" t="s">
        <v>74</v>
      </c>
      <c r="AR30" t="s">
        <v>271</v>
      </c>
      <c r="AS30" t="s">
        <v>272</v>
      </c>
      <c r="AT30" t="s">
        <v>696</v>
      </c>
      <c r="AU30">
        <v>2015</v>
      </c>
      <c r="AV30">
        <v>42</v>
      </c>
      <c r="AW30">
        <v>9</v>
      </c>
      <c r="AX30" t="s">
        <v>74</v>
      </c>
      <c r="AY30" t="s">
        <v>74</v>
      </c>
      <c r="AZ30" t="s">
        <v>74</v>
      </c>
      <c r="BA30" t="s">
        <v>74</v>
      </c>
      <c r="BB30">
        <v>3431</v>
      </c>
      <c r="BC30">
        <v>3441</v>
      </c>
      <c r="BD30" t="s">
        <v>74</v>
      </c>
      <c r="BE30" t="s">
        <v>732</v>
      </c>
      <c r="BF30" t="str">
        <f>HYPERLINK("http://dx.doi.org/10.1002/2015GL063494","http://dx.doi.org/10.1002/2015GL063494")</f>
        <v>http://dx.doi.org/10.1002/2015GL063494</v>
      </c>
      <c r="BG30" t="s">
        <v>74</v>
      </c>
      <c r="BH30" t="s">
        <v>74</v>
      </c>
      <c r="BI30">
        <v>11</v>
      </c>
      <c r="BJ30" t="s">
        <v>219</v>
      </c>
      <c r="BK30" t="s">
        <v>100</v>
      </c>
      <c r="BL30" t="s">
        <v>220</v>
      </c>
      <c r="BM30" t="s">
        <v>698</v>
      </c>
      <c r="BN30" t="s">
        <v>74</v>
      </c>
      <c r="BO30" t="s">
        <v>733</v>
      </c>
      <c r="BP30" t="s">
        <v>74</v>
      </c>
      <c r="BQ30" t="s">
        <v>74</v>
      </c>
      <c r="BR30" t="s">
        <v>104</v>
      </c>
      <c r="BS30" t="s">
        <v>734</v>
      </c>
      <c r="BT30" t="str">
        <f>HYPERLINK("https%3A%2F%2Fwww.webofscience.com%2Fwos%2Fwoscc%2Ffull-record%2FWOS:000355878300046","View Full Record in Web of Science")</f>
        <v>View Full Record in Web of Science</v>
      </c>
    </row>
    <row r="31" spans="1:72" x14ac:dyDescent="0.15">
      <c r="A31" t="s">
        <v>72</v>
      </c>
      <c r="B31" t="s">
        <v>735</v>
      </c>
      <c r="C31" t="s">
        <v>74</v>
      </c>
      <c r="D31" t="s">
        <v>74</v>
      </c>
      <c r="E31" t="s">
        <v>74</v>
      </c>
      <c r="F31" t="s">
        <v>736</v>
      </c>
      <c r="G31" t="s">
        <v>74</v>
      </c>
      <c r="H31" t="s">
        <v>74</v>
      </c>
      <c r="I31" t="s">
        <v>737</v>
      </c>
      <c r="J31" t="s">
        <v>253</v>
      </c>
      <c r="K31" t="s">
        <v>74</v>
      </c>
      <c r="L31" t="s">
        <v>74</v>
      </c>
      <c r="M31" t="s">
        <v>78</v>
      </c>
      <c r="N31" t="s">
        <v>79</v>
      </c>
      <c r="O31" t="s">
        <v>74</v>
      </c>
      <c r="P31" t="s">
        <v>74</v>
      </c>
      <c r="Q31" t="s">
        <v>74</v>
      </c>
      <c r="R31" t="s">
        <v>74</v>
      </c>
      <c r="S31" t="s">
        <v>74</v>
      </c>
      <c r="T31" t="s">
        <v>738</v>
      </c>
      <c r="U31" t="s">
        <v>739</v>
      </c>
      <c r="V31" t="s">
        <v>740</v>
      </c>
      <c r="W31" t="s">
        <v>741</v>
      </c>
      <c r="X31" t="s">
        <v>742</v>
      </c>
      <c r="Y31" t="s">
        <v>743</v>
      </c>
      <c r="Z31" t="s">
        <v>744</v>
      </c>
      <c r="AA31" t="s">
        <v>745</v>
      </c>
      <c r="AB31" t="s">
        <v>746</v>
      </c>
      <c r="AC31" t="s">
        <v>747</v>
      </c>
      <c r="AD31" t="s">
        <v>748</v>
      </c>
      <c r="AE31" t="s">
        <v>749</v>
      </c>
      <c r="AF31" t="s">
        <v>74</v>
      </c>
      <c r="AG31">
        <v>31</v>
      </c>
      <c r="AH31">
        <v>23</v>
      </c>
      <c r="AI31">
        <v>28</v>
      </c>
      <c r="AJ31">
        <v>2</v>
      </c>
      <c r="AK31">
        <v>28</v>
      </c>
      <c r="AL31" t="s">
        <v>266</v>
      </c>
      <c r="AM31" t="s">
        <v>267</v>
      </c>
      <c r="AN31" t="s">
        <v>268</v>
      </c>
      <c r="AO31" t="s">
        <v>269</v>
      </c>
      <c r="AP31" t="s">
        <v>270</v>
      </c>
      <c r="AQ31" t="s">
        <v>74</v>
      </c>
      <c r="AR31" t="s">
        <v>271</v>
      </c>
      <c r="AS31" t="s">
        <v>272</v>
      </c>
      <c r="AT31" t="s">
        <v>696</v>
      </c>
      <c r="AU31">
        <v>2015</v>
      </c>
      <c r="AV31">
        <v>42</v>
      </c>
      <c r="AW31">
        <v>9</v>
      </c>
      <c r="AX31" t="s">
        <v>74</v>
      </c>
      <c r="AY31" t="s">
        <v>74</v>
      </c>
      <c r="AZ31" t="s">
        <v>74</v>
      </c>
      <c r="BA31" t="s">
        <v>74</v>
      </c>
      <c r="BB31">
        <v>3450</v>
      </c>
      <c r="BC31">
        <v>3457</v>
      </c>
      <c r="BD31" t="s">
        <v>74</v>
      </c>
      <c r="BE31" t="s">
        <v>750</v>
      </c>
      <c r="BF31" t="str">
        <f>HYPERLINK("http://dx.doi.org/10.1002/2015GL063216","http://dx.doi.org/10.1002/2015GL063216")</f>
        <v>http://dx.doi.org/10.1002/2015GL063216</v>
      </c>
      <c r="BG31" t="s">
        <v>74</v>
      </c>
      <c r="BH31" t="s">
        <v>74</v>
      </c>
      <c r="BI31">
        <v>8</v>
      </c>
      <c r="BJ31" t="s">
        <v>219</v>
      </c>
      <c r="BK31" t="s">
        <v>100</v>
      </c>
      <c r="BL31" t="s">
        <v>220</v>
      </c>
      <c r="BM31" t="s">
        <v>698</v>
      </c>
      <c r="BN31" t="s">
        <v>74</v>
      </c>
      <c r="BO31" t="s">
        <v>751</v>
      </c>
      <c r="BP31" t="s">
        <v>74</v>
      </c>
      <c r="BQ31" t="s">
        <v>74</v>
      </c>
      <c r="BR31" t="s">
        <v>104</v>
      </c>
      <c r="BS31" t="s">
        <v>752</v>
      </c>
      <c r="BT31" t="str">
        <f>HYPERLINK("https%3A%2F%2Fwww.webofscience.com%2Fwos%2Fwoscc%2Ffull-record%2FWOS:000355878300048","View Full Record in Web of Science")</f>
        <v>View Full Record in Web of Science</v>
      </c>
    </row>
    <row r="32" spans="1:72" x14ac:dyDescent="0.15">
      <c r="A32" t="s">
        <v>72</v>
      </c>
      <c r="B32" t="s">
        <v>753</v>
      </c>
      <c r="C32" t="s">
        <v>74</v>
      </c>
      <c r="D32" t="s">
        <v>74</v>
      </c>
      <c r="E32" t="s">
        <v>74</v>
      </c>
      <c r="F32" t="s">
        <v>754</v>
      </c>
      <c r="G32" t="s">
        <v>74</v>
      </c>
      <c r="H32" t="s">
        <v>74</v>
      </c>
      <c r="I32" t="s">
        <v>755</v>
      </c>
      <c r="J32" t="s">
        <v>390</v>
      </c>
      <c r="K32" t="s">
        <v>74</v>
      </c>
      <c r="L32" t="s">
        <v>74</v>
      </c>
      <c r="M32" t="s">
        <v>78</v>
      </c>
      <c r="N32" t="s">
        <v>79</v>
      </c>
      <c r="O32" t="s">
        <v>74</v>
      </c>
      <c r="P32" t="s">
        <v>74</v>
      </c>
      <c r="Q32" t="s">
        <v>74</v>
      </c>
      <c r="R32" t="s">
        <v>74</v>
      </c>
      <c r="S32" t="s">
        <v>74</v>
      </c>
      <c r="T32" t="s">
        <v>756</v>
      </c>
      <c r="U32" t="s">
        <v>757</v>
      </c>
      <c r="V32" t="s">
        <v>758</v>
      </c>
      <c r="W32" t="s">
        <v>759</v>
      </c>
      <c r="X32" t="s">
        <v>760</v>
      </c>
      <c r="Y32" t="s">
        <v>761</v>
      </c>
      <c r="Z32" t="s">
        <v>762</v>
      </c>
      <c r="AA32" t="s">
        <v>763</v>
      </c>
      <c r="AB32" t="s">
        <v>764</v>
      </c>
      <c r="AC32" t="s">
        <v>765</v>
      </c>
      <c r="AD32" t="s">
        <v>766</v>
      </c>
      <c r="AE32" t="s">
        <v>767</v>
      </c>
      <c r="AF32" t="s">
        <v>74</v>
      </c>
      <c r="AG32">
        <v>96</v>
      </c>
      <c r="AH32">
        <v>37</v>
      </c>
      <c r="AI32">
        <v>38</v>
      </c>
      <c r="AJ32">
        <v>2</v>
      </c>
      <c r="AK32">
        <v>30</v>
      </c>
      <c r="AL32" t="s">
        <v>266</v>
      </c>
      <c r="AM32" t="s">
        <v>267</v>
      </c>
      <c r="AN32" t="s">
        <v>268</v>
      </c>
      <c r="AO32" t="s">
        <v>400</v>
      </c>
      <c r="AP32" t="s">
        <v>401</v>
      </c>
      <c r="AQ32" t="s">
        <v>74</v>
      </c>
      <c r="AR32" t="s">
        <v>402</v>
      </c>
      <c r="AS32" t="s">
        <v>403</v>
      </c>
      <c r="AT32" t="s">
        <v>696</v>
      </c>
      <c r="AU32">
        <v>2015</v>
      </c>
      <c r="AV32">
        <v>120</v>
      </c>
      <c r="AW32">
        <v>9</v>
      </c>
      <c r="AX32" t="s">
        <v>74</v>
      </c>
      <c r="AY32" t="s">
        <v>74</v>
      </c>
      <c r="AZ32" t="s">
        <v>74</v>
      </c>
      <c r="BA32" t="s">
        <v>74</v>
      </c>
      <c r="BB32">
        <v>3822</v>
      </c>
      <c r="BC32">
        <v>3851</v>
      </c>
      <c r="BD32" t="s">
        <v>74</v>
      </c>
      <c r="BE32" t="s">
        <v>768</v>
      </c>
      <c r="BF32" t="str">
        <f>HYPERLINK("http://dx.doi.org/10.1002/2014JD022428","http://dx.doi.org/10.1002/2014JD022428")</f>
        <v>http://dx.doi.org/10.1002/2014JD022428</v>
      </c>
      <c r="BG32" t="s">
        <v>74</v>
      </c>
      <c r="BH32" t="s">
        <v>74</v>
      </c>
      <c r="BI32">
        <v>30</v>
      </c>
      <c r="BJ32" t="s">
        <v>406</v>
      </c>
      <c r="BK32" t="s">
        <v>100</v>
      </c>
      <c r="BL32" t="s">
        <v>406</v>
      </c>
      <c r="BM32" t="s">
        <v>769</v>
      </c>
      <c r="BN32" t="s">
        <v>74</v>
      </c>
      <c r="BO32" t="s">
        <v>156</v>
      </c>
      <c r="BP32" t="s">
        <v>74</v>
      </c>
      <c r="BQ32" t="s">
        <v>74</v>
      </c>
      <c r="BR32" t="s">
        <v>104</v>
      </c>
      <c r="BS32" t="s">
        <v>770</v>
      </c>
      <c r="BT32" t="str">
        <f>HYPERLINK("https%3A%2F%2Fwww.webofscience.com%2Fwos%2Fwoscc%2Ffull-record%2FWOS:000355744800015","View Full Record in Web of Science")</f>
        <v>View Full Record in Web of Science</v>
      </c>
    </row>
    <row r="33" spans="1:72" x14ac:dyDescent="0.15">
      <c r="A33" t="s">
        <v>72</v>
      </c>
      <c r="B33" t="s">
        <v>771</v>
      </c>
      <c r="C33" t="s">
        <v>74</v>
      </c>
      <c r="D33" t="s">
        <v>74</v>
      </c>
      <c r="E33" t="s">
        <v>74</v>
      </c>
      <c r="F33" t="s">
        <v>772</v>
      </c>
      <c r="G33" t="s">
        <v>74</v>
      </c>
      <c r="H33" t="s">
        <v>74</v>
      </c>
      <c r="I33" t="s">
        <v>773</v>
      </c>
      <c r="J33" t="s">
        <v>774</v>
      </c>
      <c r="K33" t="s">
        <v>74</v>
      </c>
      <c r="L33" t="s">
        <v>74</v>
      </c>
      <c r="M33" t="s">
        <v>78</v>
      </c>
      <c r="N33" t="s">
        <v>79</v>
      </c>
      <c r="O33" t="s">
        <v>74</v>
      </c>
      <c r="P33" t="s">
        <v>74</v>
      </c>
      <c r="Q33" t="s">
        <v>74</v>
      </c>
      <c r="R33" t="s">
        <v>74</v>
      </c>
      <c r="S33" t="s">
        <v>74</v>
      </c>
      <c r="T33" t="s">
        <v>775</v>
      </c>
      <c r="U33" t="s">
        <v>776</v>
      </c>
      <c r="V33" t="s">
        <v>777</v>
      </c>
      <c r="W33" t="s">
        <v>778</v>
      </c>
      <c r="X33" t="s">
        <v>779</v>
      </c>
      <c r="Y33" t="s">
        <v>780</v>
      </c>
      <c r="Z33" t="s">
        <v>781</v>
      </c>
      <c r="AA33" t="s">
        <v>74</v>
      </c>
      <c r="AB33" t="s">
        <v>782</v>
      </c>
      <c r="AC33" t="s">
        <v>783</v>
      </c>
      <c r="AD33" t="s">
        <v>784</v>
      </c>
      <c r="AE33" t="s">
        <v>785</v>
      </c>
      <c r="AF33" t="s">
        <v>74</v>
      </c>
      <c r="AG33">
        <v>60</v>
      </c>
      <c r="AH33">
        <v>20</v>
      </c>
      <c r="AI33">
        <v>21</v>
      </c>
      <c r="AJ33">
        <v>0</v>
      </c>
      <c r="AK33">
        <v>17</v>
      </c>
      <c r="AL33" t="s">
        <v>786</v>
      </c>
      <c r="AM33" t="s">
        <v>787</v>
      </c>
      <c r="AN33" t="s">
        <v>788</v>
      </c>
      <c r="AO33" t="s">
        <v>789</v>
      </c>
      <c r="AP33" t="s">
        <v>790</v>
      </c>
      <c r="AQ33" t="s">
        <v>74</v>
      </c>
      <c r="AR33" t="s">
        <v>791</v>
      </c>
      <c r="AS33" t="s">
        <v>792</v>
      </c>
      <c r="AT33" t="s">
        <v>793</v>
      </c>
      <c r="AU33">
        <v>2015</v>
      </c>
      <c r="AV33">
        <v>116</v>
      </c>
      <c r="AW33" t="s">
        <v>74</v>
      </c>
      <c r="AX33" t="s">
        <v>74</v>
      </c>
      <c r="AY33" t="s">
        <v>74</v>
      </c>
      <c r="AZ33" t="s">
        <v>74</v>
      </c>
      <c r="BA33" t="s">
        <v>74</v>
      </c>
      <c r="BB33">
        <v>122</v>
      </c>
      <c r="BC33">
        <v>132</v>
      </c>
      <c r="BD33" t="s">
        <v>74</v>
      </c>
      <c r="BE33" t="s">
        <v>794</v>
      </c>
      <c r="BF33" t="str">
        <f>HYPERLINK("http://dx.doi.org/10.1016/j.quascirev.2015.03.008","http://dx.doi.org/10.1016/j.quascirev.2015.03.008")</f>
        <v>http://dx.doi.org/10.1016/j.quascirev.2015.03.008</v>
      </c>
      <c r="BG33" t="s">
        <v>74</v>
      </c>
      <c r="BH33" t="s">
        <v>74</v>
      </c>
      <c r="BI33">
        <v>11</v>
      </c>
      <c r="BJ33" t="s">
        <v>795</v>
      </c>
      <c r="BK33" t="s">
        <v>100</v>
      </c>
      <c r="BL33" t="s">
        <v>796</v>
      </c>
      <c r="BM33" t="s">
        <v>797</v>
      </c>
      <c r="BN33" t="s">
        <v>74</v>
      </c>
      <c r="BO33" t="s">
        <v>74</v>
      </c>
      <c r="BP33" t="s">
        <v>74</v>
      </c>
      <c r="BQ33" t="s">
        <v>74</v>
      </c>
      <c r="BR33" t="s">
        <v>104</v>
      </c>
      <c r="BS33" t="s">
        <v>798</v>
      </c>
      <c r="BT33" t="str">
        <f>HYPERLINK("https%3A%2F%2Fwww.webofscience.com%2Fwos%2Fwoscc%2Ffull-record%2FWOS:000355350900009","View Full Record in Web of Science")</f>
        <v>View Full Record in Web of Science</v>
      </c>
    </row>
    <row r="34" spans="1:72" x14ac:dyDescent="0.15">
      <c r="A34" t="s">
        <v>72</v>
      </c>
      <c r="B34" t="s">
        <v>799</v>
      </c>
      <c r="C34" t="s">
        <v>74</v>
      </c>
      <c r="D34" t="s">
        <v>74</v>
      </c>
      <c r="E34" t="s">
        <v>74</v>
      </c>
      <c r="F34" t="s">
        <v>800</v>
      </c>
      <c r="G34" t="s">
        <v>74</v>
      </c>
      <c r="H34" t="s">
        <v>74</v>
      </c>
      <c r="I34" t="s">
        <v>801</v>
      </c>
      <c r="J34" t="s">
        <v>802</v>
      </c>
      <c r="K34" t="s">
        <v>74</v>
      </c>
      <c r="L34" t="s">
        <v>74</v>
      </c>
      <c r="M34" t="s">
        <v>78</v>
      </c>
      <c r="N34" t="s">
        <v>79</v>
      </c>
      <c r="O34" t="s">
        <v>74</v>
      </c>
      <c r="P34" t="s">
        <v>74</v>
      </c>
      <c r="Q34" t="s">
        <v>74</v>
      </c>
      <c r="R34" t="s">
        <v>74</v>
      </c>
      <c r="S34" t="s">
        <v>74</v>
      </c>
      <c r="T34" t="s">
        <v>803</v>
      </c>
      <c r="U34" t="s">
        <v>804</v>
      </c>
      <c r="V34" t="s">
        <v>805</v>
      </c>
      <c r="W34" t="s">
        <v>806</v>
      </c>
      <c r="X34" t="s">
        <v>807</v>
      </c>
      <c r="Y34" t="s">
        <v>808</v>
      </c>
      <c r="Z34" t="s">
        <v>809</v>
      </c>
      <c r="AA34" t="s">
        <v>810</v>
      </c>
      <c r="AB34" t="s">
        <v>811</v>
      </c>
      <c r="AC34" t="s">
        <v>812</v>
      </c>
      <c r="AD34" t="s">
        <v>813</v>
      </c>
      <c r="AE34" t="s">
        <v>814</v>
      </c>
      <c r="AF34" t="s">
        <v>74</v>
      </c>
      <c r="AG34">
        <v>78</v>
      </c>
      <c r="AH34">
        <v>10</v>
      </c>
      <c r="AI34">
        <v>11</v>
      </c>
      <c r="AJ34">
        <v>1</v>
      </c>
      <c r="AK34">
        <v>11</v>
      </c>
      <c r="AL34" t="s">
        <v>815</v>
      </c>
      <c r="AM34" t="s">
        <v>816</v>
      </c>
      <c r="AN34" t="s">
        <v>817</v>
      </c>
      <c r="AO34" t="s">
        <v>818</v>
      </c>
      <c r="AP34" t="s">
        <v>819</v>
      </c>
      <c r="AQ34" t="s">
        <v>74</v>
      </c>
      <c r="AR34" t="s">
        <v>820</v>
      </c>
      <c r="AS34" t="s">
        <v>821</v>
      </c>
      <c r="AT34" t="s">
        <v>793</v>
      </c>
      <c r="AU34">
        <v>2015</v>
      </c>
      <c r="AV34">
        <v>297</v>
      </c>
      <c r="AW34" t="s">
        <v>74</v>
      </c>
      <c r="AX34" t="s">
        <v>74</v>
      </c>
      <c r="AY34" t="s">
        <v>74</v>
      </c>
      <c r="AZ34" t="s">
        <v>74</v>
      </c>
      <c r="BA34" t="s">
        <v>74</v>
      </c>
      <c r="BB34">
        <v>89</v>
      </c>
      <c r="BC34">
        <v>108</v>
      </c>
      <c r="BD34" t="s">
        <v>74</v>
      </c>
      <c r="BE34" t="s">
        <v>822</v>
      </c>
      <c r="BF34" t="str">
        <f>HYPERLINK("http://dx.doi.org/10.1016/j.jvolgeores.2015.03.011","http://dx.doi.org/10.1016/j.jvolgeores.2015.03.011")</f>
        <v>http://dx.doi.org/10.1016/j.jvolgeores.2015.03.011</v>
      </c>
      <c r="BG34" t="s">
        <v>74</v>
      </c>
      <c r="BH34" t="s">
        <v>74</v>
      </c>
      <c r="BI34">
        <v>20</v>
      </c>
      <c r="BJ34" t="s">
        <v>219</v>
      </c>
      <c r="BK34" t="s">
        <v>100</v>
      </c>
      <c r="BL34" t="s">
        <v>220</v>
      </c>
      <c r="BM34" t="s">
        <v>823</v>
      </c>
      <c r="BN34" t="s">
        <v>74</v>
      </c>
      <c r="BO34" t="s">
        <v>559</v>
      </c>
      <c r="BP34" t="s">
        <v>74</v>
      </c>
      <c r="BQ34" t="s">
        <v>74</v>
      </c>
      <c r="BR34" t="s">
        <v>104</v>
      </c>
      <c r="BS34" t="s">
        <v>824</v>
      </c>
      <c r="BT34" t="str">
        <f>HYPERLINK("https%3A%2F%2Fwww.webofscience.com%2Fwos%2Fwoscc%2Ffull-record%2FWOS:000355050700007","View Full Record in Web of Science")</f>
        <v>View Full Record in Web of Science</v>
      </c>
    </row>
    <row r="35" spans="1:72" x14ac:dyDescent="0.15">
      <c r="A35" t="s">
        <v>72</v>
      </c>
      <c r="B35" t="s">
        <v>825</v>
      </c>
      <c r="C35" t="s">
        <v>74</v>
      </c>
      <c r="D35" t="s">
        <v>74</v>
      </c>
      <c r="E35" t="s">
        <v>74</v>
      </c>
      <c r="F35" t="s">
        <v>826</v>
      </c>
      <c r="G35" t="s">
        <v>74</v>
      </c>
      <c r="H35" t="s">
        <v>74</v>
      </c>
      <c r="I35" t="s">
        <v>827</v>
      </c>
      <c r="J35" t="s">
        <v>365</v>
      </c>
      <c r="K35" t="s">
        <v>74</v>
      </c>
      <c r="L35" t="s">
        <v>74</v>
      </c>
      <c r="M35" t="s">
        <v>78</v>
      </c>
      <c r="N35" t="s">
        <v>79</v>
      </c>
      <c r="O35" t="s">
        <v>74</v>
      </c>
      <c r="P35" t="s">
        <v>74</v>
      </c>
      <c r="Q35" t="s">
        <v>74</v>
      </c>
      <c r="R35" t="s">
        <v>74</v>
      </c>
      <c r="S35" t="s">
        <v>74</v>
      </c>
      <c r="T35" t="s">
        <v>828</v>
      </c>
      <c r="U35" t="s">
        <v>829</v>
      </c>
      <c r="V35" t="s">
        <v>830</v>
      </c>
      <c r="W35" t="s">
        <v>831</v>
      </c>
      <c r="X35" t="s">
        <v>832</v>
      </c>
      <c r="Y35" t="s">
        <v>833</v>
      </c>
      <c r="Z35" t="s">
        <v>834</v>
      </c>
      <c r="AA35" t="s">
        <v>835</v>
      </c>
      <c r="AB35" t="s">
        <v>836</v>
      </c>
      <c r="AC35" t="s">
        <v>837</v>
      </c>
      <c r="AD35" t="s">
        <v>838</v>
      </c>
      <c r="AE35" t="s">
        <v>839</v>
      </c>
      <c r="AF35" t="s">
        <v>74</v>
      </c>
      <c r="AG35">
        <v>77</v>
      </c>
      <c r="AH35">
        <v>22</v>
      </c>
      <c r="AI35">
        <v>24</v>
      </c>
      <c r="AJ35">
        <v>2</v>
      </c>
      <c r="AK35">
        <v>43</v>
      </c>
      <c r="AL35" t="s">
        <v>840</v>
      </c>
      <c r="AM35" t="s">
        <v>378</v>
      </c>
      <c r="AN35" t="s">
        <v>841</v>
      </c>
      <c r="AO35" t="s">
        <v>380</v>
      </c>
      <c r="AP35" t="s">
        <v>74</v>
      </c>
      <c r="AQ35" t="s">
        <v>74</v>
      </c>
      <c r="AR35" t="s">
        <v>365</v>
      </c>
      <c r="AS35" t="s">
        <v>381</v>
      </c>
      <c r="AT35" t="s">
        <v>793</v>
      </c>
      <c r="AU35">
        <v>2015</v>
      </c>
      <c r="AV35">
        <v>16</v>
      </c>
      <c r="AW35" t="s">
        <v>74</v>
      </c>
      <c r="AX35" t="s">
        <v>74</v>
      </c>
      <c r="AY35" t="s">
        <v>74</v>
      </c>
      <c r="AZ35" t="s">
        <v>74</v>
      </c>
      <c r="BA35" t="s">
        <v>74</v>
      </c>
      <c r="BB35" t="s">
        <v>74</v>
      </c>
      <c r="BC35" t="s">
        <v>74</v>
      </c>
      <c r="BD35">
        <v>383</v>
      </c>
      <c r="BE35" t="s">
        <v>842</v>
      </c>
      <c r="BF35" t="str">
        <f>HYPERLINK("http://dx.doi.org/10.1186/s12864-015-1611-4","http://dx.doi.org/10.1186/s12864-015-1611-4")</f>
        <v>http://dx.doi.org/10.1186/s12864-015-1611-4</v>
      </c>
      <c r="BG35" t="s">
        <v>74</v>
      </c>
      <c r="BH35" t="s">
        <v>74</v>
      </c>
      <c r="BI35">
        <v>14</v>
      </c>
      <c r="BJ35" t="s">
        <v>383</v>
      </c>
      <c r="BK35" t="s">
        <v>100</v>
      </c>
      <c r="BL35" t="s">
        <v>383</v>
      </c>
      <c r="BM35" t="s">
        <v>843</v>
      </c>
      <c r="BN35">
        <v>25975821</v>
      </c>
      <c r="BO35" t="s">
        <v>485</v>
      </c>
      <c r="BP35" t="s">
        <v>74</v>
      </c>
      <c r="BQ35" t="s">
        <v>74</v>
      </c>
      <c r="BR35" t="s">
        <v>104</v>
      </c>
      <c r="BS35" t="s">
        <v>844</v>
      </c>
      <c r="BT35" t="str">
        <f>HYPERLINK("https%3A%2F%2Fwww.webofscience.com%2Fwos%2Fwoscc%2Ffull-record%2FWOS:000354426600003","View Full Record in Web of Science")</f>
        <v>View Full Record in Web of Science</v>
      </c>
    </row>
    <row r="36" spans="1:72" x14ac:dyDescent="0.15">
      <c r="A36" t="s">
        <v>72</v>
      </c>
      <c r="B36" t="s">
        <v>845</v>
      </c>
      <c r="C36" t="s">
        <v>74</v>
      </c>
      <c r="D36" t="s">
        <v>74</v>
      </c>
      <c r="E36" t="s">
        <v>74</v>
      </c>
      <c r="F36" t="s">
        <v>846</v>
      </c>
      <c r="G36" t="s">
        <v>74</v>
      </c>
      <c r="H36" t="s">
        <v>74</v>
      </c>
      <c r="I36" t="s">
        <v>847</v>
      </c>
      <c r="J36" t="s">
        <v>848</v>
      </c>
      <c r="K36" t="s">
        <v>74</v>
      </c>
      <c r="L36" t="s">
        <v>74</v>
      </c>
      <c r="M36" t="s">
        <v>78</v>
      </c>
      <c r="N36" t="s">
        <v>79</v>
      </c>
      <c r="O36" t="s">
        <v>74</v>
      </c>
      <c r="P36" t="s">
        <v>74</v>
      </c>
      <c r="Q36" t="s">
        <v>74</v>
      </c>
      <c r="R36" t="s">
        <v>74</v>
      </c>
      <c r="S36" t="s">
        <v>74</v>
      </c>
      <c r="T36" t="s">
        <v>74</v>
      </c>
      <c r="U36" t="s">
        <v>849</v>
      </c>
      <c r="V36" t="s">
        <v>74</v>
      </c>
      <c r="W36" t="s">
        <v>850</v>
      </c>
      <c r="X36" t="s">
        <v>851</v>
      </c>
      <c r="Y36" t="s">
        <v>852</v>
      </c>
      <c r="Z36" t="s">
        <v>853</v>
      </c>
      <c r="AA36" t="s">
        <v>854</v>
      </c>
      <c r="AB36" t="s">
        <v>855</v>
      </c>
      <c r="AC36" t="s">
        <v>856</v>
      </c>
      <c r="AD36" t="s">
        <v>857</v>
      </c>
      <c r="AE36" t="s">
        <v>74</v>
      </c>
      <c r="AF36" t="s">
        <v>74</v>
      </c>
      <c r="AG36">
        <v>21</v>
      </c>
      <c r="AH36">
        <v>9</v>
      </c>
      <c r="AI36">
        <v>9</v>
      </c>
      <c r="AJ36">
        <v>1</v>
      </c>
      <c r="AK36">
        <v>19</v>
      </c>
      <c r="AL36" t="s">
        <v>815</v>
      </c>
      <c r="AM36" t="s">
        <v>816</v>
      </c>
      <c r="AN36" t="s">
        <v>817</v>
      </c>
      <c r="AO36" t="s">
        <v>858</v>
      </c>
      <c r="AP36" t="s">
        <v>859</v>
      </c>
      <c r="AQ36" t="s">
        <v>74</v>
      </c>
      <c r="AR36" t="s">
        <v>860</v>
      </c>
      <c r="AS36" t="s">
        <v>861</v>
      </c>
      <c r="AT36" t="s">
        <v>793</v>
      </c>
      <c r="AU36">
        <v>2015</v>
      </c>
      <c r="AV36">
        <v>418</v>
      </c>
      <c r="AW36" t="s">
        <v>74</v>
      </c>
      <c r="AX36" t="s">
        <v>74</v>
      </c>
      <c r="AY36" t="s">
        <v>74</v>
      </c>
      <c r="AZ36" t="s">
        <v>74</v>
      </c>
      <c r="BA36" t="s">
        <v>74</v>
      </c>
      <c r="BB36">
        <v>181</v>
      </c>
      <c r="BC36">
        <v>183</v>
      </c>
      <c r="BD36" t="s">
        <v>74</v>
      </c>
      <c r="BE36" t="s">
        <v>862</v>
      </c>
      <c r="BF36" t="str">
        <f>HYPERLINK("http://dx.doi.org/10.1016/j.epsl.2014.12.026","http://dx.doi.org/10.1016/j.epsl.2014.12.026")</f>
        <v>http://dx.doi.org/10.1016/j.epsl.2014.12.026</v>
      </c>
      <c r="BG36" t="s">
        <v>74</v>
      </c>
      <c r="BH36" t="s">
        <v>74</v>
      </c>
      <c r="BI36">
        <v>3</v>
      </c>
      <c r="BJ36" t="s">
        <v>863</v>
      </c>
      <c r="BK36" t="s">
        <v>100</v>
      </c>
      <c r="BL36" t="s">
        <v>863</v>
      </c>
      <c r="BM36" t="s">
        <v>864</v>
      </c>
      <c r="BN36" t="s">
        <v>74</v>
      </c>
      <c r="BO36" t="s">
        <v>74</v>
      </c>
      <c r="BP36" t="s">
        <v>74</v>
      </c>
      <c r="BQ36" t="s">
        <v>74</v>
      </c>
      <c r="BR36" t="s">
        <v>104</v>
      </c>
      <c r="BS36" t="s">
        <v>865</v>
      </c>
      <c r="BT36" t="str">
        <f>HYPERLINK("https%3A%2F%2Fwww.webofscience.com%2Fwos%2Fwoscc%2Ffull-record%2FWOS:000352665200016","View Full Record in Web of Science")</f>
        <v>View Full Record in Web of Science</v>
      </c>
    </row>
    <row r="37" spans="1:72" x14ac:dyDescent="0.15">
      <c r="A37" t="s">
        <v>72</v>
      </c>
      <c r="B37" t="s">
        <v>866</v>
      </c>
      <c r="C37" t="s">
        <v>74</v>
      </c>
      <c r="D37" t="s">
        <v>74</v>
      </c>
      <c r="E37" t="s">
        <v>74</v>
      </c>
      <c r="F37" t="s">
        <v>867</v>
      </c>
      <c r="G37" t="s">
        <v>74</v>
      </c>
      <c r="H37" t="s">
        <v>74</v>
      </c>
      <c r="I37" t="s">
        <v>868</v>
      </c>
      <c r="J37" t="s">
        <v>869</v>
      </c>
      <c r="K37" t="s">
        <v>74</v>
      </c>
      <c r="L37" t="s">
        <v>74</v>
      </c>
      <c r="M37" t="s">
        <v>78</v>
      </c>
      <c r="N37" t="s">
        <v>79</v>
      </c>
      <c r="O37" t="s">
        <v>74</v>
      </c>
      <c r="P37" t="s">
        <v>74</v>
      </c>
      <c r="Q37" t="s">
        <v>74</v>
      </c>
      <c r="R37" t="s">
        <v>74</v>
      </c>
      <c r="S37" t="s">
        <v>74</v>
      </c>
      <c r="T37" t="s">
        <v>870</v>
      </c>
      <c r="U37" t="s">
        <v>871</v>
      </c>
      <c r="V37" t="s">
        <v>872</v>
      </c>
      <c r="W37" t="s">
        <v>873</v>
      </c>
      <c r="X37" t="s">
        <v>874</v>
      </c>
      <c r="Y37" t="s">
        <v>875</v>
      </c>
      <c r="Z37" t="s">
        <v>876</v>
      </c>
      <c r="AA37" t="s">
        <v>877</v>
      </c>
      <c r="AB37" t="s">
        <v>74</v>
      </c>
      <c r="AC37" t="s">
        <v>878</v>
      </c>
      <c r="AD37" t="s">
        <v>879</v>
      </c>
      <c r="AE37" t="s">
        <v>880</v>
      </c>
      <c r="AF37" t="s">
        <v>74</v>
      </c>
      <c r="AG37">
        <v>47</v>
      </c>
      <c r="AH37">
        <v>1</v>
      </c>
      <c r="AI37">
        <v>1</v>
      </c>
      <c r="AJ37">
        <v>0</v>
      </c>
      <c r="AK37">
        <v>1</v>
      </c>
      <c r="AL37" t="s">
        <v>881</v>
      </c>
      <c r="AM37" t="s">
        <v>882</v>
      </c>
      <c r="AN37" t="s">
        <v>883</v>
      </c>
      <c r="AO37" t="s">
        <v>884</v>
      </c>
      <c r="AP37" t="s">
        <v>74</v>
      </c>
      <c r="AQ37" t="s">
        <v>74</v>
      </c>
      <c r="AR37" t="s">
        <v>885</v>
      </c>
      <c r="AS37" t="s">
        <v>886</v>
      </c>
      <c r="AT37" t="s">
        <v>793</v>
      </c>
      <c r="AU37">
        <v>2015</v>
      </c>
      <c r="AV37">
        <v>4</v>
      </c>
      <c r="AW37">
        <v>2</v>
      </c>
      <c r="AX37" t="s">
        <v>74</v>
      </c>
      <c r="AY37" t="s">
        <v>74</v>
      </c>
      <c r="AZ37" t="s">
        <v>74</v>
      </c>
      <c r="BA37" t="s">
        <v>74</v>
      </c>
      <c r="BB37">
        <v>49</v>
      </c>
      <c r="BC37">
        <v>63</v>
      </c>
      <c r="BD37" t="s">
        <v>74</v>
      </c>
      <c r="BE37" t="s">
        <v>887</v>
      </c>
      <c r="BF37" t="str">
        <f>HYPERLINK("http://dx.doi.org/10.6057/2015TCRR02.01","http://dx.doi.org/10.6057/2015TCRR02.01")</f>
        <v>http://dx.doi.org/10.6057/2015TCRR02.01</v>
      </c>
      <c r="BG37" t="s">
        <v>74</v>
      </c>
      <c r="BH37" t="s">
        <v>74</v>
      </c>
      <c r="BI37">
        <v>15</v>
      </c>
      <c r="BJ37" t="s">
        <v>406</v>
      </c>
      <c r="BK37" t="s">
        <v>888</v>
      </c>
      <c r="BL37" t="s">
        <v>406</v>
      </c>
      <c r="BM37" t="s">
        <v>889</v>
      </c>
      <c r="BN37" t="s">
        <v>74</v>
      </c>
      <c r="BO37" t="s">
        <v>74</v>
      </c>
      <c r="BP37" t="s">
        <v>74</v>
      </c>
      <c r="BQ37" t="s">
        <v>74</v>
      </c>
      <c r="BR37" t="s">
        <v>104</v>
      </c>
      <c r="BS37" t="s">
        <v>890</v>
      </c>
      <c r="BT37" t="str">
        <f>HYPERLINK("https%3A%2F%2Fwww.webofscience.com%2Fwos%2Fwoscc%2Ffull-record%2FWOS:000394840300001","View Full Record in Web of Science")</f>
        <v>View Full Record in Web of Science</v>
      </c>
    </row>
    <row r="38" spans="1:72" x14ac:dyDescent="0.15">
      <c r="A38" t="s">
        <v>72</v>
      </c>
      <c r="B38" t="s">
        <v>891</v>
      </c>
      <c r="C38" t="s">
        <v>74</v>
      </c>
      <c r="D38" t="s">
        <v>74</v>
      </c>
      <c r="E38" t="s">
        <v>74</v>
      </c>
      <c r="F38" t="s">
        <v>892</v>
      </c>
      <c r="G38" t="s">
        <v>74</v>
      </c>
      <c r="H38" t="s">
        <v>74</v>
      </c>
      <c r="I38" t="s">
        <v>893</v>
      </c>
      <c r="J38" t="s">
        <v>894</v>
      </c>
      <c r="K38" t="s">
        <v>74</v>
      </c>
      <c r="L38" t="s">
        <v>74</v>
      </c>
      <c r="M38" t="s">
        <v>78</v>
      </c>
      <c r="N38" t="s">
        <v>79</v>
      </c>
      <c r="O38" t="s">
        <v>74</v>
      </c>
      <c r="P38" t="s">
        <v>74</v>
      </c>
      <c r="Q38" t="s">
        <v>74</v>
      </c>
      <c r="R38" t="s">
        <v>74</v>
      </c>
      <c r="S38" t="s">
        <v>74</v>
      </c>
      <c r="T38" t="s">
        <v>895</v>
      </c>
      <c r="U38" t="s">
        <v>896</v>
      </c>
      <c r="V38" t="s">
        <v>897</v>
      </c>
      <c r="W38" t="s">
        <v>898</v>
      </c>
      <c r="X38" t="s">
        <v>899</v>
      </c>
      <c r="Y38" t="s">
        <v>900</v>
      </c>
      <c r="Z38" t="s">
        <v>901</v>
      </c>
      <c r="AA38" t="s">
        <v>902</v>
      </c>
      <c r="AB38" t="s">
        <v>903</v>
      </c>
      <c r="AC38" t="s">
        <v>904</v>
      </c>
      <c r="AD38" t="s">
        <v>905</v>
      </c>
      <c r="AE38" t="s">
        <v>906</v>
      </c>
      <c r="AF38" t="s">
        <v>74</v>
      </c>
      <c r="AG38">
        <v>38</v>
      </c>
      <c r="AH38">
        <v>22</v>
      </c>
      <c r="AI38">
        <v>23</v>
      </c>
      <c r="AJ38">
        <v>0</v>
      </c>
      <c r="AK38">
        <v>14</v>
      </c>
      <c r="AL38" t="s">
        <v>91</v>
      </c>
      <c r="AM38" t="s">
        <v>92</v>
      </c>
      <c r="AN38" t="s">
        <v>93</v>
      </c>
      <c r="AO38" t="s">
        <v>907</v>
      </c>
      <c r="AP38" t="s">
        <v>908</v>
      </c>
      <c r="AQ38" t="s">
        <v>74</v>
      </c>
      <c r="AR38" t="s">
        <v>894</v>
      </c>
      <c r="AS38" t="s">
        <v>909</v>
      </c>
      <c r="AT38" t="s">
        <v>793</v>
      </c>
      <c r="AU38">
        <v>2015</v>
      </c>
      <c r="AV38">
        <v>75</v>
      </c>
      <c r="AW38">
        <v>7</v>
      </c>
      <c r="AX38" t="s">
        <v>74</v>
      </c>
      <c r="AY38" t="s">
        <v>74</v>
      </c>
      <c r="AZ38" t="s">
        <v>74</v>
      </c>
      <c r="BA38" t="s">
        <v>74</v>
      </c>
      <c r="BB38">
        <v>723</v>
      </c>
      <c r="BC38">
        <v>734</v>
      </c>
      <c r="BD38" t="s">
        <v>74</v>
      </c>
      <c r="BE38" t="s">
        <v>910</v>
      </c>
      <c r="BF38" t="str">
        <f>HYPERLINK("http://dx.doi.org/10.1002/pros.22954","http://dx.doi.org/10.1002/pros.22954")</f>
        <v>http://dx.doi.org/10.1002/pros.22954</v>
      </c>
      <c r="BG38" t="s">
        <v>74</v>
      </c>
      <c r="BH38" t="s">
        <v>74</v>
      </c>
      <c r="BI38">
        <v>12</v>
      </c>
      <c r="BJ38" t="s">
        <v>911</v>
      </c>
      <c r="BK38" t="s">
        <v>100</v>
      </c>
      <c r="BL38" t="s">
        <v>911</v>
      </c>
      <c r="BM38" t="s">
        <v>912</v>
      </c>
      <c r="BN38">
        <v>25662931</v>
      </c>
      <c r="BO38" t="s">
        <v>74</v>
      </c>
      <c r="BP38" t="s">
        <v>74</v>
      </c>
      <c r="BQ38" t="s">
        <v>74</v>
      </c>
      <c r="BR38" t="s">
        <v>104</v>
      </c>
      <c r="BS38" t="s">
        <v>913</v>
      </c>
      <c r="BT38" t="str">
        <f>HYPERLINK("https%3A%2F%2Fwww.webofscience.com%2Fwos%2Fwoscc%2Ffull-record%2FWOS:000352716300005","View Full Record in Web of Science")</f>
        <v>View Full Record in Web of Science</v>
      </c>
    </row>
    <row r="39" spans="1:72" x14ac:dyDescent="0.15">
      <c r="A39" t="s">
        <v>72</v>
      </c>
      <c r="B39" t="s">
        <v>914</v>
      </c>
      <c r="C39" t="s">
        <v>74</v>
      </c>
      <c r="D39" t="s">
        <v>74</v>
      </c>
      <c r="E39" t="s">
        <v>74</v>
      </c>
      <c r="F39" t="s">
        <v>915</v>
      </c>
      <c r="G39" t="s">
        <v>74</v>
      </c>
      <c r="H39" t="s">
        <v>74</v>
      </c>
      <c r="I39" t="s">
        <v>916</v>
      </c>
      <c r="J39" t="s">
        <v>490</v>
      </c>
      <c r="K39" t="s">
        <v>74</v>
      </c>
      <c r="L39" t="s">
        <v>74</v>
      </c>
      <c r="M39" t="s">
        <v>78</v>
      </c>
      <c r="N39" t="s">
        <v>79</v>
      </c>
      <c r="O39" t="s">
        <v>74</v>
      </c>
      <c r="P39" t="s">
        <v>74</v>
      </c>
      <c r="Q39" t="s">
        <v>74</v>
      </c>
      <c r="R39" t="s">
        <v>74</v>
      </c>
      <c r="S39" t="s">
        <v>74</v>
      </c>
      <c r="T39" t="s">
        <v>917</v>
      </c>
      <c r="U39" t="s">
        <v>918</v>
      </c>
      <c r="V39" t="s">
        <v>919</v>
      </c>
      <c r="W39" t="s">
        <v>920</v>
      </c>
      <c r="X39" t="s">
        <v>921</v>
      </c>
      <c r="Y39" t="s">
        <v>922</v>
      </c>
      <c r="Z39" t="s">
        <v>923</v>
      </c>
      <c r="AA39" t="s">
        <v>924</v>
      </c>
      <c r="AB39" t="s">
        <v>925</v>
      </c>
      <c r="AC39" t="s">
        <v>926</v>
      </c>
      <c r="AD39" t="s">
        <v>927</v>
      </c>
      <c r="AE39" t="s">
        <v>928</v>
      </c>
      <c r="AF39" t="s">
        <v>74</v>
      </c>
      <c r="AG39">
        <v>16</v>
      </c>
      <c r="AH39">
        <v>1</v>
      </c>
      <c r="AI39">
        <v>2</v>
      </c>
      <c r="AJ39">
        <v>0</v>
      </c>
      <c r="AK39">
        <v>8</v>
      </c>
      <c r="AL39" t="s">
        <v>502</v>
      </c>
      <c r="AM39" t="s">
        <v>503</v>
      </c>
      <c r="AN39" t="s">
        <v>674</v>
      </c>
      <c r="AO39" t="s">
        <v>505</v>
      </c>
      <c r="AP39" t="s">
        <v>506</v>
      </c>
      <c r="AQ39" t="s">
        <v>74</v>
      </c>
      <c r="AR39" t="s">
        <v>490</v>
      </c>
      <c r="AS39" t="s">
        <v>507</v>
      </c>
      <c r="AT39" t="s">
        <v>929</v>
      </c>
      <c r="AU39">
        <v>2015</v>
      </c>
      <c r="AV39">
        <v>3957</v>
      </c>
      <c r="AW39">
        <v>2</v>
      </c>
      <c r="AX39" t="s">
        <v>74</v>
      </c>
      <c r="AY39" t="s">
        <v>74</v>
      </c>
      <c r="AZ39" t="s">
        <v>74</v>
      </c>
      <c r="BA39" t="s">
        <v>74</v>
      </c>
      <c r="BB39">
        <v>239</v>
      </c>
      <c r="BC39">
        <v>242</v>
      </c>
      <c r="BD39" t="s">
        <v>74</v>
      </c>
      <c r="BE39" t="s">
        <v>930</v>
      </c>
      <c r="BF39" t="str">
        <f>HYPERLINK("http://dx.doi.org/10.11646/zootaxa.3957.2.9","http://dx.doi.org/10.11646/zootaxa.3957.2.9")</f>
        <v>http://dx.doi.org/10.11646/zootaxa.3957.2.9</v>
      </c>
      <c r="BG39" t="s">
        <v>74</v>
      </c>
      <c r="BH39" t="s">
        <v>74</v>
      </c>
      <c r="BI39">
        <v>4</v>
      </c>
      <c r="BJ39" t="s">
        <v>509</v>
      </c>
      <c r="BK39" t="s">
        <v>100</v>
      </c>
      <c r="BL39" t="s">
        <v>509</v>
      </c>
      <c r="BM39" t="s">
        <v>931</v>
      </c>
      <c r="BN39">
        <v>26249071</v>
      </c>
      <c r="BO39" t="s">
        <v>559</v>
      </c>
      <c r="BP39" t="s">
        <v>74</v>
      </c>
      <c r="BQ39" t="s">
        <v>74</v>
      </c>
      <c r="BR39" t="s">
        <v>104</v>
      </c>
      <c r="BS39" t="s">
        <v>932</v>
      </c>
      <c r="BT39" t="str">
        <f>HYPERLINK("https%3A%2F%2Fwww.webofscience.com%2Fwos%2Fwoscc%2Ffull-record%2FWOS:000354993400009","View Full Record in Web of Science")</f>
        <v>View Full Record in Web of Science</v>
      </c>
    </row>
    <row r="40" spans="1:72" x14ac:dyDescent="0.15">
      <c r="A40" t="s">
        <v>72</v>
      </c>
      <c r="B40" t="s">
        <v>933</v>
      </c>
      <c r="C40" t="s">
        <v>74</v>
      </c>
      <c r="D40" t="s">
        <v>74</v>
      </c>
      <c r="E40" t="s">
        <v>74</v>
      </c>
      <c r="F40" t="s">
        <v>934</v>
      </c>
      <c r="G40" t="s">
        <v>74</v>
      </c>
      <c r="H40" t="s">
        <v>74</v>
      </c>
      <c r="I40" t="s">
        <v>935</v>
      </c>
      <c r="J40" t="s">
        <v>936</v>
      </c>
      <c r="K40" t="s">
        <v>74</v>
      </c>
      <c r="L40" t="s">
        <v>74</v>
      </c>
      <c r="M40" t="s">
        <v>78</v>
      </c>
      <c r="N40" t="s">
        <v>79</v>
      </c>
      <c r="O40" t="s">
        <v>74</v>
      </c>
      <c r="P40" t="s">
        <v>74</v>
      </c>
      <c r="Q40" t="s">
        <v>74</v>
      </c>
      <c r="R40" t="s">
        <v>74</v>
      </c>
      <c r="S40" t="s">
        <v>74</v>
      </c>
      <c r="T40" t="s">
        <v>74</v>
      </c>
      <c r="U40" t="s">
        <v>937</v>
      </c>
      <c r="V40" t="s">
        <v>938</v>
      </c>
      <c r="W40" t="s">
        <v>939</v>
      </c>
      <c r="X40" t="s">
        <v>940</v>
      </c>
      <c r="Y40" t="s">
        <v>941</v>
      </c>
      <c r="Z40" t="s">
        <v>942</v>
      </c>
      <c r="AA40" t="s">
        <v>74</v>
      </c>
      <c r="AB40" t="s">
        <v>74</v>
      </c>
      <c r="AC40" t="s">
        <v>943</v>
      </c>
      <c r="AD40" t="s">
        <v>944</v>
      </c>
      <c r="AE40" t="s">
        <v>945</v>
      </c>
      <c r="AF40" t="s">
        <v>74</v>
      </c>
      <c r="AG40">
        <v>65</v>
      </c>
      <c r="AH40">
        <v>11</v>
      </c>
      <c r="AI40">
        <v>14</v>
      </c>
      <c r="AJ40">
        <v>0</v>
      </c>
      <c r="AK40">
        <v>28</v>
      </c>
      <c r="AL40" t="s">
        <v>946</v>
      </c>
      <c r="AM40" t="s">
        <v>947</v>
      </c>
      <c r="AN40" t="s">
        <v>948</v>
      </c>
      <c r="AO40" t="s">
        <v>949</v>
      </c>
      <c r="AP40" t="s">
        <v>74</v>
      </c>
      <c r="AQ40" t="s">
        <v>74</v>
      </c>
      <c r="AR40" t="s">
        <v>936</v>
      </c>
      <c r="AS40" t="s">
        <v>950</v>
      </c>
      <c r="AT40" t="s">
        <v>951</v>
      </c>
      <c r="AU40">
        <v>2015</v>
      </c>
      <c r="AV40">
        <v>10</v>
      </c>
      <c r="AW40">
        <v>5</v>
      </c>
      <c r="AX40" t="s">
        <v>74</v>
      </c>
      <c r="AY40" t="s">
        <v>74</v>
      </c>
      <c r="AZ40" t="s">
        <v>74</v>
      </c>
      <c r="BA40" t="s">
        <v>74</v>
      </c>
      <c r="BB40" t="s">
        <v>74</v>
      </c>
      <c r="BC40" t="s">
        <v>74</v>
      </c>
      <c r="BD40" t="s">
        <v>952</v>
      </c>
      <c r="BE40" t="s">
        <v>953</v>
      </c>
      <c r="BF40" t="str">
        <f>HYPERLINK("http://dx.doi.org/10.1371/journal.pone.0123917","http://dx.doi.org/10.1371/journal.pone.0123917")</f>
        <v>http://dx.doi.org/10.1371/journal.pone.0123917</v>
      </c>
      <c r="BG40" t="s">
        <v>74</v>
      </c>
      <c r="BH40" t="s">
        <v>74</v>
      </c>
      <c r="BI40">
        <v>20</v>
      </c>
      <c r="BJ40" t="s">
        <v>429</v>
      </c>
      <c r="BK40" t="s">
        <v>100</v>
      </c>
      <c r="BL40" t="s">
        <v>430</v>
      </c>
      <c r="BM40" t="s">
        <v>954</v>
      </c>
      <c r="BN40">
        <v>25970294</v>
      </c>
      <c r="BO40" t="s">
        <v>955</v>
      </c>
      <c r="BP40" t="s">
        <v>74</v>
      </c>
      <c r="BQ40" t="s">
        <v>74</v>
      </c>
      <c r="BR40" t="s">
        <v>104</v>
      </c>
      <c r="BS40" t="s">
        <v>956</v>
      </c>
      <c r="BT40" t="str">
        <f>HYPERLINK("https%3A%2F%2Fwww.webofscience.com%2Fwos%2Fwoscc%2Ffull-record%2FWOS:000354544200020","View Full Record in Web of Science")</f>
        <v>View Full Record in Web of Science</v>
      </c>
    </row>
    <row r="41" spans="1:72" x14ac:dyDescent="0.15">
      <c r="A41" t="s">
        <v>72</v>
      </c>
      <c r="B41" t="s">
        <v>957</v>
      </c>
      <c r="C41" t="s">
        <v>74</v>
      </c>
      <c r="D41" t="s">
        <v>74</v>
      </c>
      <c r="E41" t="s">
        <v>74</v>
      </c>
      <c r="F41" t="s">
        <v>958</v>
      </c>
      <c r="G41" t="s">
        <v>74</v>
      </c>
      <c r="H41" t="s">
        <v>74</v>
      </c>
      <c r="I41" t="s">
        <v>959</v>
      </c>
      <c r="J41" t="s">
        <v>936</v>
      </c>
      <c r="K41" t="s">
        <v>74</v>
      </c>
      <c r="L41" t="s">
        <v>74</v>
      </c>
      <c r="M41" t="s">
        <v>78</v>
      </c>
      <c r="N41" t="s">
        <v>79</v>
      </c>
      <c r="O41" t="s">
        <v>74</v>
      </c>
      <c r="P41" t="s">
        <v>74</v>
      </c>
      <c r="Q41" t="s">
        <v>74</v>
      </c>
      <c r="R41" t="s">
        <v>74</v>
      </c>
      <c r="S41" t="s">
        <v>74</v>
      </c>
      <c r="T41" t="s">
        <v>74</v>
      </c>
      <c r="U41" t="s">
        <v>960</v>
      </c>
      <c r="V41" t="s">
        <v>961</v>
      </c>
      <c r="W41" t="s">
        <v>962</v>
      </c>
      <c r="X41" t="s">
        <v>963</v>
      </c>
      <c r="Y41" t="s">
        <v>964</v>
      </c>
      <c r="Z41" t="s">
        <v>965</v>
      </c>
      <c r="AA41" t="s">
        <v>966</v>
      </c>
      <c r="AB41" t="s">
        <v>967</v>
      </c>
      <c r="AC41" t="s">
        <v>968</v>
      </c>
      <c r="AD41" t="s">
        <v>969</v>
      </c>
      <c r="AE41" t="s">
        <v>970</v>
      </c>
      <c r="AF41" t="s">
        <v>74</v>
      </c>
      <c r="AG41">
        <v>58</v>
      </c>
      <c r="AH41">
        <v>45</v>
      </c>
      <c r="AI41">
        <v>48</v>
      </c>
      <c r="AJ41">
        <v>2</v>
      </c>
      <c r="AK41">
        <v>67</v>
      </c>
      <c r="AL41" t="s">
        <v>946</v>
      </c>
      <c r="AM41" t="s">
        <v>947</v>
      </c>
      <c r="AN41" t="s">
        <v>948</v>
      </c>
      <c r="AO41" t="s">
        <v>949</v>
      </c>
      <c r="AP41" t="s">
        <v>74</v>
      </c>
      <c r="AQ41" t="s">
        <v>74</v>
      </c>
      <c r="AR41" t="s">
        <v>936</v>
      </c>
      <c r="AS41" t="s">
        <v>950</v>
      </c>
      <c r="AT41" t="s">
        <v>951</v>
      </c>
      <c r="AU41">
        <v>2015</v>
      </c>
      <c r="AV41">
        <v>10</v>
      </c>
      <c r="AW41">
        <v>5</v>
      </c>
      <c r="AX41" t="s">
        <v>74</v>
      </c>
      <c r="AY41" t="s">
        <v>74</v>
      </c>
      <c r="AZ41" t="s">
        <v>74</v>
      </c>
      <c r="BA41" t="s">
        <v>74</v>
      </c>
      <c r="BB41" t="s">
        <v>74</v>
      </c>
      <c r="BC41" t="s">
        <v>74</v>
      </c>
      <c r="BD41" t="s">
        <v>971</v>
      </c>
      <c r="BE41" t="s">
        <v>972</v>
      </c>
      <c r="BF41" t="str">
        <f>HYPERLINK("http://dx.doi.org/10.1371/journal.pone.0123945","http://dx.doi.org/10.1371/journal.pone.0123945")</f>
        <v>http://dx.doi.org/10.1371/journal.pone.0123945</v>
      </c>
      <c r="BG41" t="s">
        <v>74</v>
      </c>
      <c r="BH41" t="s">
        <v>74</v>
      </c>
      <c r="BI41">
        <v>15</v>
      </c>
      <c r="BJ41" t="s">
        <v>429</v>
      </c>
      <c r="BK41" t="s">
        <v>100</v>
      </c>
      <c r="BL41" t="s">
        <v>430</v>
      </c>
      <c r="BM41" t="s">
        <v>954</v>
      </c>
      <c r="BN41">
        <v>25970340</v>
      </c>
      <c r="BO41" t="s">
        <v>385</v>
      </c>
      <c r="BP41" t="s">
        <v>74</v>
      </c>
      <c r="BQ41" t="s">
        <v>74</v>
      </c>
      <c r="BR41" t="s">
        <v>104</v>
      </c>
      <c r="BS41" t="s">
        <v>973</v>
      </c>
      <c r="BT41" t="str">
        <f>HYPERLINK("https%3A%2F%2Fwww.webofscience.com%2Fwos%2Fwoscc%2Ffull-record%2FWOS:000354544200021","View Full Record in Web of Science")</f>
        <v>View Full Record in Web of Science</v>
      </c>
    </row>
    <row r="42" spans="1:72" x14ac:dyDescent="0.15">
      <c r="A42" t="s">
        <v>72</v>
      </c>
      <c r="B42" t="s">
        <v>974</v>
      </c>
      <c r="C42" t="s">
        <v>74</v>
      </c>
      <c r="D42" t="s">
        <v>74</v>
      </c>
      <c r="E42" t="s">
        <v>74</v>
      </c>
      <c r="F42" t="s">
        <v>975</v>
      </c>
      <c r="G42" t="s">
        <v>74</v>
      </c>
      <c r="H42" t="s">
        <v>74</v>
      </c>
      <c r="I42" t="s">
        <v>976</v>
      </c>
      <c r="J42" t="s">
        <v>977</v>
      </c>
      <c r="K42" t="s">
        <v>74</v>
      </c>
      <c r="L42" t="s">
        <v>74</v>
      </c>
      <c r="M42" t="s">
        <v>78</v>
      </c>
      <c r="N42" t="s">
        <v>79</v>
      </c>
      <c r="O42" t="s">
        <v>74</v>
      </c>
      <c r="P42" t="s">
        <v>74</v>
      </c>
      <c r="Q42" t="s">
        <v>74</v>
      </c>
      <c r="R42" t="s">
        <v>74</v>
      </c>
      <c r="S42" t="s">
        <v>74</v>
      </c>
      <c r="T42" t="s">
        <v>978</v>
      </c>
      <c r="U42" t="s">
        <v>979</v>
      </c>
      <c r="V42" t="s">
        <v>980</v>
      </c>
      <c r="W42" t="s">
        <v>981</v>
      </c>
      <c r="X42" t="s">
        <v>982</v>
      </c>
      <c r="Y42" t="s">
        <v>983</v>
      </c>
      <c r="Z42" t="s">
        <v>984</v>
      </c>
      <c r="AA42" t="s">
        <v>985</v>
      </c>
      <c r="AB42" t="s">
        <v>986</v>
      </c>
      <c r="AC42" t="s">
        <v>987</v>
      </c>
      <c r="AD42" t="s">
        <v>988</v>
      </c>
      <c r="AE42" t="s">
        <v>989</v>
      </c>
      <c r="AF42" t="s">
        <v>74</v>
      </c>
      <c r="AG42">
        <v>43</v>
      </c>
      <c r="AH42">
        <v>12</v>
      </c>
      <c r="AI42">
        <v>12</v>
      </c>
      <c r="AJ42">
        <v>0</v>
      </c>
      <c r="AK42">
        <v>26</v>
      </c>
      <c r="AL42" t="s">
        <v>990</v>
      </c>
      <c r="AM42" t="s">
        <v>991</v>
      </c>
      <c r="AN42" t="s">
        <v>992</v>
      </c>
      <c r="AO42" t="s">
        <v>993</v>
      </c>
      <c r="AP42" t="s">
        <v>994</v>
      </c>
      <c r="AQ42" t="s">
        <v>74</v>
      </c>
      <c r="AR42" t="s">
        <v>995</v>
      </c>
      <c r="AS42" t="s">
        <v>996</v>
      </c>
      <c r="AT42" t="s">
        <v>997</v>
      </c>
      <c r="AU42">
        <v>2015</v>
      </c>
      <c r="AV42">
        <v>21</v>
      </c>
      <c r="AW42">
        <v>20</v>
      </c>
      <c r="AX42" t="s">
        <v>74</v>
      </c>
      <c r="AY42" t="s">
        <v>74</v>
      </c>
      <c r="AZ42" t="s">
        <v>74</v>
      </c>
      <c r="BA42" t="s">
        <v>74</v>
      </c>
      <c r="BB42">
        <v>7408</v>
      </c>
      <c r="BC42">
        <v>7412</v>
      </c>
      <c r="BD42" t="s">
        <v>74</v>
      </c>
      <c r="BE42" t="s">
        <v>998</v>
      </c>
      <c r="BF42" t="str">
        <f>HYPERLINK("http://dx.doi.org/10.1002/chem.201500050","http://dx.doi.org/10.1002/chem.201500050")</f>
        <v>http://dx.doi.org/10.1002/chem.201500050</v>
      </c>
      <c r="BG42" t="s">
        <v>74</v>
      </c>
      <c r="BH42" t="s">
        <v>74</v>
      </c>
      <c r="BI42">
        <v>5</v>
      </c>
      <c r="BJ42" t="s">
        <v>999</v>
      </c>
      <c r="BK42" t="s">
        <v>1000</v>
      </c>
      <c r="BL42" t="s">
        <v>655</v>
      </c>
      <c r="BM42" t="s">
        <v>1001</v>
      </c>
      <c r="BN42">
        <v>25820593</v>
      </c>
      <c r="BO42" t="s">
        <v>74</v>
      </c>
      <c r="BP42" t="s">
        <v>74</v>
      </c>
      <c r="BQ42" t="s">
        <v>74</v>
      </c>
      <c r="BR42" t="s">
        <v>104</v>
      </c>
      <c r="BS42" t="s">
        <v>1002</v>
      </c>
      <c r="BT42" t="str">
        <f>HYPERLINK("https%3A%2F%2Fwww.webofscience.com%2Fwos%2Fwoscc%2Ffull-record%2FWOS:000354027300018","View Full Record in Web of Science")</f>
        <v>View Full Record in Web of Science</v>
      </c>
    </row>
    <row r="43" spans="1:72" x14ac:dyDescent="0.15">
      <c r="A43" t="s">
        <v>72</v>
      </c>
      <c r="B43" t="s">
        <v>1003</v>
      </c>
      <c r="C43" t="s">
        <v>74</v>
      </c>
      <c r="D43" t="s">
        <v>74</v>
      </c>
      <c r="E43" t="s">
        <v>74</v>
      </c>
      <c r="F43" t="s">
        <v>1004</v>
      </c>
      <c r="G43" t="s">
        <v>74</v>
      </c>
      <c r="H43" t="s">
        <v>74</v>
      </c>
      <c r="I43" t="s">
        <v>1005</v>
      </c>
      <c r="J43" t="s">
        <v>936</v>
      </c>
      <c r="K43" t="s">
        <v>74</v>
      </c>
      <c r="L43" t="s">
        <v>74</v>
      </c>
      <c r="M43" t="s">
        <v>78</v>
      </c>
      <c r="N43" t="s">
        <v>79</v>
      </c>
      <c r="O43" t="s">
        <v>74</v>
      </c>
      <c r="P43" t="s">
        <v>74</v>
      </c>
      <c r="Q43" t="s">
        <v>74</v>
      </c>
      <c r="R43" t="s">
        <v>74</v>
      </c>
      <c r="S43" t="s">
        <v>74</v>
      </c>
      <c r="T43" t="s">
        <v>74</v>
      </c>
      <c r="U43" t="s">
        <v>1006</v>
      </c>
      <c r="V43" t="s">
        <v>1007</v>
      </c>
      <c r="W43" t="s">
        <v>1008</v>
      </c>
      <c r="X43" t="s">
        <v>1009</v>
      </c>
      <c r="Y43" t="s">
        <v>1010</v>
      </c>
      <c r="Z43" t="s">
        <v>1011</v>
      </c>
      <c r="AA43" t="s">
        <v>1012</v>
      </c>
      <c r="AB43" t="s">
        <v>1013</v>
      </c>
      <c r="AC43" t="s">
        <v>1014</v>
      </c>
      <c r="AD43" t="s">
        <v>1015</v>
      </c>
      <c r="AE43" t="s">
        <v>1016</v>
      </c>
      <c r="AF43" t="s">
        <v>74</v>
      </c>
      <c r="AG43">
        <v>39</v>
      </c>
      <c r="AH43">
        <v>24</v>
      </c>
      <c r="AI43">
        <v>26</v>
      </c>
      <c r="AJ43">
        <v>0</v>
      </c>
      <c r="AK43">
        <v>17</v>
      </c>
      <c r="AL43" t="s">
        <v>946</v>
      </c>
      <c r="AM43" t="s">
        <v>947</v>
      </c>
      <c r="AN43" t="s">
        <v>948</v>
      </c>
      <c r="AO43" t="s">
        <v>949</v>
      </c>
      <c r="AP43" t="s">
        <v>74</v>
      </c>
      <c r="AQ43" t="s">
        <v>74</v>
      </c>
      <c r="AR43" t="s">
        <v>936</v>
      </c>
      <c r="AS43" t="s">
        <v>950</v>
      </c>
      <c r="AT43" t="s">
        <v>997</v>
      </c>
      <c r="AU43">
        <v>2015</v>
      </c>
      <c r="AV43">
        <v>10</v>
      </c>
      <c r="AW43">
        <v>5</v>
      </c>
      <c r="AX43" t="s">
        <v>74</v>
      </c>
      <c r="AY43" t="s">
        <v>74</v>
      </c>
      <c r="AZ43" t="s">
        <v>74</v>
      </c>
      <c r="BA43" t="s">
        <v>74</v>
      </c>
      <c r="BB43" t="s">
        <v>74</v>
      </c>
      <c r="BC43" t="s">
        <v>74</v>
      </c>
      <c r="BD43" t="s">
        <v>1017</v>
      </c>
      <c r="BE43" t="s">
        <v>1018</v>
      </c>
      <c r="BF43" t="str">
        <f>HYPERLINK("http://dx.doi.org/10.1371/journal.pone.0126356","http://dx.doi.org/10.1371/journal.pone.0126356")</f>
        <v>http://dx.doi.org/10.1371/journal.pone.0126356</v>
      </c>
      <c r="BG43" t="s">
        <v>74</v>
      </c>
      <c r="BH43" t="s">
        <v>74</v>
      </c>
      <c r="BI43">
        <v>13</v>
      </c>
      <c r="BJ43" t="s">
        <v>429</v>
      </c>
      <c r="BK43" t="s">
        <v>1019</v>
      </c>
      <c r="BL43" t="s">
        <v>430</v>
      </c>
      <c r="BM43" t="s">
        <v>1020</v>
      </c>
      <c r="BN43">
        <v>25961821</v>
      </c>
      <c r="BO43" t="s">
        <v>1021</v>
      </c>
      <c r="BP43" t="s">
        <v>74</v>
      </c>
      <c r="BQ43" t="s">
        <v>74</v>
      </c>
      <c r="BR43" t="s">
        <v>104</v>
      </c>
      <c r="BS43" t="s">
        <v>1022</v>
      </c>
      <c r="BT43" t="str">
        <f>HYPERLINK("https%3A%2F%2Fwww.webofscience.com%2Fwos%2Fwoscc%2Ffull-record%2FWOS:000354542500090","View Full Record in Web of Science")</f>
        <v>View Full Record in Web of Science</v>
      </c>
    </row>
    <row r="44" spans="1:72" x14ac:dyDescent="0.15">
      <c r="A44" t="s">
        <v>72</v>
      </c>
      <c r="B44" t="s">
        <v>1023</v>
      </c>
      <c r="C44" t="s">
        <v>74</v>
      </c>
      <c r="D44" t="s">
        <v>74</v>
      </c>
      <c r="E44" t="s">
        <v>74</v>
      </c>
      <c r="F44" t="s">
        <v>1024</v>
      </c>
      <c r="G44" t="s">
        <v>74</v>
      </c>
      <c r="H44" t="s">
        <v>74</v>
      </c>
      <c r="I44" t="s">
        <v>1025</v>
      </c>
      <c r="J44" t="s">
        <v>1026</v>
      </c>
      <c r="K44" t="s">
        <v>74</v>
      </c>
      <c r="L44" t="s">
        <v>74</v>
      </c>
      <c r="M44" t="s">
        <v>78</v>
      </c>
      <c r="N44" t="s">
        <v>79</v>
      </c>
      <c r="O44" t="s">
        <v>74</v>
      </c>
      <c r="P44" t="s">
        <v>74</v>
      </c>
      <c r="Q44" t="s">
        <v>74</v>
      </c>
      <c r="R44" t="s">
        <v>74</v>
      </c>
      <c r="S44" t="s">
        <v>74</v>
      </c>
      <c r="T44" t="s">
        <v>1027</v>
      </c>
      <c r="U44" t="s">
        <v>1028</v>
      </c>
      <c r="V44" t="s">
        <v>1029</v>
      </c>
      <c r="W44" t="s">
        <v>1030</v>
      </c>
      <c r="X44" t="s">
        <v>1031</v>
      </c>
      <c r="Y44" t="s">
        <v>1032</v>
      </c>
      <c r="Z44" t="s">
        <v>1033</v>
      </c>
      <c r="AA44" t="s">
        <v>1034</v>
      </c>
      <c r="AB44" t="s">
        <v>1035</v>
      </c>
      <c r="AC44" t="s">
        <v>1036</v>
      </c>
      <c r="AD44" t="s">
        <v>1037</v>
      </c>
      <c r="AE44" t="s">
        <v>1038</v>
      </c>
      <c r="AF44" t="s">
        <v>74</v>
      </c>
      <c r="AG44">
        <v>43</v>
      </c>
      <c r="AH44">
        <v>22</v>
      </c>
      <c r="AI44">
        <v>22</v>
      </c>
      <c r="AJ44">
        <v>1</v>
      </c>
      <c r="AK44">
        <v>107</v>
      </c>
      <c r="AL44" t="s">
        <v>1039</v>
      </c>
      <c r="AM44" t="s">
        <v>816</v>
      </c>
      <c r="AN44" t="s">
        <v>1040</v>
      </c>
      <c r="AO44" t="s">
        <v>1041</v>
      </c>
      <c r="AP44" t="s">
        <v>1042</v>
      </c>
      <c r="AQ44" t="s">
        <v>74</v>
      </c>
      <c r="AR44" t="s">
        <v>1043</v>
      </c>
      <c r="AS44" t="s">
        <v>1044</v>
      </c>
      <c r="AT44" t="s">
        <v>1045</v>
      </c>
      <c r="AU44">
        <v>2015</v>
      </c>
      <c r="AV44">
        <v>303</v>
      </c>
      <c r="AW44" t="s">
        <v>74</v>
      </c>
      <c r="AX44" t="s">
        <v>74</v>
      </c>
      <c r="AY44" t="s">
        <v>74</v>
      </c>
      <c r="AZ44" t="s">
        <v>74</v>
      </c>
      <c r="BA44" t="s">
        <v>74</v>
      </c>
      <c r="BB44">
        <v>78</v>
      </c>
      <c r="BC44">
        <v>86</v>
      </c>
      <c r="BD44" t="s">
        <v>74</v>
      </c>
      <c r="BE44" t="s">
        <v>1046</v>
      </c>
      <c r="BF44" t="str">
        <f>HYPERLINK("http://dx.doi.org/10.1016/j.ecolmodel.2015.02.009","http://dx.doi.org/10.1016/j.ecolmodel.2015.02.009")</f>
        <v>http://dx.doi.org/10.1016/j.ecolmodel.2015.02.009</v>
      </c>
      <c r="BG44" t="s">
        <v>74</v>
      </c>
      <c r="BH44" t="s">
        <v>74</v>
      </c>
      <c r="BI44">
        <v>9</v>
      </c>
      <c r="BJ44" t="s">
        <v>1047</v>
      </c>
      <c r="BK44" t="s">
        <v>100</v>
      </c>
      <c r="BL44" t="s">
        <v>1048</v>
      </c>
      <c r="BM44" t="s">
        <v>1049</v>
      </c>
      <c r="BN44" t="s">
        <v>74</v>
      </c>
      <c r="BO44" t="s">
        <v>559</v>
      </c>
      <c r="BP44" t="s">
        <v>74</v>
      </c>
      <c r="BQ44" t="s">
        <v>74</v>
      </c>
      <c r="BR44" t="s">
        <v>104</v>
      </c>
      <c r="BS44" t="s">
        <v>1050</v>
      </c>
      <c r="BT44" t="str">
        <f>HYPERLINK("https%3A%2F%2Fwww.webofscience.com%2Fwos%2Fwoscc%2Ffull-record%2FWOS:000353424700008","View Full Record in Web of Science")</f>
        <v>View Full Record in Web of Science</v>
      </c>
    </row>
    <row r="45" spans="1:72" x14ac:dyDescent="0.15">
      <c r="A45" t="s">
        <v>72</v>
      </c>
      <c r="B45" t="s">
        <v>1051</v>
      </c>
      <c r="C45" t="s">
        <v>74</v>
      </c>
      <c r="D45" t="s">
        <v>74</v>
      </c>
      <c r="E45" t="s">
        <v>74</v>
      </c>
      <c r="F45" t="s">
        <v>1052</v>
      </c>
      <c r="G45" t="s">
        <v>74</v>
      </c>
      <c r="H45" t="s">
        <v>74</v>
      </c>
      <c r="I45" t="s">
        <v>1053</v>
      </c>
      <c r="J45" t="s">
        <v>463</v>
      </c>
      <c r="K45" t="s">
        <v>74</v>
      </c>
      <c r="L45" t="s">
        <v>74</v>
      </c>
      <c r="M45" t="s">
        <v>78</v>
      </c>
      <c r="N45" t="s">
        <v>79</v>
      </c>
      <c r="O45" t="s">
        <v>74</v>
      </c>
      <c r="P45" t="s">
        <v>74</v>
      </c>
      <c r="Q45" t="s">
        <v>74</v>
      </c>
      <c r="R45" t="s">
        <v>74</v>
      </c>
      <c r="S45" t="s">
        <v>74</v>
      </c>
      <c r="T45" t="s">
        <v>1054</v>
      </c>
      <c r="U45" t="s">
        <v>1055</v>
      </c>
      <c r="V45" t="s">
        <v>1056</v>
      </c>
      <c r="W45" t="s">
        <v>1057</v>
      </c>
      <c r="X45" t="s">
        <v>1058</v>
      </c>
      <c r="Y45" t="s">
        <v>1059</v>
      </c>
      <c r="Z45" t="s">
        <v>1060</v>
      </c>
      <c r="AA45" t="s">
        <v>74</v>
      </c>
      <c r="AB45" t="s">
        <v>74</v>
      </c>
      <c r="AC45" t="s">
        <v>1061</v>
      </c>
      <c r="AD45" t="s">
        <v>1062</v>
      </c>
      <c r="AE45" t="s">
        <v>1063</v>
      </c>
      <c r="AF45" t="s">
        <v>74</v>
      </c>
      <c r="AG45">
        <v>34</v>
      </c>
      <c r="AH45">
        <v>2</v>
      </c>
      <c r="AI45">
        <v>2</v>
      </c>
      <c r="AJ45">
        <v>0</v>
      </c>
      <c r="AK45">
        <v>10</v>
      </c>
      <c r="AL45" t="s">
        <v>476</v>
      </c>
      <c r="AM45" t="s">
        <v>477</v>
      </c>
      <c r="AN45" t="s">
        <v>478</v>
      </c>
      <c r="AO45" t="s">
        <v>479</v>
      </c>
      <c r="AP45" t="s">
        <v>74</v>
      </c>
      <c r="AQ45" t="s">
        <v>74</v>
      </c>
      <c r="AR45" t="s">
        <v>480</v>
      </c>
      <c r="AS45" t="s">
        <v>481</v>
      </c>
      <c r="AT45" t="s">
        <v>1064</v>
      </c>
      <c r="AU45">
        <v>2015</v>
      </c>
      <c r="AV45">
        <v>6</v>
      </c>
      <c r="AW45" t="s">
        <v>74</v>
      </c>
      <c r="AX45" t="s">
        <v>74</v>
      </c>
      <c r="AY45" t="s">
        <v>74</v>
      </c>
      <c r="AZ45" t="s">
        <v>74</v>
      </c>
      <c r="BA45" t="s">
        <v>74</v>
      </c>
      <c r="BB45" t="s">
        <v>74</v>
      </c>
      <c r="BC45" t="s">
        <v>74</v>
      </c>
      <c r="BD45">
        <v>339</v>
      </c>
      <c r="BE45" t="s">
        <v>1065</v>
      </c>
      <c r="BF45" t="str">
        <f>HYPERLINK("http://dx.doi.org/10.3389/fmicb.2015.00339","http://dx.doi.org/10.3389/fmicb.2015.00339")</f>
        <v>http://dx.doi.org/10.3389/fmicb.2015.00339</v>
      </c>
      <c r="BG45" t="s">
        <v>74</v>
      </c>
      <c r="BH45" t="s">
        <v>74</v>
      </c>
      <c r="BI45">
        <v>10</v>
      </c>
      <c r="BJ45" t="s">
        <v>483</v>
      </c>
      <c r="BK45" t="s">
        <v>100</v>
      </c>
      <c r="BL45" t="s">
        <v>483</v>
      </c>
      <c r="BM45" t="s">
        <v>1066</v>
      </c>
      <c r="BN45">
        <v>26005434</v>
      </c>
      <c r="BO45" t="s">
        <v>1067</v>
      </c>
      <c r="BP45" t="s">
        <v>74</v>
      </c>
      <c r="BQ45" t="s">
        <v>74</v>
      </c>
      <c r="BR45" t="s">
        <v>104</v>
      </c>
      <c r="BS45" t="s">
        <v>1068</v>
      </c>
      <c r="BT45" t="str">
        <f>HYPERLINK("https%3A%2F%2Fwww.webofscience.com%2Fwos%2Fwoscc%2Ffull-record%2FWOS:000355627700001","View Full Record in Web of Science")</f>
        <v>View Full Record in Web of Science</v>
      </c>
    </row>
    <row r="46" spans="1:72" x14ac:dyDescent="0.15">
      <c r="A46" t="s">
        <v>72</v>
      </c>
      <c r="B46" t="s">
        <v>1069</v>
      </c>
      <c r="C46" t="s">
        <v>74</v>
      </c>
      <c r="D46" t="s">
        <v>74</v>
      </c>
      <c r="E46" t="s">
        <v>74</v>
      </c>
      <c r="F46" t="s">
        <v>1070</v>
      </c>
      <c r="G46" t="s">
        <v>74</v>
      </c>
      <c r="H46" t="s">
        <v>74</v>
      </c>
      <c r="I46" t="s">
        <v>1071</v>
      </c>
      <c r="J46" t="s">
        <v>1072</v>
      </c>
      <c r="K46" t="s">
        <v>74</v>
      </c>
      <c r="L46" t="s">
        <v>74</v>
      </c>
      <c r="M46" t="s">
        <v>78</v>
      </c>
      <c r="N46" t="s">
        <v>79</v>
      </c>
      <c r="O46" t="s">
        <v>74</v>
      </c>
      <c r="P46" t="s">
        <v>74</v>
      </c>
      <c r="Q46" t="s">
        <v>74</v>
      </c>
      <c r="R46" t="s">
        <v>74</v>
      </c>
      <c r="S46" t="s">
        <v>74</v>
      </c>
      <c r="T46" t="s">
        <v>1073</v>
      </c>
      <c r="U46" t="s">
        <v>1074</v>
      </c>
      <c r="V46" t="s">
        <v>1075</v>
      </c>
      <c r="W46" t="s">
        <v>1076</v>
      </c>
      <c r="X46" t="s">
        <v>1077</v>
      </c>
      <c r="Y46" t="s">
        <v>1078</v>
      </c>
      <c r="Z46" t="s">
        <v>1079</v>
      </c>
      <c r="AA46" t="s">
        <v>1080</v>
      </c>
      <c r="AB46" t="s">
        <v>1081</v>
      </c>
      <c r="AC46" t="s">
        <v>1082</v>
      </c>
      <c r="AD46" t="s">
        <v>1083</v>
      </c>
      <c r="AE46" t="s">
        <v>1084</v>
      </c>
      <c r="AF46" t="s">
        <v>74</v>
      </c>
      <c r="AG46">
        <v>66</v>
      </c>
      <c r="AH46">
        <v>26</v>
      </c>
      <c r="AI46">
        <v>27</v>
      </c>
      <c r="AJ46">
        <v>0</v>
      </c>
      <c r="AK46">
        <v>38</v>
      </c>
      <c r="AL46" t="s">
        <v>1085</v>
      </c>
      <c r="AM46" t="s">
        <v>1086</v>
      </c>
      <c r="AN46" t="s">
        <v>1087</v>
      </c>
      <c r="AO46" t="s">
        <v>1088</v>
      </c>
      <c r="AP46" t="s">
        <v>1089</v>
      </c>
      <c r="AQ46" t="s">
        <v>74</v>
      </c>
      <c r="AR46" t="s">
        <v>1090</v>
      </c>
      <c r="AS46" t="s">
        <v>1091</v>
      </c>
      <c r="AT46" t="s">
        <v>1092</v>
      </c>
      <c r="AU46">
        <v>2015</v>
      </c>
      <c r="AV46">
        <v>527</v>
      </c>
      <c r="AW46" t="s">
        <v>74</v>
      </c>
      <c r="AX46" t="s">
        <v>74</v>
      </c>
      <c r="AY46" t="s">
        <v>74</v>
      </c>
      <c r="AZ46" t="s">
        <v>74</v>
      </c>
      <c r="BA46" t="s">
        <v>74</v>
      </c>
      <c r="BB46">
        <v>13</v>
      </c>
      <c r="BC46">
        <v>29</v>
      </c>
      <c r="BD46" t="s">
        <v>74</v>
      </c>
      <c r="BE46" t="s">
        <v>1093</v>
      </c>
      <c r="BF46" t="str">
        <f>HYPERLINK("http://dx.doi.org/10.3354/meps11257","http://dx.doi.org/10.3354/meps11257")</f>
        <v>http://dx.doi.org/10.3354/meps11257</v>
      </c>
      <c r="BG46" t="s">
        <v>74</v>
      </c>
      <c r="BH46" t="s">
        <v>74</v>
      </c>
      <c r="BI46">
        <v>17</v>
      </c>
      <c r="BJ46" t="s">
        <v>1094</v>
      </c>
      <c r="BK46" t="s">
        <v>100</v>
      </c>
      <c r="BL46" t="s">
        <v>1095</v>
      </c>
      <c r="BM46" t="s">
        <v>1096</v>
      </c>
      <c r="BN46" t="s">
        <v>74</v>
      </c>
      <c r="BO46" t="s">
        <v>74</v>
      </c>
      <c r="BP46" t="s">
        <v>74</v>
      </c>
      <c r="BQ46" t="s">
        <v>74</v>
      </c>
      <c r="BR46" t="s">
        <v>104</v>
      </c>
      <c r="BS46" t="s">
        <v>1097</v>
      </c>
      <c r="BT46" t="str">
        <f>HYPERLINK("https%3A%2F%2Fwww.webofscience.com%2Fwos%2Fwoscc%2Ffull-record%2FWOS:000354395700002","View Full Record in Web of Science")</f>
        <v>View Full Record in Web of Science</v>
      </c>
    </row>
    <row r="47" spans="1:72" x14ac:dyDescent="0.15">
      <c r="A47" t="s">
        <v>72</v>
      </c>
      <c r="B47" t="s">
        <v>1098</v>
      </c>
      <c r="C47" t="s">
        <v>74</v>
      </c>
      <c r="D47" t="s">
        <v>74</v>
      </c>
      <c r="E47" t="s">
        <v>74</v>
      </c>
      <c r="F47" t="s">
        <v>1099</v>
      </c>
      <c r="G47" t="s">
        <v>74</v>
      </c>
      <c r="H47" t="s">
        <v>74</v>
      </c>
      <c r="I47" t="s">
        <v>1100</v>
      </c>
      <c r="J47" t="s">
        <v>1101</v>
      </c>
      <c r="K47" t="s">
        <v>74</v>
      </c>
      <c r="L47" t="s">
        <v>74</v>
      </c>
      <c r="M47" t="s">
        <v>78</v>
      </c>
      <c r="N47" t="s">
        <v>79</v>
      </c>
      <c r="O47" t="s">
        <v>74</v>
      </c>
      <c r="P47" t="s">
        <v>74</v>
      </c>
      <c r="Q47" t="s">
        <v>74</v>
      </c>
      <c r="R47" t="s">
        <v>74</v>
      </c>
      <c r="S47" t="s">
        <v>74</v>
      </c>
      <c r="T47" t="s">
        <v>1102</v>
      </c>
      <c r="U47" t="s">
        <v>1103</v>
      </c>
      <c r="V47" t="s">
        <v>1104</v>
      </c>
      <c r="W47" t="s">
        <v>1105</v>
      </c>
      <c r="X47" t="s">
        <v>1106</v>
      </c>
      <c r="Y47" t="s">
        <v>1107</v>
      </c>
      <c r="Z47" t="s">
        <v>1108</v>
      </c>
      <c r="AA47" t="s">
        <v>74</v>
      </c>
      <c r="AB47" t="s">
        <v>1109</v>
      </c>
      <c r="AC47" t="s">
        <v>1110</v>
      </c>
      <c r="AD47" t="s">
        <v>1111</v>
      </c>
      <c r="AE47" t="s">
        <v>1112</v>
      </c>
      <c r="AF47" t="s">
        <v>74</v>
      </c>
      <c r="AG47">
        <v>65</v>
      </c>
      <c r="AH47">
        <v>10</v>
      </c>
      <c r="AI47">
        <v>12</v>
      </c>
      <c r="AJ47">
        <v>0</v>
      </c>
      <c r="AK47">
        <v>58</v>
      </c>
      <c r="AL47" t="s">
        <v>1113</v>
      </c>
      <c r="AM47" t="s">
        <v>378</v>
      </c>
      <c r="AN47" t="s">
        <v>1114</v>
      </c>
      <c r="AO47" t="s">
        <v>1115</v>
      </c>
      <c r="AP47" t="s">
        <v>1116</v>
      </c>
      <c r="AQ47" t="s">
        <v>74</v>
      </c>
      <c r="AR47" t="s">
        <v>1117</v>
      </c>
      <c r="AS47" t="s">
        <v>1118</v>
      </c>
      <c r="AT47" t="s">
        <v>1092</v>
      </c>
      <c r="AU47">
        <v>2015</v>
      </c>
      <c r="AV47">
        <v>282</v>
      </c>
      <c r="AW47">
        <v>1806</v>
      </c>
      <c r="AX47" t="s">
        <v>74</v>
      </c>
      <c r="AY47" t="s">
        <v>74</v>
      </c>
      <c r="AZ47" t="s">
        <v>74</v>
      </c>
      <c r="BA47" t="s">
        <v>74</v>
      </c>
      <c r="BB47" t="s">
        <v>74</v>
      </c>
      <c r="BC47" t="s">
        <v>74</v>
      </c>
      <c r="BD47">
        <v>20143137</v>
      </c>
      <c r="BE47" t="s">
        <v>1119</v>
      </c>
      <c r="BF47" t="str">
        <f>HYPERLINK("http://dx.doi.org/10.1098/rspb.2014.3137","http://dx.doi.org/10.1098/rspb.2014.3137")</f>
        <v>http://dx.doi.org/10.1098/rspb.2014.3137</v>
      </c>
      <c r="BG47" t="s">
        <v>74</v>
      </c>
      <c r="BH47" t="s">
        <v>74</v>
      </c>
      <c r="BI47">
        <v>8</v>
      </c>
      <c r="BJ47" t="s">
        <v>1120</v>
      </c>
      <c r="BK47" t="s">
        <v>100</v>
      </c>
      <c r="BL47" t="s">
        <v>1121</v>
      </c>
      <c r="BM47" t="s">
        <v>1122</v>
      </c>
      <c r="BN47">
        <v>25854885</v>
      </c>
      <c r="BO47" t="s">
        <v>1123</v>
      </c>
      <c r="BP47" t="s">
        <v>74</v>
      </c>
      <c r="BQ47" t="s">
        <v>74</v>
      </c>
      <c r="BR47" t="s">
        <v>104</v>
      </c>
      <c r="BS47" t="s">
        <v>1124</v>
      </c>
      <c r="BT47" t="str">
        <f>HYPERLINK("https%3A%2F%2Fwww.webofscience.com%2Fwos%2Fwoscc%2Ffull-record%2FWOS:000353351000013","View Full Record in Web of Science")</f>
        <v>View Full Record in Web of Science</v>
      </c>
    </row>
    <row r="48" spans="1:72" x14ac:dyDescent="0.15">
      <c r="A48" t="s">
        <v>72</v>
      </c>
      <c r="B48" t="s">
        <v>1125</v>
      </c>
      <c r="C48" t="s">
        <v>74</v>
      </c>
      <c r="D48" t="s">
        <v>74</v>
      </c>
      <c r="E48" t="s">
        <v>74</v>
      </c>
      <c r="F48" t="s">
        <v>1126</v>
      </c>
      <c r="G48" t="s">
        <v>74</v>
      </c>
      <c r="H48" t="s">
        <v>74</v>
      </c>
      <c r="I48" t="s">
        <v>1127</v>
      </c>
      <c r="J48" t="s">
        <v>936</v>
      </c>
      <c r="K48" t="s">
        <v>74</v>
      </c>
      <c r="L48" t="s">
        <v>74</v>
      </c>
      <c r="M48" t="s">
        <v>78</v>
      </c>
      <c r="N48" t="s">
        <v>79</v>
      </c>
      <c r="O48" t="s">
        <v>74</v>
      </c>
      <c r="P48" t="s">
        <v>74</v>
      </c>
      <c r="Q48" t="s">
        <v>74</v>
      </c>
      <c r="R48" t="s">
        <v>74</v>
      </c>
      <c r="S48" t="s">
        <v>74</v>
      </c>
      <c r="T48" t="s">
        <v>74</v>
      </c>
      <c r="U48" t="s">
        <v>1128</v>
      </c>
      <c r="V48" t="s">
        <v>1129</v>
      </c>
      <c r="W48" t="s">
        <v>1130</v>
      </c>
      <c r="X48" t="s">
        <v>1131</v>
      </c>
      <c r="Y48" t="s">
        <v>1132</v>
      </c>
      <c r="Z48" t="s">
        <v>1133</v>
      </c>
      <c r="AA48" t="s">
        <v>1134</v>
      </c>
      <c r="AB48" t="s">
        <v>1135</v>
      </c>
      <c r="AC48" t="s">
        <v>1136</v>
      </c>
      <c r="AD48" t="s">
        <v>1137</v>
      </c>
      <c r="AE48" t="s">
        <v>1138</v>
      </c>
      <c r="AF48" t="s">
        <v>74</v>
      </c>
      <c r="AG48">
        <v>49</v>
      </c>
      <c r="AH48">
        <v>9</v>
      </c>
      <c r="AI48">
        <v>11</v>
      </c>
      <c r="AJ48">
        <v>0</v>
      </c>
      <c r="AK48">
        <v>5</v>
      </c>
      <c r="AL48" t="s">
        <v>946</v>
      </c>
      <c r="AM48" t="s">
        <v>947</v>
      </c>
      <c r="AN48" t="s">
        <v>948</v>
      </c>
      <c r="AO48" t="s">
        <v>949</v>
      </c>
      <c r="AP48" t="s">
        <v>74</v>
      </c>
      <c r="AQ48" t="s">
        <v>74</v>
      </c>
      <c r="AR48" t="s">
        <v>936</v>
      </c>
      <c r="AS48" t="s">
        <v>950</v>
      </c>
      <c r="AT48" t="s">
        <v>1139</v>
      </c>
      <c r="AU48">
        <v>2015</v>
      </c>
      <c r="AV48">
        <v>10</v>
      </c>
      <c r="AW48">
        <v>5</v>
      </c>
      <c r="AX48" t="s">
        <v>74</v>
      </c>
      <c r="AY48" t="s">
        <v>74</v>
      </c>
      <c r="AZ48" t="s">
        <v>74</v>
      </c>
      <c r="BA48" t="s">
        <v>74</v>
      </c>
      <c r="BB48" t="s">
        <v>74</v>
      </c>
      <c r="BC48" t="s">
        <v>74</v>
      </c>
      <c r="BD48" t="s">
        <v>1140</v>
      </c>
      <c r="BE48" t="s">
        <v>1141</v>
      </c>
      <c r="BF48" t="str">
        <f>HYPERLINK("http://dx.doi.org/10.1371/journal.pone.0125594","http://dx.doi.org/10.1371/journal.pone.0125594")</f>
        <v>http://dx.doi.org/10.1371/journal.pone.0125594</v>
      </c>
      <c r="BG48" t="s">
        <v>74</v>
      </c>
      <c r="BH48" t="s">
        <v>74</v>
      </c>
      <c r="BI48">
        <v>25</v>
      </c>
      <c r="BJ48" t="s">
        <v>429</v>
      </c>
      <c r="BK48" t="s">
        <v>100</v>
      </c>
      <c r="BL48" t="s">
        <v>430</v>
      </c>
      <c r="BM48" t="s">
        <v>1142</v>
      </c>
      <c r="BN48">
        <v>25946123</v>
      </c>
      <c r="BO48" t="s">
        <v>955</v>
      </c>
      <c r="BP48" t="s">
        <v>74</v>
      </c>
      <c r="BQ48" t="s">
        <v>74</v>
      </c>
      <c r="BR48" t="s">
        <v>104</v>
      </c>
      <c r="BS48" t="s">
        <v>1143</v>
      </c>
      <c r="BT48" t="str">
        <f>HYPERLINK("https%3A%2F%2Fwww.webofscience.com%2Fwos%2Fwoscc%2Ffull-record%2FWOS:000354049700077","View Full Record in Web of Science")</f>
        <v>View Full Record in Web of Science</v>
      </c>
    </row>
    <row r="49" spans="1:72" x14ac:dyDescent="0.15">
      <c r="A49" t="s">
        <v>72</v>
      </c>
      <c r="B49" t="s">
        <v>1144</v>
      </c>
      <c r="C49" t="s">
        <v>74</v>
      </c>
      <c r="D49" t="s">
        <v>74</v>
      </c>
      <c r="E49" t="s">
        <v>74</v>
      </c>
      <c r="F49" t="s">
        <v>1145</v>
      </c>
      <c r="G49" t="s">
        <v>74</v>
      </c>
      <c r="H49" t="s">
        <v>74</v>
      </c>
      <c r="I49" t="s">
        <v>1146</v>
      </c>
      <c r="J49" t="s">
        <v>1147</v>
      </c>
      <c r="K49" t="s">
        <v>74</v>
      </c>
      <c r="L49" t="s">
        <v>74</v>
      </c>
      <c r="M49" t="s">
        <v>78</v>
      </c>
      <c r="N49" t="s">
        <v>79</v>
      </c>
      <c r="O49" t="s">
        <v>74</v>
      </c>
      <c r="P49" t="s">
        <v>74</v>
      </c>
      <c r="Q49" t="s">
        <v>74</v>
      </c>
      <c r="R49" t="s">
        <v>74</v>
      </c>
      <c r="S49" t="s">
        <v>74</v>
      </c>
      <c r="T49" t="s">
        <v>1148</v>
      </c>
      <c r="U49" t="s">
        <v>1149</v>
      </c>
      <c r="V49" t="s">
        <v>1150</v>
      </c>
      <c r="W49" t="s">
        <v>1151</v>
      </c>
      <c r="X49" t="s">
        <v>1152</v>
      </c>
      <c r="Y49" t="s">
        <v>1153</v>
      </c>
      <c r="Z49" t="s">
        <v>1154</v>
      </c>
      <c r="AA49" t="s">
        <v>74</v>
      </c>
      <c r="AB49" t="s">
        <v>74</v>
      </c>
      <c r="AC49" t="s">
        <v>1155</v>
      </c>
      <c r="AD49" t="s">
        <v>1156</v>
      </c>
      <c r="AE49" t="s">
        <v>1157</v>
      </c>
      <c r="AF49" t="s">
        <v>74</v>
      </c>
      <c r="AG49">
        <v>42</v>
      </c>
      <c r="AH49">
        <v>23</v>
      </c>
      <c r="AI49">
        <v>26</v>
      </c>
      <c r="AJ49">
        <v>0</v>
      </c>
      <c r="AK49">
        <v>39</v>
      </c>
      <c r="AL49" t="s">
        <v>1158</v>
      </c>
      <c r="AM49" t="s">
        <v>787</v>
      </c>
      <c r="AN49" t="s">
        <v>1159</v>
      </c>
      <c r="AO49" t="s">
        <v>1160</v>
      </c>
      <c r="AP49" t="s">
        <v>1161</v>
      </c>
      <c r="AQ49" t="s">
        <v>74</v>
      </c>
      <c r="AR49" t="s">
        <v>1162</v>
      </c>
      <c r="AS49" t="s">
        <v>1163</v>
      </c>
      <c r="AT49" t="s">
        <v>1164</v>
      </c>
      <c r="AU49">
        <v>2015</v>
      </c>
      <c r="AV49">
        <v>121</v>
      </c>
      <c r="AW49" t="s">
        <v>74</v>
      </c>
      <c r="AX49" t="s">
        <v>74</v>
      </c>
      <c r="AY49" t="s">
        <v>74</v>
      </c>
      <c r="AZ49" t="s">
        <v>74</v>
      </c>
      <c r="BA49" t="s">
        <v>74</v>
      </c>
      <c r="BB49">
        <v>107</v>
      </c>
      <c r="BC49">
        <v>114</v>
      </c>
      <c r="BD49" t="s">
        <v>74</v>
      </c>
      <c r="BE49" t="s">
        <v>1165</v>
      </c>
      <c r="BF49" t="str">
        <f>HYPERLINK("http://dx.doi.org/10.1016/j.carbpol.2014.12.045","http://dx.doi.org/10.1016/j.carbpol.2014.12.045")</f>
        <v>http://dx.doi.org/10.1016/j.carbpol.2014.12.045</v>
      </c>
      <c r="BG49" t="s">
        <v>74</v>
      </c>
      <c r="BH49" t="s">
        <v>74</v>
      </c>
      <c r="BI49">
        <v>8</v>
      </c>
      <c r="BJ49" t="s">
        <v>1166</v>
      </c>
      <c r="BK49" t="s">
        <v>100</v>
      </c>
      <c r="BL49" t="s">
        <v>1167</v>
      </c>
      <c r="BM49" t="s">
        <v>1168</v>
      </c>
      <c r="BN49">
        <v>25659678</v>
      </c>
      <c r="BO49" t="s">
        <v>74</v>
      </c>
      <c r="BP49" t="s">
        <v>74</v>
      </c>
      <c r="BQ49" t="s">
        <v>74</v>
      </c>
      <c r="BR49" t="s">
        <v>104</v>
      </c>
      <c r="BS49" t="s">
        <v>1169</v>
      </c>
      <c r="BT49" t="str">
        <f>HYPERLINK("https%3A%2F%2Fwww.webofscience.com%2Fwos%2Fwoscc%2Ffull-record%2FWOS:000350182400014","View Full Record in Web of Science")</f>
        <v>View Full Record in Web of Science</v>
      </c>
    </row>
    <row r="50" spans="1:72" x14ac:dyDescent="0.15">
      <c r="A50" t="s">
        <v>72</v>
      </c>
      <c r="B50" t="s">
        <v>1170</v>
      </c>
      <c r="C50" t="s">
        <v>74</v>
      </c>
      <c r="D50" t="s">
        <v>74</v>
      </c>
      <c r="E50" t="s">
        <v>74</v>
      </c>
      <c r="F50" t="s">
        <v>1171</v>
      </c>
      <c r="G50" t="s">
        <v>74</v>
      </c>
      <c r="H50" t="s">
        <v>74</v>
      </c>
      <c r="I50" t="s">
        <v>1172</v>
      </c>
      <c r="J50" t="s">
        <v>1173</v>
      </c>
      <c r="K50" t="s">
        <v>74</v>
      </c>
      <c r="L50" t="s">
        <v>74</v>
      </c>
      <c r="M50" t="s">
        <v>78</v>
      </c>
      <c r="N50" t="s">
        <v>79</v>
      </c>
      <c r="O50" t="s">
        <v>74</v>
      </c>
      <c r="P50" t="s">
        <v>74</v>
      </c>
      <c r="Q50" t="s">
        <v>74</v>
      </c>
      <c r="R50" t="s">
        <v>74</v>
      </c>
      <c r="S50" t="s">
        <v>74</v>
      </c>
      <c r="T50" t="s">
        <v>74</v>
      </c>
      <c r="U50" t="s">
        <v>74</v>
      </c>
      <c r="V50" t="s">
        <v>1174</v>
      </c>
      <c r="W50" t="s">
        <v>1175</v>
      </c>
      <c r="X50" t="s">
        <v>1176</v>
      </c>
      <c r="Y50" t="s">
        <v>1177</v>
      </c>
      <c r="Z50" t="s">
        <v>1178</v>
      </c>
      <c r="AA50" t="s">
        <v>74</v>
      </c>
      <c r="AB50" t="s">
        <v>74</v>
      </c>
      <c r="AC50" t="s">
        <v>1179</v>
      </c>
      <c r="AD50" t="s">
        <v>1180</v>
      </c>
      <c r="AE50" t="s">
        <v>1181</v>
      </c>
      <c r="AF50" t="s">
        <v>74</v>
      </c>
      <c r="AG50">
        <v>45</v>
      </c>
      <c r="AH50">
        <v>0</v>
      </c>
      <c r="AI50">
        <v>0</v>
      </c>
      <c r="AJ50">
        <v>1</v>
      </c>
      <c r="AK50">
        <v>10</v>
      </c>
      <c r="AL50" t="s">
        <v>447</v>
      </c>
      <c r="AM50" t="s">
        <v>448</v>
      </c>
      <c r="AN50" t="s">
        <v>449</v>
      </c>
      <c r="AO50" t="s">
        <v>1182</v>
      </c>
      <c r="AP50" t="s">
        <v>1183</v>
      </c>
      <c r="AQ50" t="s">
        <v>74</v>
      </c>
      <c r="AR50" t="s">
        <v>1184</v>
      </c>
      <c r="AS50" t="s">
        <v>1185</v>
      </c>
      <c r="AT50" t="s">
        <v>1186</v>
      </c>
      <c r="AU50">
        <v>2015</v>
      </c>
      <c r="AV50">
        <v>42</v>
      </c>
      <c r="AW50">
        <v>2</v>
      </c>
      <c r="AX50" t="s">
        <v>74</v>
      </c>
      <c r="AY50" t="s">
        <v>74</v>
      </c>
      <c r="AZ50" t="s">
        <v>74</v>
      </c>
      <c r="BA50" t="s">
        <v>74</v>
      </c>
      <c r="BB50">
        <v>195</v>
      </c>
      <c r="BC50">
        <v>218</v>
      </c>
      <c r="BD50" t="s">
        <v>74</v>
      </c>
      <c r="BE50" t="s">
        <v>1187</v>
      </c>
      <c r="BF50" t="str">
        <f>HYPERLINK("http://dx.doi.org/10.1080/02589346.2015.1041670","http://dx.doi.org/10.1080/02589346.2015.1041670")</f>
        <v>http://dx.doi.org/10.1080/02589346.2015.1041670</v>
      </c>
      <c r="BG50" t="s">
        <v>74</v>
      </c>
      <c r="BH50" t="s">
        <v>74</v>
      </c>
      <c r="BI50">
        <v>24</v>
      </c>
      <c r="BJ50" t="s">
        <v>1188</v>
      </c>
      <c r="BK50" t="s">
        <v>1189</v>
      </c>
      <c r="BL50" t="s">
        <v>1190</v>
      </c>
      <c r="BM50" t="s">
        <v>1191</v>
      </c>
      <c r="BN50" t="s">
        <v>74</v>
      </c>
      <c r="BO50" t="s">
        <v>408</v>
      </c>
      <c r="BP50" t="s">
        <v>74</v>
      </c>
      <c r="BQ50" t="s">
        <v>74</v>
      </c>
      <c r="BR50" t="s">
        <v>104</v>
      </c>
      <c r="BS50" t="s">
        <v>1192</v>
      </c>
      <c r="BT50" t="str">
        <f>HYPERLINK("https%3A%2F%2Fwww.webofscience.com%2Fwos%2Fwoscc%2Ffull-record%2FWOS:000357334300003","View Full Record in Web of Science")</f>
        <v>View Full Record in Web of Science</v>
      </c>
    </row>
    <row r="51" spans="1:72" x14ac:dyDescent="0.15">
      <c r="A51" t="s">
        <v>72</v>
      </c>
      <c r="B51" t="s">
        <v>1193</v>
      </c>
      <c r="C51" t="s">
        <v>74</v>
      </c>
      <c r="D51" t="s">
        <v>74</v>
      </c>
      <c r="E51" t="s">
        <v>74</v>
      </c>
      <c r="F51" t="s">
        <v>1194</v>
      </c>
      <c r="G51" t="s">
        <v>74</v>
      </c>
      <c r="H51" t="s">
        <v>74</v>
      </c>
      <c r="I51" t="s">
        <v>1195</v>
      </c>
      <c r="J51" t="s">
        <v>1196</v>
      </c>
      <c r="K51" t="s">
        <v>74</v>
      </c>
      <c r="L51" t="s">
        <v>74</v>
      </c>
      <c r="M51" t="s">
        <v>78</v>
      </c>
      <c r="N51" t="s">
        <v>79</v>
      </c>
      <c r="O51" t="s">
        <v>74</v>
      </c>
      <c r="P51" t="s">
        <v>74</v>
      </c>
      <c r="Q51" t="s">
        <v>74</v>
      </c>
      <c r="R51" t="s">
        <v>74</v>
      </c>
      <c r="S51" t="s">
        <v>74</v>
      </c>
      <c r="T51" t="s">
        <v>74</v>
      </c>
      <c r="U51" t="s">
        <v>1197</v>
      </c>
      <c r="V51" t="s">
        <v>1198</v>
      </c>
      <c r="W51" t="s">
        <v>1199</v>
      </c>
      <c r="X51" t="s">
        <v>1200</v>
      </c>
      <c r="Y51" t="s">
        <v>1201</v>
      </c>
      <c r="Z51" t="s">
        <v>1202</v>
      </c>
      <c r="AA51" t="s">
        <v>1203</v>
      </c>
      <c r="AB51" t="s">
        <v>74</v>
      </c>
      <c r="AC51" t="s">
        <v>1204</v>
      </c>
      <c r="AD51" t="s">
        <v>1205</v>
      </c>
      <c r="AE51" t="s">
        <v>1206</v>
      </c>
      <c r="AF51" t="s">
        <v>74</v>
      </c>
      <c r="AG51">
        <v>58</v>
      </c>
      <c r="AH51">
        <v>46</v>
      </c>
      <c r="AI51">
        <v>48</v>
      </c>
      <c r="AJ51">
        <v>0</v>
      </c>
      <c r="AK51">
        <v>9</v>
      </c>
      <c r="AL51" t="s">
        <v>1207</v>
      </c>
      <c r="AM51" t="s">
        <v>1208</v>
      </c>
      <c r="AN51" t="s">
        <v>1209</v>
      </c>
      <c r="AO51" t="s">
        <v>1210</v>
      </c>
      <c r="AP51" t="s">
        <v>1211</v>
      </c>
      <c r="AQ51" t="s">
        <v>74</v>
      </c>
      <c r="AR51" t="s">
        <v>1212</v>
      </c>
      <c r="AS51" t="s">
        <v>1213</v>
      </c>
      <c r="AT51" t="s">
        <v>1186</v>
      </c>
      <c r="AU51">
        <v>2015</v>
      </c>
      <c r="AV51">
        <v>35</v>
      </c>
      <c r="AW51">
        <v>3</v>
      </c>
      <c r="AX51" t="s">
        <v>74</v>
      </c>
      <c r="AY51" t="s">
        <v>74</v>
      </c>
      <c r="AZ51" t="s">
        <v>74</v>
      </c>
      <c r="BA51" t="s">
        <v>74</v>
      </c>
      <c r="BB51" t="s">
        <v>74</v>
      </c>
      <c r="BC51" t="s">
        <v>74</v>
      </c>
      <c r="BD51" t="s">
        <v>74</v>
      </c>
      <c r="BE51" t="s">
        <v>1214</v>
      </c>
      <c r="BF51" t="str">
        <f>HYPERLINK("http://dx.doi.org/10.1080/02724634.2014.931285","http://dx.doi.org/10.1080/02724634.2014.931285")</f>
        <v>http://dx.doi.org/10.1080/02724634.2014.931285</v>
      </c>
      <c r="BG51" t="s">
        <v>74</v>
      </c>
      <c r="BH51" t="s">
        <v>74</v>
      </c>
      <c r="BI51">
        <v>21</v>
      </c>
      <c r="BJ51" t="s">
        <v>1215</v>
      </c>
      <c r="BK51" t="s">
        <v>100</v>
      </c>
      <c r="BL51" t="s">
        <v>1215</v>
      </c>
      <c r="BM51" t="s">
        <v>1216</v>
      </c>
      <c r="BN51" t="s">
        <v>74</v>
      </c>
      <c r="BO51" t="s">
        <v>559</v>
      </c>
      <c r="BP51" t="s">
        <v>74</v>
      </c>
      <c r="BQ51" t="s">
        <v>74</v>
      </c>
      <c r="BR51" t="s">
        <v>104</v>
      </c>
      <c r="BS51" t="s">
        <v>1217</v>
      </c>
      <c r="BT51" t="str">
        <f>HYPERLINK("https%3A%2F%2Fwww.webofscience.com%2Fwos%2Fwoscc%2Ffull-record%2FWOS:000355679900011","View Full Record in Web of Science")</f>
        <v>View Full Record in Web of Science</v>
      </c>
    </row>
    <row r="52" spans="1:72" x14ac:dyDescent="0.15">
      <c r="A52" t="s">
        <v>72</v>
      </c>
      <c r="B52" t="s">
        <v>1218</v>
      </c>
      <c r="C52" t="s">
        <v>74</v>
      </c>
      <c r="D52" t="s">
        <v>74</v>
      </c>
      <c r="E52" t="s">
        <v>74</v>
      </c>
      <c r="F52" t="s">
        <v>1219</v>
      </c>
      <c r="G52" t="s">
        <v>74</v>
      </c>
      <c r="H52" t="s">
        <v>74</v>
      </c>
      <c r="I52" t="s">
        <v>1220</v>
      </c>
      <c r="J52" t="s">
        <v>1221</v>
      </c>
      <c r="K52" t="s">
        <v>74</v>
      </c>
      <c r="L52" t="s">
        <v>74</v>
      </c>
      <c r="M52" t="s">
        <v>78</v>
      </c>
      <c r="N52" t="s">
        <v>1222</v>
      </c>
      <c r="O52" t="s">
        <v>1223</v>
      </c>
      <c r="P52" t="s">
        <v>1224</v>
      </c>
      <c r="Q52" t="s">
        <v>1225</v>
      </c>
      <c r="R52" t="s">
        <v>74</v>
      </c>
      <c r="S52" t="s">
        <v>1226</v>
      </c>
      <c r="T52" t="s">
        <v>1227</v>
      </c>
      <c r="U52" t="s">
        <v>1228</v>
      </c>
      <c r="V52" t="s">
        <v>1229</v>
      </c>
      <c r="W52" t="s">
        <v>1230</v>
      </c>
      <c r="X52" t="s">
        <v>1231</v>
      </c>
      <c r="Y52" t="s">
        <v>1232</v>
      </c>
      <c r="Z52" t="s">
        <v>1233</v>
      </c>
      <c r="AA52" t="s">
        <v>1234</v>
      </c>
      <c r="AB52" t="s">
        <v>1235</v>
      </c>
      <c r="AC52" t="s">
        <v>1236</v>
      </c>
      <c r="AD52" t="s">
        <v>1237</v>
      </c>
      <c r="AE52" t="s">
        <v>1238</v>
      </c>
      <c r="AF52" t="s">
        <v>74</v>
      </c>
      <c r="AG52">
        <v>51</v>
      </c>
      <c r="AH52">
        <v>3</v>
      </c>
      <c r="AI52">
        <v>4</v>
      </c>
      <c r="AJ52">
        <v>0</v>
      </c>
      <c r="AK52">
        <v>10</v>
      </c>
      <c r="AL52" t="s">
        <v>1239</v>
      </c>
      <c r="AM52" t="s">
        <v>448</v>
      </c>
      <c r="AN52" t="s">
        <v>1240</v>
      </c>
      <c r="AO52" t="s">
        <v>1241</v>
      </c>
      <c r="AP52" t="s">
        <v>1242</v>
      </c>
      <c r="AQ52" t="s">
        <v>74</v>
      </c>
      <c r="AR52" t="s">
        <v>1243</v>
      </c>
      <c r="AS52" t="s">
        <v>1244</v>
      </c>
      <c r="AT52" t="s">
        <v>1186</v>
      </c>
      <c r="AU52">
        <v>2015</v>
      </c>
      <c r="AV52">
        <v>109</v>
      </c>
      <c r="AW52">
        <v>3</v>
      </c>
      <c r="AX52" t="s">
        <v>74</v>
      </c>
      <c r="AY52" t="s">
        <v>74</v>
      </c>
      <c r="AZ52" t="s">
        <v>454</v>
      </c>
      <c r="BA52" t="s">
        <v>74</v>
      </c>
      <c r="BB52">
        <v>254</v>
      </c>
      <c r="BC52">
        <v>280</v>
      </c>
      <c r="BD52" t="s">
        <v>74</v>
      </c>
      <c r="BE52" t="s">
        <v>1245</v>
      </c>
      <c r="BF52" t="str">
        <f>HYPERLINK("http://dx.doi.org/10.1080/03091929.2015.1025776","http://dx.doi.org/10.1080/03091929.2015.1025776")</f>
        <v>http://dx.doi.org/10.1080/03091929.2015.1025776</v>
      </c>
      <c r="BG52" t="s">
        <v>74</v>
      </c>
      <c r="BH52" t="s">
        <v>74</v>
      </c>
      <c r="BI52">
        <v>27</v>
      </c>
      <c r="BJ52" t="s">
        <v>1246</v>
      </c>
      <c r="BK52" t="s">
        <v>1247</v>
      </c>
      <c r="BL52" t="s">
        <v>1246</v>
      </c>
      <c r="BM52" t="s">
        <v>1248</v>
      </c>
      <c r="BN52" t="s">
        <v>74</v>
      </c>
      <c r="BO52" t="s">
        <v>408</v>
      </c>
      <c r="BP52" t="s">
        <v>74</v>
      </c>
      <c r="BQ52" t="s">
        <v>74</v>
      </c>
      <c r="BR52" t="s">
        <v>104</v>
      </c>
      <c r="BS52" t="s">
        <v>1249</v>
      </c>
      <c r="BT52" t="str">
        <f>HYPERLINK("https%3A%2F%2Fwww.webofscience.com%2Fwos%2Fwoscc%2Ffull-record%2FWOS:000357093200005","View Full Record in Web of Science")</f>
        <v>View Full Record in Web of Science</v>
      </c>
    </row>
    <row r="53" spans="1:72" x14ac:dyDescent="0.15">
      <c r="A53" t="s">
        <v>72</v>
      </c>
      <c r="B53" t="s">
        <v>1250</v>
      </c>
      <c r="C53" t="s">
        <v>74</v>
      </c>
      <c r="D53" t="s">
        <v>74</v>
      </c>
      <c r="E53" t="s">
        <v>74</v>
      </c>
      <c r="F53" t="s">
        <v>1251</v>
      </c>
      <c r="G53" t="s">
        <v>74</v>
      </c>
      <c r="H53" t="s">
        <v>74</v>
      </c>
      <c r="I53" t="s">
        <v>1252</v>
      </c>
      <c r="J53" t="s">
        <v>1253</v>
      </c>
      <c r="K53" t="s">
        <v>74</v>
      </c>
      <c r="L53" t="s">
        <v>74</v>
      </c>
      <c r="M53" t="s">
        <v>78</v>
      </c>
      <c r="N53" t="s">
        <v>79</v>
      </c>
      <c r="O53" t="s">
        <v>74</v>
      </c>
      <c r="P53" t="s">
        <v>74</v>
      </c>
      <c r="Q53" t="s">
        <v>74</v>
      </c>
      <c r="R53" t="s">
        <v>74</v>
      </c>
      <c r="S53" t="s">
        <v>74</v>
      </c>
      <c r="T53" t="s">
        <v>1254</v>
      </c>
      <c r="U53" t="s">
        <v>1255</v>
      </c>
      <c r="V53" t="s">
        <v>1256</v>
      </c>
      <c r="W53" t="s">
        <v>1257</v>
      </c>
      <c r="X53" t="s">
        <v>1258</v>
      </c>
      <c r="Y53" t="s">
        <v>1259</v>
      </c>
      <c r="Z53" t="s">
        <v>1260</v>
      </c>
      <c r="AA53" t="s">
        <v>1261</v>
      </c>
      <c r="AB53" t="s">
        <v>1262</v>
      </c>
      <c r="AC53" t="s">
        <v>1263</v>
      </c>
      <c r="AD53" t="s">
        <v>1264</v>
      </c>
      <c r="AE53" t="s">
        <v>1265</v>
      </c>
      <c r="AF53" t="s">
        <v>74</v>
      </c>
      <c r="AG53">
        <v>60</v>
      </c>
      <c r="AH53">
        <v>15</v>
      </c>
      <c r="AI53">
        <v>15</v>
      </c>
      <c r="AJ53">
        <v>2</v>
      </c>
      <c r="AK53">
        <v>48</v>
      </c>
      <c r="AL53" t="s">
        <v>1239</v>
      </c>
      <c r="AM53" t="s">
        <v>448</v>
      </c>
      <c r="AN53" t="s">
        <v>1240</v>
      </c>
      <c r="AO53" t="s">
        <v>1266</v>
      </c>
      <c r="AP53" t="s">
        <v>1267</v>
      </c>
      <c r="AQ53" t="s">
        <v>74</v>
      </c>
      <c r="AR53" t="s">
        <v>1268</v>
      </c>
      <c r="AS53" t="s">
        <v>1269</v>
      </c>
      <c r="AT53" t="s">
        <v>1186</v>
      </c>
      <c r="AU53">
        <v>2015</v>
      </c>
      <c r="AV53">
        <v>8</v>
      </c>
      <c r="AW53">
        <v>3</v>
      </c>
      <c r="AX53" t="s">
        <v>74</v>
      </c>
      <c r="AY53" t="s">
        <v>74</v>
      </c>
      <c r="AZ53" t="s">
        <v>74</v>
      </c>
      <c r="BA53" t="s">
        <v>74</v>
      </c>
      <c r="BB53">
        <v>371</v>
      </c>
      <c r="BC53">
        <v>377</v>
      </c>
      <c r="BD53" t="s">
        <v>74</v>
      </c>
      <c r="BE53" t="s">
        <v>1270</v>
      </c>
      <c r="BF53" t="str">
        <f>HYPERLINK("http://dx.doi.org/10.1080/17550874.2014.984003","http://dx.doi.org/10.1080/17550874.2014.984003")</f>
        <v>http://dx.doi.org/10.1080/17550874.2014.984003</v>
      </c>
      <c r="BG53" t="s">
        <v>74</v>
      </c>
      <c r="BH53" t="s">
        <v>74</v>
      </c>
      <c r="BI53">
        <v>7</v>
      </c>
      <c r="BJ53" t="s">
        <v>679</v>
      </c>
      <c r="BK53" t="s">
        <v>100</v>
      </c>
      <c r="BL53" t="s">
        <v>679</v>
      </c>
      <c r="BM53" t="s">
        <v>1271</v>
      </c>
      <c r="BN53" t="s">
        <v>74</v>
      </c>
      <c r="BO53" t="s">
        <v>74</v>
      </c>
      <c r="BP53" t="s">
        <v>74</v>
      </c>
      <c r="BQ53" t="s">
        <v>74</v>
      </c>
      <c r="BR53" t="s">
        <v>104</v>
      </c>
      <c r="BS53" t="s">
        <v>1272</v>
      </c>
      <c r="BT53" t="str">
        <f>HYPERLINK("https%3A%2F%2Fwww.webofscience.com%2Fwos%2Fwoscc%2Ffull-record%2FWOS:000354557600002","View Full Record in Web of Science")</f>
        <v>View Full Record in Web of Science</v>
      </c>
    </row>
    <row r="54" spans="1:72" x14ac:dyDescent="0.15">
      <c r="A54" t="s">
        <v>72</v>
      </c>
      <c r="B54" t="s">
        <v>1273</v>
      </c>
      <c r="C54" t="s">
        <v>74</v>
      </c>
      <c r="D54" t="s">
        <v>74</v>
      </c>
      <c r="E54" t="s">
        <v>74</v>
      </c>
      <c r="F54" t="s">
        <v>1274</v>
      </c>
      <c r="G54" t="s">
        <v>74</v>
      </c>
      <c r="H54" t="s">
        <v>74</v>
      </c>
      <c r="I54" t="s">
        <v>1275</v>
      </c>
      <c r="J54" t="s">
        <v>1276</v>
      </c>
      <c r="K54" t="s">
        <v>74</v>
      </c>
      <c r="L54" t="s">
        <v>74</v>
      </c>
      <c r="M54" t="s">
        <v>78</v>
      </c>
      <c r="N54" t="s">
        <v>1277</v>
      </c>
      <c r="O54" t="s">
        <v>74</v>
      </c>
      <c r="P54" t="s">
        <v>74</v>
      </c>
      <c r="Q54" t="s">
        <v>74</v>
      </c>
      <c r="R54" t="s">
        <v>74</v>
      </c>
      <c r="S54" t="s">
        <v>74</v>
      </c>
      <c r="T54" t="s">
        <v>74</v>
      </c>
      <c r="U54" t="s">
        <v>74</v>
      </c>
      <c r="V54" t="s">
        <v>74</v>
      </c>
      <c r="W54" t="s">
        <v>74</v>
      </c>
      <c r="X54" t="s">
        <v>74</v>
      </c>
      <c r="Y54" t="s">
        <v>74</v>
      </c>
      <c r="Z54" t="s">
        <v>74</v>
      </c>
      <c r="AA54" t="s">
        <v>74</v>
      </c>
      <c r="AB54" t="s">
        <v>74</v>
      </c>
      <c r="AC54" t="s">
        <v>74</v>
      </c>
      <c r="AD54" t="s">
        <v>74</v>
      </c>
      <c r="AE54" t="s">
        <v>74</v>
      </c>
      <c r="AF54" t="s">
        <v>74</v>
      </c>
      <c r="AG54">
        <v>0</v>
      </c>
      <c r="AH54">
        <v>0</v>
      </c>
      <c r="AI54">
        <v>0</v>
      </c>
      <c r="AJ54">
        <v>0</v>
      </c>
      <c r="AK54">
        <v>4</v>
      </c>
      <c r="AL54" t="s">
        <v>1278</v>
      </c>
      <c r="AM54" t="s">
        <v>1279</v>
      </c>
      <c r="AN54" t="s">
        <v>1280</v>
      </c>
      <c r="AO54" t="s">
        <v>1281</v>
      </c>
      <c r="AP54" t="s">
        <v>74</v>
      </c>
      <c r="AQ54" t="s">
        <v>74</v>
      </c>
      <c r="AR54" t="s">
        <v>1282</v>
      </c>
      <c r="AS54" t="s">
        <v>1283</v>
      </c>
      <c r="AT54" t="s">
        <v>1284</v>
      </c>
      <c r="AU54">
        <v>2015</v>
      </c>
      <c r="AV54">
        <v>226</v>
      </c>
      <c r="AW54">
        <v>3019</v>
      </c>
      <c r="AX54" t="s">
        <v>74</v>
      </c>
      <c r="AY54" t="s">
        <v>74</v>
      </c>
      <c r="AZ54" t="s">
        <v>74</v>
      </c>
      <c r="BA54" t="s">
        <v>74</v>
      </c>
      <c r="BB54">
        <v>14</v>
      </c>
      <c r="BC54">
        <v>14</v>
      </c>
      <c r="BD54" t="s">
        <v>74</v>
      </c>
      <c r="BE54" t="s">
        <v>74</v>
      </c>
      <c r="BF54" t="s">
        <v>74</v>
      </c>
      <c r="BG54" t="s">
        <v>74</v>
      </c>
      <c r="BH54" t="s">
        <v>74</v>
      </c>
      <c r="BI54">
        <v>1</v>
      </c>
      <c r="BJ54" t="s">
        <v>429</v>
      </c>
      <c r="BK54" t="s">
        <v>100</v>
      </c>
      <c r="BL54" t="s">
        <v>430</v>
      </c>
      <c r="BM54" t="s">
        <v>1285</v>
      </c>
      <c r="BN54" t="s">
        <v>74</v>
      </c>
      <c r="BO54" t="s">
        <v>74</v>
      </c>
      <c r="BP54" t="s">
        <v>74</v>
      </c>
      <c r="BQ54" t="s">
        <v>74</v>
      </c>
      <c r="BR54" t="s">
        <v>104</v>
      </c>
      <c r="BS54" t="s">
        <v>1286</v>
      </c>
      <c r="BT54" t="str">
        <f>HYPERLINK("https%3A%2F%2Fwww.webofscience.com%2Fwos%2Fwoscc%2Ffull-record%2FWOS:000354010900008","View Full Record in Web of Science")</f>
        <v>View Full Record in Web of Science</v>
      </c>
    </row>
    <row r="55" spans="1:72" x14ac:dyDescent="0.15">
      <c r="A55" t="s">
        <v>72</v>
      </c>
      <c r="B55" t="s">
        <v>1287</v>
      </c>
      <c r="C55" t="s">
        <v>74</v>
      </c>
      <c r="D55" t="s">
        <v>74</v>
      </c>
      <c r="E55" t="s">
        <v>74</v>
      </c>
      <c r="F55" t="s">
        <v>1288</v>
      </c>
      <c r="G55" t="s">
        <v>74</v>
      </c>
      <c r="H55" t="s">
        <v>74</v>
      </c>
      <c r="I55" t="s">
        <v>1289</v>
      </c>
      <c r="J55" t="s">
        <v>1290</v>
      </c>
      <c r="K55" t="s">
        <v>74</v>
      </c>
      <c r="L55" t="s">
        <v>74</v>
      </c>
      <c r="M55" t="s">
        <v>78</v>
      </c>
      <c r="N55" t="s">
        <v>1291</v>
      </c>
      <c r="O55" t="s">
        <v>74</v>
      </c>
      <c r="P55" t="s">
        <v>74</v>
      </c>
      <c r="Q55" t="s">
        <v>74</v>
      </c>
      <c r="R55" t="s">
        <v>74</v>
      </c>
      <c r="S55" t="s">
        <v>74</v>
      </c>
      <c r="T55" t="s">
        <v>1292</v>
      </c>
      <c r="U55" t="s">
        <v>1293</v>
      </c>
      <c r="V55" t="s">
        <v>1294</v>
      </c>
      <c r="W55" t="s">
        <v>1295</v>
      </c>
      <c r="X55" t="s">
        <v>1296</v>
      </c>
      <c r="Y55" t="s">
        <v>1297</v>
      </c>
      <c r="Z55" t="s">
        <v>1298</v>
      </c>
      <c r="AA55" t="s">
        <v>1299</v>
      </c>
      <c r="AB55" t="s">
        <v>1300</v>
      </c>
      <c r="AC55" t="s">
        <v>1301</v>
      </c>
      <c r="AD55" t="s">
        <v>1302</v>
      </c>
      <c r="AE55" t="s">
        <v>1303</v>
      </c>
      <c r="AF55" t="s">
        <v>74</v>
      </c>
      <c r="AG55">
        <v>159</v>
      </c>
      <c r="AH55">
        <v>38</v>
      </c>
      <c r="AI55">
        <v>41</v>
      </c>
      <c r="AJ55">
        <v>0</v>
      </c>
      <c r="AK55">
        <v>51</v>
      </c>
      <c r="AL55" t="s">
        <v>120</v>
      </c>
      <c r="AM55" t="s">
        <v>121</v>
      </c>
      <c r="AN55" t="s">
        <v>1304</v>
      </c>
      <c r="AO55" t="s">
        <v>1305</v>
      </c>
      <c r="AP55" t="s">
        <v>1306</v>
      </c>
      <c r="AQ55" t="s">
        <v>74</v>
      </c>
      <c r="AR55" t="s">
        <v>1307</v>
      </c>
      <c r="AS55" t="s">
        <v>1308</v>
      </c>
      <c r="AT55" t="s">
        <v>1309</v>
      </c>
      <c r="AU55">
        <v>2015</v>
      </c>
      <c r="AV55">
        <v>38</v>
      </c>
      <c r="AW55">
        <v>5</v>
      </c>
      <c r="AX55" t="s">
        <v>74</v>
      </c>
      <c r="AY55" t="s">
        <v>74</v>
      </c>
      <c r="AZ55" t="s">
        <v>74</v>
      </c>
      <c r="BA55" t="s">
        <v>74</v>
      </c>
      <c r="BB55">
        <v>591</v>
      </c>
      <c r="BC55">
        <v>606</v>
      </c>
      <c r="BD55" t="s">
        <v>74</v>
      </c>
      <c r="BE55" t="s">
        <v>1310</v>
      </c>
      <c r="BF55" t="str">
        <f>HYPERLINK("http://dx.doi.org/10.1007/s00300-014-1632-5","http://dx.doi.org/10.1007/s00300-014-1632-5")</f>
        <v>http://dx.doi.org/10.1007/s00300-014-1632-5</v>
      </c>
      <c r="BG55" t="s">
        <v>74</v>
      </c>
      <c r="BH55" t="s">
        <v>74</v>
      </c>
      <c r="BI55">
        <v>16</v>
      </c>
      <c r="BJ55" t="s">
        <v>1311</v>
      </c>
      <c r="BK55" t="s">
        <v>100</v>
      </c>
      <c r="BL55" t="s">
        <v>154</v>
      </c>
      <c r="BM55" t="s">
        <v>1312</v>
      </c>
      <c r="BN55" t="s">
        <v>74</v>
      </c>
      <c r="BO55" t="s">
        <v>74</v>
      </c>
      <c r="BP55" t="s">
        <v>74</v>
      </c>
      <c r="BQ55" t="s">
        <v>74</v>
      </c>
      <c r="BR55" t="s">
        <v>104</v>
      </c>
      <c r="BS55" t="s">
        <v>1313</v>
      </c>
      <c r="BT55" t="str">
        <f>HYPERLINK("https%3A%2F%2Fwww.webofscience.com%2Fwos%2Fwoscc%2Ffull-record%2FWOS:000370838600001","View Full Record in Web of Science")</f>
        <v>View Full Record in Web of Science</v>
      </c>
    </row>
    <row r="56" spans="1:72" x14ac:dyDescent="0.15">
      <c r="A56" t="s">
        <v>72</v>
      </c>
      <c r="B56" t="s">
        <v>1314</v>
      </c>
      <c r="C56" t="s">
        <v>74</v>
      </c>
      <c r="D56" t="s">
        <v>74</v>
      </c>
      <c r="E56" t="s">
        <v>74</v>
      </c>
      <c r="F56" t="s">
        <v>1315</v>
      </c>
      <c r="G56" t="s">
        <v>74</v>
      </c>
      <c r="H56" t="s">
        <v>74</v>
      </c>
      <c r="I56" t="s">
        <v>1316</v>
      </c>
      <c r="J56" t="s">
        <v>1290</v>
      </c>
      <c r="K56" t="s">
        <v>74</v>
      </c>
      <c r="L56" t="s">
        <v>74</v>
      </c>
      <c r="M56" t="s">
        <v>78</v>
      </c>
      <c r="N56" t="s">
        <v>79</v>
      </c>
      <c r="O56" t="s">
        <v>74</v>
      </c>
      <c r="P56" t="s">
        <v>74</v>
      </c>
      <c r="Q56" t="s">
        <v>74</v>
      </c>
      <c r="R56" t="s">
        <v>74</v>
      </c>
      <c r="S56" t="s">
        <v>74</v>
      </c>
      <c r="T56" t="s">
        <v>1317</v>
      </c>
      <c r="U56" t="s">
        <v>1318</v>
      </c>
      <c r="V56" t="s">
        <v>1319</v>
      </c>
      <c r="W56" t="s">
        <v>1320</v>
      </c>
      <c r="X56" t="s">
        <v>1321</v>
      </c>
      <c r="Y56" t="s">
        <v>1322</v>
      </c>
      <c r="Z56" t="s">
        <v>1323</v>
      </c>
      <c r="AA56" t="s">
        <v>74</v>
      </c>
      <c r="AB56" t="s">
        <v>1324</v>
      </c>
      <c r="AC56" t="s">
        <v>1325</v>
      </c>
      <c r="AD56" t="s">
        <v>1326</v>
      </c>
      <c r="AE56" t="s">
        <v>1327</v>
      </c>
      <c r="AF56" t="s">
        <v>74</v>
      </c>
      <c r="AG56">
        <v>84</v>
      </c>
      <c r="AH56">
        <v>16</v>
      </c>
      <c r="AI56">
        <v>16</v>
      </c>
      <c r="AJ56">
        <v>1</v>
      </c>
      <c r="AK56">
        <v>20</v>
      </c>
      <c r="AL56" t="s">
        <v>120</v>
      </c>
      <c r="AM56" t="s">
        <v>121</v>
      </c>
      <c r="AN56" t="s">
        <v>122</v>
      </c>
      <c r="AO56" t="s">
        <v>1305</v>
      </c>
      <c r="AP56" t="s">
        <v>1306</v>
      </c>
      <c r="AQ56" t="s">
        <v>74</v>
      </c>
      <c r="AR56" t="s">
        <v>1307</v>
      </c>
      <c r="AS56" t="s">
        <v>1308</v>
      </c>
      <c r="AT56" t="s">
        <v>1309</v>
      </c>
      <c r="AU56">
        <v>2015</v>
      </c>
      <c r="AV56">
        <v>38</v>
      </c>
      <c r="AW56">
        <v>5</v>
      </c>
      <c r="AX56" t="s">
        <v>74</v>
      </c>
      <c r="AY56" t="s">
        <v>74</v>
      </c>
      <c r="AZ56" t="s">
        <v>74</v>
      </c>
      <c r="BA56" t="s">
        <v>74</v>
      </c>
      <c r="BB56">
        <v>665</v>
      </c>
      <c r="BC56">
        <v>676</v>
      </c>
      <c r="BD56" t="s">
        <v>74</v>
      </c>
      <c r="BE56" t="s">
        <v>1328</v>
      </c>
      <c r="BF56" t="str">
        <f>HYPERLINK("http://dx.doi.org/10.1007/s00300-014-1629-0","http://dx.doi.org/10.1007/s00300-014-1629-0")</f>
        <v>http://dx.doi.org/10.1007/s00300-014-1629-0</v>
      </c>
      <c r="BG56" t="s">
        <v>74</v>
      </c>
      <c r="BH56" t="s">
        <v>74</v>
      </c>
      <c r="BI56">
        <v>12</v>
      </c>
      <c r="BJ56" t="s">
        <v>1311</v>
      </c>
      <c r="BK56" t="s">
        <v>100</v>
      </c>
      <c r="BL56" t="s">
        <v>154</v>
      </c>
      <c r="BM56" t="s">
        <v>1312</v>
      </c>
      <c r="BN56" t="s">
        <v>74</v>
      </c>
      <c r="BO56" t="s">
        <v>559</v>
      </c>
      <c r="BP56" t="s">
        <v>74</v>
      </c>
      <c r="BQ56" t="s">
        <v>74</v>
      </c>
      <c r="BR56" t="s">
        <v>104</v>
      </c>
      <c r="BS56" t="s">
        <v>1329</v>
      </c>
      <c r="BT56" t="str">
        <f>HYPERLINK("https%3A%2F%2Fwww.webofscience.com%2Fwos%2Fwoscc%2Ffull-record%2FWOS:000370838600007","View Full Record in Web of Science")</f>
        <v>View Full Record in Web of Science</v>
      </c>
    </row>
    <row r="57" spans="1:72" x14ac:dyDescent="0.15">
      <c r="A57" t="s">
        <v>72</v>
      </c>
      <c r="B57" t="s">
        <v>1330</v>
      </c>
      <c r="C57" t="s">
        <v>74</v>
      </c>
      <c r="D57" t="s">
        <v>74</v>
      </c>
      <c r="E57" t="s">
        <v>74</v>
      </c>
      <c r="F57" t="s">
        <v>1331</v>
      </c>
      <c r="G57" t="s">
        <v>74</v>
      </c>
      <c r="H57" t="s">
        <v>74</v>
      </c>
      <c r="I57" t="s">
        <v>1332</v>
      </c>
      <c r="J57" t="s">
        <v>1290</v>
      </c>
      <c r="K57" t="s">
        <v>74</v>
      </c>
      <c r="L57" t="s">
        <v>74</v>
      </c>
      <c r="M57" t="s">
        <v>78</v>
      </c>
      <c r="N57" t="s">
        <v>79</v>
      </c>
      <c r="O57" t="s">
        <v>74</v>
      </c>
      <c r="P57" t="s">
        <v>74</v>
      </c>
      <c r="Q57" t="s">
        <v>74</v>
      </c>
      <c r="R57" t="s">
        <v>74</v>
      </c>
      <c r="S57" t="s">
        <v>74</v>
      </c>
      <c r="T57" t="s">
        <v>1333</v>
      </c>
      <c r="U57" t="s">
        <v>1334</v>
      </c>
      <c r="V57" t="s">
        <v>1335</v>
      </c>
      <c r="W57" t="s">
        <v>1336</v>
      </c>
      <c r="X57" t="s">
        <v>1337</v>
      </c>
      <c r="Y57" t="s">
        <v>1338</v>
      </c>
      <c r="Z57" t="s">
        <v>1339</v>
      </c>
      <c r="AA57" t="s">
        <v>1340</v>
      </c>
      <c r="AB57" t="s">
        <v>1341</v>
      </c>
      <c r="AC57" t="s">
        <v>74</v>
      </c>
      <c r="AD57" t="s">
        <v>74</v>
      </c>
      <c r="AE57" t="s">
        <v>74</v>
      </c>
      <c r="AF57" t="s">
        <v>74</v>
      </c>
      <c r="AG57">
        <v>41</v>
      </c>
      <c r="AH57">
        <v>5</v>
      </c>
      <c r="AI57">
        <v>5</v>
      </c>
      <c r="AJ57">
        <v>1</v>
      </c>
      <c r="AK57">
        <v>9</v>
      </c>
      <c r="AL57" t="s">
        <v>120</v>
      </c>
      <c r="AM57" t="s">
        <v>121</v>
      </c>
      <c r="AN57" t="s">
        <v>122</v>
      </c>
      <c r="AO57" t="s">
        <v>1305</v>
      </c>
      <c r="AP57" t="s">
        <v>1306</v>
      </c>
      <c r="AQ57" t="s">
        <v>74</v>
      </c>
      <c r="AR57" t="s">
        <v>1307</v>
      </c>
      <c r="AS57" t="s">
        <v>1308</v>
      </c>
      <c r="AT57" t="s">
        <v>1309</v>
      </c>
      <c r="AU57">
        <v>2015</v>
      </c>
      <c r="AV57">
        <v>38</v>
      </c>
      <c r="AW57">
        <v>5</v>
      </c>
      <c r="AX57" t="s">
        <v>74</v>
      </c>
      <c r="AY57" t="s">
        <v>74</v>
      </c>
      <c r="AZ57" t="s">
        <v>74</v>
      </c>
      <c r="BA57" t="s">
        <v>74</v>
      </c>
      <c r="BB57">
        <v>733</v>
      </c>
      <c r="BC57">
        <v>740</v>
      </c>
      <c r="BD57" t="s">
        <v>74</v>
      </c>
      <c r="BE57" t="s">
        <v>1342</v>
      </c>
      <c r="BF57" t="str">
        <f>HYPERLINK("http://dx.doi.org/10.1007/s00300-014-1612-9","http://dx.doi.org/10.1007/s00300-014-1612-9")</f>
        <v>http://dx.doi.org/10.1007/s00300-014-1612-9</v>
      </c>
      <c r="BG57" t="s">
        <v>74</v>
      </c>
      <c r="BH57" t="s">
        <v>74</v>
      </c>
      <c r="BI57">
        <v>8</v>
      </c>
      <c r="BJ57" t="s">
        <v>1311</v>
      </c>
      <c r="BK57" t="s">
        <v>100</v>
      </c>
      <c r="BL57" t="s">
        <v>154</v>
      </c>
      <c r="BM57" t="s">
        <v>1312</v>
      </c>
      <c r="BN57" t="s">
        <v>74</v>
      </c>
      <c r="BO57" t="s">
        <v>74</v>
      </c>
      <c r="BP57" t="s">
        <v>74</v>
      </c>
      <c r="BQ57" t="s">
        <v>74</v>
      </c>
      <c r="BR57" t="s">
        <v>104</v>
      </c>
      <c r="BS57" t="s">
        <v>1343</v>
      </c>
      <c r="BT57" t="str">
        <f>HYPERLINK("https%3A%2F%2Fwww.webofscience.com%2Fwos%2Fwoscc%2Ffull-record%2FWOS:000370838600012","View Full Record in Web of Science")</f>
        <v>View Full Record in Web of Science</v>
      </c>
    </row>
    <row r="58" spans="1:72" x14ac:dyDescent="0.15">
      <c r="A58" t="s">
        <v>72</v>
      </c>
      <c r="B58" t="s">
        <v>1344</v>
      </c>
      <c r="C58" t="s">
        <v>74</v>
      </c>
      <c r="D58" t="s">
        <v>74</v>
      </c>
      <c r="E58" t="s">
        <v>74</v>
      </c>
      <c r="F58" t="s">
        <v>1345</v>
      </c>
      <c r="G58" t="s">
        <v>74</v>
      </c>
      <c r="H58" t="s">
        <v>74</v>
      </c>
      <c r="I58" t="s">
        <v>1346</v>
      </c>
      <c r="J58" t="s">
        <v>1290</v>
      </c>
      <c r="K58" t="s">
        <v>74</v>
      </c>
      <c r="L58" t="s">
        <v>74</v>
      </c>
      <c r="M58" t="s">
        <v>78</v>
      </c>
      <c r="N58" t="s">
        <v>79</v>
      </c>
      <c r="O58" t="s">
        <v>74</v>
      </c>
      <c r="P58" t="s">
        <v>74</v>
      </c>
      <c r="Q58" t="s">
        <v>74</v>
      </c>
      <c r="R58" t="s">
        <v>74</v>
      </c>
      <c r="S58" t="s">
        <v>74</v>
      </c>
      <c r="T58" t="s">
        <v>1347</v>
      </c>
      <c r="U58" t="s">
        <v>1348</v>
      </c>
      <c r="V58" t="s">
        <v>1349</v>
      </c>
      <c r="W58" t="s">
        <v>1350</v>
      </c>
      <c r="X58" t="s">
        <v>83</v>
      </c>
      <c r="Y58" t="s">
        <v>1351</v>
      </c>
      <c r="Z58" t="s">
        <v>1352</v>
      </c>
      <c r="AA58" t="s">
        <v>1353</v>
      </c>
      <c r="AB58" t="s">
        <v>1354</v>
      </c>
      <c r="AC58" t="s">
        <v>1355</v>
      </c>
      <c r="AD58" t="s">
        <v>1355</v>
      </c>
      <c r="AE58" t="s">
        <v>1356</v>
      </c>
      <c r="AF58" t="s">
        <v>74</v>
      </c>
      <c r="AG58">
        <v>32</v>
      </c>
      <c r="AH58">
        <v>6</v>
      </c>
      <c r="AI58">
        <v>6</v>
      </c>
      <c r="AJ58">
        <v>1</v>
      </c>
      <c r="AK58">
        <v>17</v>
      </c>
      <c r="AL58" t="s">
        <v>120</v>
      </c>
      <c r="AM58" t="s">
        <v>121</v>
      </c>
      <c r="AN58" t="s">
        <v>122</v>
      </c>
      <c r="AO58" t="s">
        <v>1305</v>
      </c>
      <c r="AP58" t="s">
        <v>1306</v>
      </c>
      <c r="AQ58" t="s">
        <v>74</v>
      </c>
      <c r="AR58" t="s">
        <v>1307</v>
      </c>
      <c r="AS58" t="s">
        <v>1308</v>
      </c>
      <c r="AT58" t="s">
        <v>1309</v>
      </c>
      <c r="AU58">
        <v>2015</v>
      </c>
      <c r="AV58">
        <v>38</v>
      </c>
      <c r="AW58">
        <v>5</v>
      </c>
      <c r="AX58" t="s">
        <v>74</v>
      </c>
      <c r="AY58" t="s">
        <v>74</v>
      </c>
      <c r="AZ58" t="s">
        <v>74</v>
      </c>
      <c r="BA58" t="s">
        <v>74</v>
      </c>
      <c r="BB58">
        <v>741</v>
      </c>
      <c r="BC58">
        <v>746</v>
      </c>
      <c r="BD58" t="s">
        <v>74</v>
      </c>
      <c r="BE58" t="s">
        <v>1357</v>
      </c>
      <c r="BF58" t="str">
        <f>HYPERLINK("http://dx.doi.org/10.1007/s00300-014-1618-3","http://dx.doi.org/10.1007/s00300-014-1618-3")</f>
        <v>http://dx.doi.org/10.1007/s00300-014-1618-3</v>
      </c>
      <c r="BG58" t="s">
        <v>74</v>
      </c>
      <c r="BH58" t="s">
        <v>74</v>
      </c>
      <c r="BI58">
        <v>6</v>
      </c>
      <c r="BJ58" t="s">
        <v>1311</v>
      </c>
      <c r="BK58" t="s">
        <v>100</v>
      </c>
      <c r="BL58" t="s">
        <v>154</v>
      </c>
      <c r="BM58" t="s">
        <v>1312</v>
      </c>
      <c r="BN58" t="s">
        <v>74</v>
      </c>
      <c r="BO58" t="s">
        <v>248</v>
      </c>
      <c r="BP58" t="s">
        <v>74</v>
      </c>
      <c r="BQ58" t="s">
        <v>74</v>
      </c>
      <c r="BR58" t="s">
        <v>104</v>
      </c>
      <c r="BS58" t="s">
        <v>1358</v>
      </c>
      <c r="BT58" t="str">
        <f>HYPERLINK("https%3A%2F%2Fwww.webofscience.com%2Fwos%2Fwoscc%2Ffull-record%2FWOS:000370838600013","View Full Record in Web of Science")</f>
        <v>View Full Record in Web of Science</v>
      </c>
    </row>
    <row r="59" spans="1:72" x14ac:dyDescent="0.15">
      <c r="A59" t="s">
        <v>72</v>
      </c>
      <c r="B59" t="s">
        <v>1359</v>
      </c>
      <c r="C59" t="s">
        <v>74</v>
      </c>
      <c r="D59" t="s">
        <v>74</v>
      </c>
      <c r="E59" t="s">
        <v>74</v>
      </c>
      <c r="F59" t="s">
        <v>1360</v>
      </c>
      <c r="G59" t="s">
        <v>74</v>
      </c>
      <c r="H59" t="s">
        <v>74</v>
      </c>
      <c r="I59" t="s">
        <v>1361</v>
      </c>
      <c r="J59" t="s">
        <v>1362</v>
      </c>
      <c r="K59" t="s">
        <v>74</v>
      </c>
      <c r="L59" t="s">
        <v>74</v>
      </c>
      <c r="M59" t="s">
        <v>78</v>
      </c>
      <c r="N59" t="s">
        <v>79</v>
      </c>
      <c r="O59" t="s">
        <v>74</v>
      </c>
      <c r="P59" t="s">
        <v>74</v>
      </c>
      <c r="Q59" t="s">
        <v>74</v>
      </c>
      <c r="R59" t="s">
        <v>74</v>
      </c>
      <c r="S59" t="s">
        <v>74</v>
      </c>
      <c r="T59" t="s">
        <v>1363</v>
      </c>
      <c r="U59" t="s">
        <v>1364</v>
      </c>
      <c r="V59" t="s">
        <v>1365</v>
      </c>
      <c r="W59" t="s">
        <v>1366</v>
      </c>
      <c r="X59" t="s">
        <v>1367</v>
      </c>
      <c r="Y59" t="s">
        <v>1368</v>
      </c>
      <c r="Z59" t="s">
        <v>1369</v>
      </c>
      <c r="AA59" t="s">
        <v>74</v>
      </c>
      <c r="AB59" t="s">
        <v>1370</v>
      </c>
      <c r="AC59" t="s">
        <v>1371</v>
      </c>
      <c r="AD59" t="s">
        <v>1372</v>
      </c>
      <c r="AE59" t="s">
        <v>1373</v>
      </c>
      <c r="AF59" t="s">
        <v>74</v>
      </c>
      <c r="AG59">
        <v>17</v>
      </c>
      <c r="AH59">
        <v>9</v>
      </c>
      <c r="AI59">
        <v>9</v>
      </c>
      <c r="AJ59">
        <v>1</v>
      </c>
      <c r="AK59">
        <v>2</v>
      </c>
      <c r="AL59" t="s">
        <v>1158</v>
      </c>
      <c r="AM59" t="s">
        <v>787</v>
      </c>
      <c r="AN59" t="s">
        <v>1159</v>
      </c>
      <c r="AO59" t="s">
        <v>1374</v>
      </c>
      <c r="AP59" t="s">
        <v>74</v>
      </c>
      <c r="AQ59" t="s">
        <v>74</v>
      </c>
      <c r="AR59" t="s">
        <v>1375</v>
      </c>
      <c r="AS59" t="s">
        <v>1376</v>
      </c>
      <c r="AT59" t="s">
        <v>1309</v>
      </c>
      <c r="AU59">
        <v>2015</v>
      </c>
      <c r="AV59">
        <v>12</v>
      </c>
      <c r="AW59" t="s">
        <v>74</v>
      </c>
      <c r="AX59" t="s">
        <v>74</v>
      </c>
      <c r="AY59" t="s">
        <v>74</v>
      </c>
      <c r="AZ59" t="s">
        <v>74</v>
      </c>
      <c r="BA59" t="s">
        <v>74</v>
      </c>
      <c r="BB59">
        <v>81</v>
      </c>
      <c r="BC59">
        <v>95</v>
      </c>
      <c r="BD59" t="s">
        <v>74</v>
      </c>
      <c r="BE59" t="s">
        <v>1377</v>
      </c>
      <c r="BF59" t="str">
        <f>HYPERLINK("http://dx.doi.org/10.1016/j.spasta.2015.03.003","http://dx.doi.org/10.1016/j.spasta.2015.03.003")</f>
        <v>http://dx.doi.org/10.1016/j.spasta.2015.03.003</v>
      </c>
      <c r="BG59" t="s">
        <v>74</v>
      </c>
      <c r="BH59" t="s">
        <v>74</v>
      </c>
      <c r="BI59">
        <v>15</v>
      </c>
      <c r="BJ59" t="s">
        <v>1378</v>
      </c>
      <c r="BK59" t="s">
        <v>100</v>
      </c>
      <c r="BL59" t="s">
        <v>1379</v>
      </c>
      <c r="BM59" t="s">
        <v>1380</v>
      </c>
      <c r="BN59" t="s">
        <v>74</v>
      </c>
      <c r="BO59" t="s">
        <v>74</v>
      </c>
      <c r="BP59" t="s">
        <v>74</v>
      </c>
      <c r="BQ59" t="s">
        <v>74</v>
      </c>
      <c r="BR59" t="s">
        <v>104</v>
      </c>
      <c r="BS59" t="s">
        <v>1381</v>
      </c>
      <c r="BT59" t="str">
        <f>HYPERLINK("https%3A%2F%2Fwww.webofscience.com%2Fwos%2Fwoscc%2Ffull-record%2FWOS:000368912200006","View Full Record in Web of Science")</f>
        <v>View Full Record in Web of Science</v>
      </c>
    </row>
    <row r="60" spans="1:72" x14ac:dyDescent="0.15">
      <c r="A60" t="s">
        <v>72</v>
      </c>
      <c r="B60" t="s">
        <v>1382</v>
      </c>
      <c r="C60" t="s">
        <v>74</v>
      </c>
      <c r="D60" t="s">
        <v>74</v>
      </c>
      <c r="E60" t="s">
        <v>74</v>
      </c>
      <c r="F60" t="s">
        <v>1383</v>
      </c>
      <c r="G60" t="s">
        <v>74</v>
      </c>
      <c r="H60" t="s">
        <v>74</v>
      </c>
      <c r="I60" t="s">
        <v>1384</v>
      </c>
      <c r="J60" t="s">
        <v>1385</v>
      </c>
      <c r="K60" t="s">
        <v>74</v>
      </c>
      <c r="L60" t="s">
        <v>74</v>
      </c>
      <c r="M60" t="s">
        <v>78</v>
      </c>
      <c r="N60" t="s">
        <v>52</v>
      </c>
      <c r="O60" t="s">
        <v>74</v>
      </c>
      <c r="P60" t="s">
        <v>74</v>
      </c>
      <c r="Q60" t="s">
        <v>74</v>
      </c>
      <c r="R60" t="s">
        <v>74</v>
      </c>
      <c r="S60" t="s">
        <v>74</v>
      </c>
      <c r="T60" t="s">
        <v>74</v>
      </c>
      <c r="U60" t="s">
        <v>74</v>
      </c>
      <c r="V60" t="s">
        <v>74</v>
      </c>
      <c r="W60" t="s">
        <v>1386</v>
      </c>
      <c r="X60" t="s">
        <v>1387</v>
      </c>
      <c r="Y60" t="s">
        <v>74</v>
      </c>
      <c r="Z60" t="s">
        <v>1388</v>
      </c>
      <c r="AA60" t="s">
        <v>1389</v>
      </c>
      <c r="AB60" t="s">
        <v>1390</v>
      </c>
      <c r="AC60" t="s">
        <v>74</v>
      </c>
      <c r="AD60" t="s">
        <v>74</v>
      </c>
      <c r="AE60" t="s">
        <v>74</v>
      </c>
      <c r="AF60" t="s">
        <v>74</v>
      </c>
      <c r="AG60">
        <v>0</v>
      </c>
      <c r="AH60">
        <v>0</v>
      </c>
      <c r="AI60">
        <v>0</v>
      </c>
      <c r="AJ60">
        <v>0</v>
      </c>
      <c r="AK60">
        <v>3</v>
      </c>
      <c r="AL60" t="s">
        <v>1391</v>
      </c>
      <c r="AM60" t="s">
        <v>1392</v>
      </c>
      <c r="AN60" t="s">
        <v>1393</v>
      </c>
      <c r="AO60" t="s">
        <v>1394</v>
      </c>
      <c r="AP60" t="s">
        <v>1395</v>
      </c>
      <c r="AQ60" t="s">
        <v>74</v>
      </c>
      <c r="AR60" t="s">
        <v>1385</v>
      </c>
      <c r="AS60" t="s">
        <v>1396</v>
      </c>
      <c r="AT60" t="s">
        <v>1309</v>
      </c>
      <c r="AU60">
        <v>2015</v>
      </c>
      <c r="AV60">
        <v>58</v>
      </c>
      <c r="AW60">
        <v>5</v>
      </c>
      <c r="AX60" t="s">
        <v>74</v>
      </c>
      <c r="AY60" t="s">
        <v>74</v>
      </c>
      <c r="AZ60" t="s">
        <v>74</v>
      </c>
      <c r="BA60" t="s">
        <v>74</v>
      </c>
      <c r="BB60">
        <v>193</v>
      </c>
      <c r="BC60">
        <v>194</v>
      </c>
      <c r="BD60" t="s">
        <v>74</v>
      </c>
      <c r="BE60" t="s">
        <v>74</v>
      </c>
      <c r="BF60" t="s">
        <v>74</v>
      </c>
      <c r="BG60" t="s">
        <v>74</v>
      </c>
      <c r="BH60" t="s">
        <v>74</v>
      </c>
      <c r="BI60">
        <v>2</v>
      </c>
      <c r="BJ60" t="s">
        <v>383</v>
      </c>
      <c r="BK60" t="s">
        <v>100</v>
      </c>
      <c r="BL60" t="s">
        <v>383</v>
      </c>
      <c r="BM60" t="s">
        <v>1397</v>
      </c>
      <c r="BN60" t="s">
        <v>74</v>
      </c>
      <c r="BO60" t="s">
        <v>74</v>
      </c>
      <c r="BP60" t="s">
        <v>74</v>
      </c>
      <c r="BQ60" t="s">
        <v>74</v>
      </c>
      <c r="BR60" t="s">
        <v>104</v>
      </c>
      <c r="BS60" t="s">
        <v>1398</v>
      </c>
      <c r="BT60" t="str">
        <f>HYPERLINK("https%3A%2F%2Fwww.webofscience.com%2Fwos%2Fwoscc%2Ffull-record%2FWOS:000360861200034","View Full Record in Web of Science")</f>
        <v>View Full Record in Web of Science</v>
      </c>
    </row>
    <row r="61" spans="1:72" x14ac:dyDescent="0.15">
      <c r="A61" t="s">
        <v>72</v>
      </c>
      <c r="B61" t="s">
        <v>1399</v>
      </c>
      <c r="C61" t="s">
        <v>74</v>
      </c>
      <c r="D61" t="s">
        <v>74</v>
      </c>
      <c r="E61" t="s">
        <v>74</v>
      </c>
      <c r="F61" t="s">
        <v>1400</v>
      </c>
      <c r="G61" t="s">
        <v>74</v>
      </c>
      <c r="H61" t="s">
        <v>74</v>
      </c>
      <c r="I61" t="s">
        <v>1401</v>
      </c>
      <c r="J61" t="s">
        <v>1402</v>
      </c>
      <c r="K61" t="s">
        <v>74</v>
      </c>
      <c r="L61" t="s">
        <v>74</v>
      </c>
      <c r="M61" t="s">
        <v>78</v>
      </c>
      <c r="N61" t="s">
        <v>79</v>
      </c>
      <c r="O61" t="s">
        <v>74</v>
      </c>
      <c r="P61" t="s">
        <v>74</v>
      </c>
      <c r="Q61" t="s">
        <v>74</v>
      </c>
      <c r="R61" t="s">
        <v>74</v>
      </c>
      <c r="S61" t="s">
        <v>74</v>
      </c>
      <c r="T61" t="s">
        <v>74</v>
      </c>
      <c r="U61" t="s">
        <v>1403</v>
      </c>
      <c r="V61" t="s">
        <v>1404</v>
      </c>
      <c r="W61" t="s">
        <v>1405</v>
      </c>
      <c r="X61" t="s">
        <v>1406</v>
      </c>
      <c r="Y61" t="s">
        <v>1407</v>
      </c>
      <c r="Z61" t="s">
        <v>1408</v>
      </c>
      <c r="AA61" t="s">
        <v>74</v>
      </c>
      <c r="AB61" t="s">
        <v>74</v>
      </c>
      <c r="AC61" t="s">
        <v>1409</v>
      </c>
      <c r="AD61" t="s">
        <v>1409</v>
      </c>
      <c r="AE61" t="s">
        <v>1410</v>
      </c>
      <c r="AF61" t="s">
        <v>74</v>
      </c>
      <c r="AG61">
        <v>20</v>
      </c>
      <c r="AH61">
        <v>2</v>
      </c>
      <c r="AI61">
        <v>2</v>
      </c>
      <c r="AJ61">
        <v>3</v>
      </c>
      <c r="AK61">
        <v>32</v>
      </c>
      <c r="AL61" t="s">
        <v>1411</v>
      </c>
      <c r="AM61" t="s">
        <v>1412</v>
      </c>
      <c r="AN61" t="s">
        <v>1413</v>
      </c>
      <c r="AO61" t="s">
        <v>1414</v>
      </c>
      <c r="AP61" t="s">
        <v>1415</v>
      </c>
      <c r="AQ61" t="s">
        <v>74</v>
      </c>
      <c r="AR61" t="s">
        <v>1416</v>
      </c>
      <c r="AS61" t="s">
        <v>1417</v>
      </c>
      <c r="AT61" t="s">
        <v>1418</v>
      </c>
      <c r="AU61">
        <v>2015</v>
      </c>
      <c r="AV61">
        <v>53</v>
      </c>
      <c r="AW61">
        <v>5</v>
      </c>
      <c r="AX61" t="s">
        <v>74</v>
      </c>
      <c r="AY61" t="s">
        <v>74</v>
      </c>
      <c r="AZ61" t="s">
        <v>74</v>
      </c>
      <c r="BA61" t="s">
        <v>74</v>
      </c>
      <c r="BB61">
        <v>811</v>
      </c>
      <c r="BC61">
        <v>815</v>
      </c>
      <c r="BD61" t="s">
        <v>74</v>
      </c>
      <c r="BE61" t="s">
        <v>1419</v>
      </c>
      <c r="BF61" t="str">
        <f>HYPERLINK("http://dx.doi.org/10.1093/chromsci/bmu098","http://dx.doi.org/10.1093/chromsci/bmu098")</f>
        <v>http://dx.doi.org/10.1093/chromsci/bmu098</v>
      </c>
      <c r="BG61" t="s">
        <v>74</v>
      </c>
      <c r="BH61" t="s">
        <v>74</v>
      </c>
      <c r="BI61">
        <v>5</v>
      </c>
      <c r="BJ61" t="s">
        <v>1420</v>
      </c>
      <c r="BK61" t="s">
        <v>100</v>
      </c>
      <c r="BL61" t="s">
        <v>1421</v>
      </c>
      <c r="BM61" t="s">
        <v>1422</v>
      </c>
      <c r="BN61">
        <v>25146498</v>
      </c>
      <c r="BO61" t="s">
        <v>74</v>
      </c>
      <c r="BP61" t="s">
        <v>74</v>
      </c>
      <c r="BQ61" t="s">
        <v>74</v>
      </c>
      <c r="BR61" t="s">
        <v>104</v>
      </c>
      <c r="BS61" t="s">
        <v>1423</v>
      </c>
      <c r="BT61" t="str">
        <f>HYPERLINK("https%3A%2F%2Fwww.webofscience.com%2Fwos%2Fwoscc%2Ffull-record%2FWOS:000360833600025","View Full Record in Web of Science")</f>
        <v>View Full Record in Web of Science</v>
      </c>
    </row>
    <row r="62" spans="1:72" x14ac:dyDescent="0.15">
      <c r="A62" t="s">
        <v>72</v>
      </c>
      <c r="B62" t="s">
        <v>1424</v>
      </c>
      <c r="C62" t="s">
        <v>74</v>
      </c>
      <c r="D62" t="s">
        <v>74</v>
      </c>
      <c r="E62" t="s">
        <v>74</v>
      </c>
      <c r="F62" t="s">
        <v>1425</v>
      </c>
      <c r="G62" t="s">
        <v>74</v>
      </c>
      <c r="H62" t="s">
        <v>74</v>
      </c>
      <c r="I62" t="s">
        <v>1426</v>
      </c>
      <c r="J62" t="s">
        <v>1427</v>
      </c>
      <c r="K62" t="s">
        <v>74</v>
      </c>
      <c r="L62" t="s">
        <v>74</v>
      </c>
      <c r="M62" t="s">
        <v>78</v>
      </c>
      <c r="N62" t="s">
        <v>79</v>
      </c>
      <c r="O62" t="s">
        <v>74</v>
      </c>
      <c r="P62" t="s">
        <v>74</v>
      </c>
      <c r="Q62" t="s">
        <v>74</v>
      </c>
      <c r="R62" t="s">
        <v>74</v>
      </c>
      <c r="S62" t="s">
        <v>74</v>
      </c>
      <c r="T62" t="s">
        <v>1428</v>
      </c>
      <c r="U62" t="s">
        <v>1429</v>
      </c>
      <c r="V62" t="s">
        <v>1430</v>
      </c>
      <c r="W62" t="s">
        <v>1431</v>
      </c>
      <c r="X62" t="s">
        <v>1432</v>
      </c>
      <c r="Y62" t="s">
        <v>1433</v>
      </c>
      <c r="Z62" t="s">
        <v>1434</v>
      </c>
      <c r="AA62" t="s">
        <v>74</v>
      </c>
      <c r="AB62" t="s">
        <v>1435</v>
      </c>
      <c r="AC62" t="s">
        <v>74</v>
      </c>
      <c r="AD62" t="s">
        <v>74</v>
      </c>
      <c r="AE62" t="s">
        <v>74</v>
      </c>
      <c r="AF62" t="s">
        <v>74</v>
      </c>
      <c r="AG62">
        <v>43</v>
      </c>
      <c r="AH62">
        <v>1</v>
      </c>
      <c r="AI62">
        <v>1</v>
      </c>
      <c r="AJ62">
        <v>2</v>
      </c>
      <c r="AK62">
        <v>30</v>
      </c>
      <c r="AL62" t="s">
        <v>266</v>
      </c>
      <c r="AM62" t="s">
        <v>267</v>
      </c>
      <c r="AN62" t="s">
        <v>268</v>
      </c>
      <c r="AO62" t="s">
        <v>1436</v>
      </c>
      <c r="AP62" t="s">
        <v>74</v>
      </c>
      <c r="AQ62" t="s">
        <v>74</v>
      </c>
      <c r="AR62" t="s">
        <v>1427</v>
      </c>
      <c r="AS62" t="s">
        <v>1437</v>
      </c>
      <c r="AT62" t="s">
        <v>1309</v>
      </c>
      <c r="AU62">
        <v>2015</v>
      </c>
      <c r="AV62">
        <v>3</v>
      </c>
      <c r="AW62">
        <v>5</v>
      </c>
      <c r="AX62" t="s">
        <v>74</v>
      </c>
      <c r="AY62" t="s">
        <v>74</v>
      </c>
      <c r="AZ62" t="s">
        <v>74</v>
      </c>
      <c r="BA62" t="s">
        <v>74</v>
      </c>
      <c r="BB62">
        <v>143</v>
      </c>
      <c r="BC62">
        <v>158</v>
      </c>
      <c r="BD62" t="s">
        <v>74</v>
      </c>
      <c r="BE62" t="s">
        <v>1438</v>
      </c>
      <c r="BF62" t="str">
        <f>HYPERLINK("http://dx.doi.org/10.1002/2014EF000266","http://dx.doi.org/10.1002/2014EF000266")</f>
        <v>http://dx.doi.org/10.1002/2014EF000266</v>
      </c>
      <c r="BG62" t="s">
        <v>74</v>
      </c>
      <c r="BH62" t="s">
        <v>74</v>
      </c>
      <c r="BI62">
        <v>16</v>
      </c>
      <c r="BJ62" t="s">
        <v>1439</v>
      </c>
      <c r="BK62" t="s">
        <v>100</v>
      </c>
      <c r="BL62" t="s">
        <v>1440</v>
      </c>
      <c r="BM62" t="s">
        <v>1441</v>
      </c>
      <c r="BN62" t="s">
        <v>74</v>
      </c>
      <c r="BO62" t="s">
        <v>559</v>
      </c>
      <c r="BP62" t="s">
        <v>74</v>
      </c>
      <c r="BQ62" t="s">
        <v>74</v>
      </c>
      <c r="BR62" t="s">
        <v>104</v>
      </c>
      <c r="BS62" t="s">
        <v>1442</v>
      </c>
      <c r="BT62" t="str">
        <f>HYPERLINK("https%3A%2F%2Fwww.webofscience.com%2Fwos%2Fwoscc%2Ffull-record%2FWOS:000358141200001","View Full Record in Web of Science")</f>
        <v>View Full Record in Web of Science</v>
      </c>
    </row>
    <row r="63" spans="1:72" x14ac:dyDescent="0.15">
      <c r="A63" t="s">
        <v>72</v>
      </c>
      <c r="B63" t="s">
        <v>1443</v>
      </c>
      <c r="C63" t="s">
        <v>74</v>
      </c>
      <c r="D63" t="s">
        <v>74</v>
      </c>
      <c r="E63" t="s">
        <v>74</v>
      </c>
      <c r="F63" t="s">
        <v>1444</v>
      </c>
      <c r="G63" t="s">
        <v>74</v>
      </c>
      <c r="H63" t="s">
        <v>74</v>
      </c>
      <c r="I63" t="s">
        <v>1445</v>
      </c>
      <c r="J63" t="s">
        <v>1446</v>
      </c>
      <c r="K63" t="s">
        <v>74</v>
      </c>
      <c r="L63" t="s">
        <v>74</v>
      </c>
      <c r="M63" t="s">
        <v>78</v>
      </c>
      <c r="N63" t="s">
        <v>79</v>
      </c>
      <c r="O63" t="s">
        <v>74</v>
      </c>
      <c r="P63" t="s">
        <v>74</v>
      </c>
      <c r="Q63" t="s">
        <v>74</v>
      </c>
      <c r="R63" t="s">
        <v>74</v>
      </c>
      <c r="S63" t="s">
        <v>74</v>
      </c>
      <c r="T63" t="s">
        <v>74</v>
      </c>
      <c r="U63" t="s">
        <v>1447</v>
      </c>
      <c r="V63" t="s">
        <v>1448</v>
      </c>
      <c r="W63" t="s">
        <v>1449</v>
      </c>
      <c r="X63" t="s">
        <v>1450</v>
      </c>
      <c r="Y63" t="s">
        <v>1451</v>
      </c>
      <c r="Z63" t="s">
        <v>74</v>
      </c>
      <c r="AA63" t="s">
        <v>1452</v>
      </c>
      <c r="AB63" t="s">
        <v>1453</v>
      </c>
      <c r="AC63" t="s">
        <v>1454</v>
      </c>
      <c r="AD63" t="s">
        <v>1455</v>
      </c>
      <c r="AE63" t="s">
        <v>1456</v>
      </c>
      <c r="AF63" t="s">
        <v>74</v>
      </c>
      <c r="AG63">
        <v>33</v>
      </c>
      <c r="AH63">
        <v>32</v>
      </c>
      <c r="AI63">
        <v>35</v>
      </c>
      <c r="AJ63">
        <v>0</v>
      </c>
      <c r="AK63">
        <v>24</v>
      </c>
      <c r="AL63" t="s">
        <v>1457</v>
      </c>
      <c r="AM63" t="s">
        <v>1458</v>
      </c>
      <c r="AN63" t="s">
        <v>1459</v>
      </c>
      <c r="AO63" t="s">
        <v>1460</v>
      </c>
      <c r="AP63" t="s">
        <v>1461</v>
      </c>
      <c r="AQ63" t="s">
        <v>74</v>
      </c>
      <c r="AR63" t="s">
        <v>1446</v>
      </c>
      <c r="AS63" t="s">
        <v>220</v>
      </c>
      <c r="AT63" t="s">
        <v>1309</v>
      </c>
      <c r="AU63">
        <v>2015</v>
      </c>
      <c r="AV63">
        <v>43</v>
      </c>
      <c r="AW63">
        <v>5</v>
      </c>
      <c r="AX63" t="s">
        <v>74</v>
      </c>
      <c r="AY63" t="s">
        <v>74</v>
      </c>
      <c r="AZ63" t="s">
        <v>74</v>
      </c>
      <c r="BA63" t="s">
        <v>74</v>
      </c>
      <c r="BB63">
        <v>455</v>
      </c>
      <c r="BC63">
        <v>458</v>
      </c>
      <c r="BD63" t="s">
        <v>74</v>
      </c>
      <c r="BE63" t="s">
        <v>1462</v>
      </c>
      <c r="BF63" t="str">
        <f>HYPERLINK("http://dx.doi.org/10.1130/G36303.1","http://dx.doi.org/10.1130/G36303.1")</f>
        <v>http://dx.doi.org/10.1130/G36303.1</v>
      </c>
      <c r="BG63" t="s">
        <v>74</v>
      </c>
      <c r="BH63" t="s">
        <v>74</v>
      </c>
      <c r="BI63">
        <v>4</v>
      </c>
      <c r="BJ63" t="s">
        <v>220</v>
      </c>
      <c r="BK63" t="s">
        <v>100</v>
      </c>
      <c r="BL63" t="s">
        <v>220</v>
      </c>
      <c r="BM63" t="s">
        <v>1463</v>
      </c>
      <c r="BN63" t="s">
        <v>74</v>
      </c>
      <c r="BO63" t="s">
        <v>74</v>
      </c>
      <c r="BP63" t="s">
        <v>74</v>
      </c>
      <c r="BQ63" t="s">
        <v>74</v>
      </c>
      <c r="BR63" t="s">
        <v>104</v>
      </c>
      <c r="BS63" t="s">
        <v>1464</v>
      </c>
      <c r="BT63" t="str">
        <f>HYPERLINK("https%3A%2F%2Fwww.webofscience.com%2Fwos%2Fwoscc%2Ffull-record%2FWOS:000357619400022","View Full Record in Web of Science")</f>
        <v>View Full Record in Web of Science</v>
      </c>
    </row>
    <row r="64" spans="1:72" x14ac:dyDescent="0.15">
      <c r="A64" t="s">
        <v>72</v>
      </c>
      <c r="B64" t="s">
        <v>1465</v>
      </c>
      <c r="C64" t="s">
        <v>74</v>
      </c>
      <c r="D64" t="s">
        <v>74</v>
      </c>
      <c r="E64" t="s">
        <v>74</v>
      </c>
      <c r="F64" t="s">
        <v>1466</v>
      </c>
      <c r="G64" t="s">
        <v>74</v>
      </c>
      <c r="H64" t="s">
        <v>74</v>
      </c>
      <c r="I64" t="s">
        <v>1467</v>
      </c>
      <c r="J64" t="s">
        <v>1468</v>
      </c>
      <c r="K64" t="s">
        <v>74</v>
      </c>
      <c r="L64" t="s">
        <v>74</v>
      </c>
      <c r="M64" t="s">
        <v>78</v>
      </c>
      <c r="N64" t="s">
        <v>79</v>
      </c>
      <c r="O64" t="s">
        <v>74</v>
      </c>
      <c r="P64" t="s">
        <v>74</v>
      </c>
      <c r="Q64" t="s">
        <v>74</v>
      </c>
      <c r="R64" t="s">
        <v>74</v>
      </c>
      <c r="S64" t="s">
        <v>74</v>
      </c>
      <c r="T64" t="s">
        <v>74</v>
      </c>
      <c r="U64" t="s">
        <v>1469</v>
      </c>
      <c r="V64" t="s">
        <v>1470</v>
      </c>
      <c r="W64" t="s">
        <v>1471</v>
      </c>
      <c r="X64" t="s">
        <v>1472</v>
      </c>
      <c r="Y64" t="s">
        <v>1473</v>
      </c>
      <c r="Z64" t="s">
        <v>1474</v>
      </c>
      <c r="AA64" t="s">
        <v>1475</v>
      </c>
      <c r="AB64" t="s">
        <v>1476</v>
      </c>
      <c r="AC64" t="s">
        <v>1477</v>
      </c>
      <c r="AD64" t="s">
        <v>1478</v>
      </c>
      <c r="AE64" t="s">
        <v>1479</v>
      </c>
      <c r="AF64" t="s">
        <v>74</v>
      </c>
      <c r="AG64">
        <v>19</v>
      </c>
      <c r="AH64">
        <v>15</v>
      </c>
      <c r="AI64">
        <v>15</v>
      </c>
      <c r="AJ64">
        <v>0</v>
      </c>
      <c r="AK64">
        <v>9</v>
      </c>
      <c r="AL64" t="s">
        <v>1480</v>
      </c>
      <c r="AM64" t="s">
        <v>1481</v>
      </c>
      <c r="AN64" t="s">
        <v>1482</v>
      </c>
      <c r="AO64" t="s">
        <v>1483</v>
      </c>
      <c r="AP64" t="s">
        <v>74</v>
      </c>
      <c r="AQ64" t="s">
        <v>74</v>
      </c>
      <c r="AR64" t="s">
        <v>1484</v>
      </c>
      <c r="AS64" t="s">
        <v>1485</v>
      </c>
      <c r="AT64" t="s">
        <v>1309</v>
      </c>
      <c r="AU64">
        <v>2015</v>
      </c>
      <c r="AV64">
        <v>7</v>
      </c>
      <c r="AW64">
        <v>5</v>
      </c>
      <c r="AX64" t="s">
        <v>74</v>
      </c>
      <c r="AY64" t="s">
        <v>74</v>
      </c>
      <c r="AZ64" t="s">
        <v>74</v>
      </c>
      <c r="BA64" t="s">
        <v>74</v>
      </c>
      <c r="BB64">
        <v>5042</v>
      </c>
      <c r="BC64">
        <v>5056</v>
      </c>
      <c r="BD64" t="s">
        <v>74</v>
      </c>
      <c r="BE64" t="s">
        <v>1486</v>
      </c>
      <c r="BF64" t="str">
        <f>HYPERLINK("http://dx.doi.org/10.3390/rs70505042","http://dx.doi.org/10.3390/rs70505042")</f>
        <v>http://dx.doi.org/10.3390/rs70505042</v>
      </c>
      <c r="BG64" t="s">
        <v>74</v>
      </c>
      <c r="BH64" t="s">
        <v>74</v>
      </c>
      <c r="BI64">
        <v>15</v>
      </c>
      <c r="BJ64" t="s">
        <v>1487</v>
      </c>
      <c r="BK64" t="s">
        <v>100</v>
      </c>
      <c r="BL64" t="s">
        <v>1488</v>
      </c>
      <c r="BM64" t="s">
        <v>1489</v>
      </c>
      <c r="BN64" t="s">
        <v>74</v>
      </c>
      <c r="BO64" t="s">
        <v>1490</v>
      </c>
      <c r="BP64" t="s">
        <v>74</v>
      </c>
      <c r="BQ64" t="s">
        <v>74</v>
      </c>
      <c r="BR64" t="s">
        <v>104</v>
      </c>
      <c r="BS64" t="s">
        <v>1491</v>
      </c>
      <c r="BT64" t="str">
        <f>HYPERLINK("https%3A%2F%2Fwww.webofscience.com%2Fwos%2Fwoscc%2Ffull-record%2FWOS:000357596200004","View Full Record in Web of Science")</f>
        <v>View Full Record in Web of Science</v>
      </c>
    </row>
    <row r="65" spans="1:72" x14ac:dyDescent="0.15">
      <c r="A65" t="s">
        <v>72</v>
      </c>
      <c r="B65" t="s">
        <v>1492</v>
      </c>
      <c r="C65" t="s">
        <v>74</v>
      </c>
      <c r="D65" t="s">
        <v>74</v>
      </c>
      <c r="E65" t="s">
        <v>74</v>
      </c>
      <c r="F65" t="s">
        <v>1493</v>
      </c>
      <c r="G65" t="s">
        <v>74</v>
      </c>
      <c r="H65" t="s">
        <v>74</v>
      </c>
      <c r="I65" t="s">
        <v>1494</v>
      </c>
      <c r="J65" t="s">
        <v>1495</v>
      </c>
      <c r="K65" t="s">
        <v>74</v>
      </c>
      <c r="L65" t="s">
        <v>74</v>
      </c>
      <c r="M65" t="s">
        <v>78</v>
      </c>
      <c r="N65" t="s">
        <v>79</v>
      </c>
      <c r="O65" t="s">
        <v>74</v>
      </c>
      <c r="P65" t="s">
        <v>74</v>
      </c>
      <c r="Q65" t="s">
        <v>74</v>
      </c>
      <c r="R65" t="s">
        <v>74</v>
      </c>
      <c r="S65" t="s">
        <v>74</v>
      </c>
      <c r="T65" t="s">
        <v>1496</v>
      </c>
      <c r="U65" t="s">
        <v>1497</v>
      </c>
      <c r="V65" t="s">
        <v>1498</v>
      </c>
      <c r="W65" t="s">
        <v>1499</v>
      </c>
      <c r="X65" t="s">
        <v>1500</v>
      </c>
      <c r="Y65" t="s">
        <v>1501</v>
      </c>
      <c r="Z65" t="s">
        <v>1502</v>
      </c>
      <c r="AA65" t="s">
        <v>1503</v>
      </c>
      <c r="AB65" t="s">
        <v>1504</v>
      </c>
      <c r="AC65" t="s">
        <v>1505</v>
      </c>
      <c r="AD65" t="s">
        <v>1506</v>
      </c>
      <c r="AE65" t="s">
        <v>1507</v>
      </c>
      <c r="AF65" t="s">
        <v>74</v>
      </c>
      <c r="AG65">
        <v>104</v>
      </c>
      <c r="AH65">
        <v>14</v>
      </c>
      <c r="AI65">
        <v>17</v>
      </c>
      <c r="AJ65">
        <v>1</v>
      </c>
      <c r="AK65">
        <v>24</v>
      </c>
      <c r="AL65" t="s">
        <v>1508</v>
      </c>
      <c r="AM65" t="s">
        <v>92</v>
      </c>
      <c r="AN65" t="s">
        <v>93</v>
      </c>
      <c r="AO65" t="s">
        <v>1509</v>
      </c>
      <c r="AP65" t="s">
        <v>1510</v>
      </c>
      <c r="AQ65" t="s">
        <v>74</v>
      </c>
      <c r="AR65" t="s">
        <v>1511</v>
      </c>
      <c r="AS65" t="s">
        <v>1512</v>
      </c>
      <c r="AT65" t="s">
        <v>1309</v>
      </c>
      <c r="AU65">
        <v>2015</v>
      </c>
      <c r="AV65">
        <v>30</v>
      </c>
      <c r="AW65">
        <v>4</v>
      </c>
      <c r="AX65" t="s">
        <v>74</v>
      </c>
      <c r="AY65" t="s">
        <v>74</v>
      </c>
      <c r="AZ65" t="s">
        <v>74</v>
      </c>
      <c r="BA65" t="s">
        <v>74</v>
      </c>
      <c r="BB65">
        <v>335</v>
      </c>
      <c r="BC65">
        <v>348</v>
      </c>
      <c r="BD65" t="s">
        <v>74</v>
      </c>
      <c r="BE65" t="s">
        <v>1513</v>
      </c>
      <c r="BF65" t="str">
        <f>HYPERLINK("http://dx.doi.org/10.1002/jqs.2782","http://dx.doi.org/10.1002/jqs.2782")</f>
        <v>http://dx.doi.org/10.1002/jqs.2782</v>
      </c>
      <c r="BG65" t="s">
        <v>74</v>
      </c>
      <c r="BH65" t="s">
        <v>74</v>
      </c>
      <c r="BI65">
        <v>14</v>
      </c>
      <c r="BJ65" t="s">
        <v>795</v>
      </c>
      <c r="BK65" t="s">
        <v>100</v>
      </c>
      <c r="BL65" t="s">
        <v>796</v>
      </c>
      <c r="BM65" t="s">
        <v>1514</v>
      </c>
      <c r="BN65" t="s">
        <v>74</v>
      </c>
      <c r="BO65" t="s">
        <v>74</v>
      </c>
      <c r="BP65" t="s">
        <v>74</v>
      </c>
      <c r="BQ65" t="s">
        <v>74</v>
      </c>
      <c r="BR65" t="s">
        <v>104</v>
      </c>
      <c r="BS65" t="s">
        <v>1515</v>
      </c>
      <c r="BT65" t="str">
        <f>HYPERLINK("https%3A%2F%2Fwww.webofscience.com%2Fwos%2Fwoscc%2Ffull-record%2FWOS:000357415600005","View Full Record in Web of Science")</f>
        <v>View Full Record in Web of Science</v>
      </c>
    </row>
    <row r="66" spans="1:72" x14ac:dyDescent="0.15">
      <c r="A66" t="s">
        <v>72</v>
      </c>
      <c r="B66" t="s">
        <v>1516</v>
      </c>
      <c r="C66" t="s">
        <v>74</v>
      </c>
      <c r="D66" t="s">
        <v>74</v>
      </c>
      <c r="E66" t="s">
        <v>74</v>
      </c>
      <c r="F66" t="s">
        <v>1517</v>
      </c>
      <c r="G66" t="s">
        <v>74</v>
      </c>
      <c r="H66" t="s">
        <v>74</v>
      </c>
      <c r="I66" t="s">
        <v>1518</v>
      </c>
      <c r="J66" t="s">
        <v>1519</v>
      </c>
      <c r="K66" t="s">
        <v>74</v>
      </c>
      <c r="L66" t="s">
        <v>74</v>
      </c>
      <c r="M66" t="s">
        <v>78</v>
      </c>
      <c r="N66" t="s">
        <v>1222</v>
      </c>
      <c r="O66" t="s">
        <v>1520</v>
      </c>
      <c r="P66" t="s">
        <v>1521</v>
      </c>
      <c r="Q66" t="s">
        <v>1522</v>
      </c>
      <c r="R66" t="s">
        <v>74</v>
      </c>
      <c r="S66" t="s">
        <v>74</v>
      </c>
      <c r="T66" t="s">
        <v>1523</v>
      </c>
      <c r="U66" t="s">
        <v>1524</v>
      </c>
      <c r="V66" t="s">
        <v>1525</v>
      </c>
      <c r="W66" t="s">
        <v>1526</v>
      </c>
      <c r="X66" t="s">
        <v>1527</v>
      </c>
      <c r="Y66" t="s">
        <v>1528</v>
      </c>
      <c r="Z66" t="s">
        <v>1529</v>
      </c>
      <c r="AA66" t="s">
        <v>1530</v>
      </c>
      <c r="AB66" t="s">
        <v>1531</v>
      </c>
      <c r="AC66" t="s">
        <v>1532</v>
      </c>
      <c r="AD66" t="s">
        <v>1533</v>
      </c>
      <c r="AE66" t="s">
        <v>1534</v>
      </c>
      <c r="AF66" t="s">
        <v>74</v>
      </c>
      <c r="AG66">
        <v>72</v>
      </c>
      <c r="AH66">
        <v>36</v>
      </c>
      <c r="AI66">
        <v>41</v>
      </c>
      <c r="AJ66">
        <v>0</v>
      </c>
      <c r="AK66">
        <v>11</v>
      </c>
      <c r="AL66" t="s">
        <v>266</v>
      </c>
      <c r="AM66" t="s">
        <v>267</v>
      </c>
      <c r="AN66" t="s">
        <v>268</v>
      </c>
      <c r="AO66" t="s">
        <v>1535</v>
      </c>
      <c r="AP66" t="s">
        <v>1536</v>
      </c>
      <c r="AQ66" t="s">
        <v>74</v>
      </c>
      <c r="AR66" t="s">
        <v>1537</v>
      </c>
      <c r="AS66" t="s">
        <v>1538</v>
      </c>
      <c r="AT66" t="s">
        <v>1309</v>
      </c>
      <c r="AU66">
        <v>2015</v>
      </c>
      <c r="AV66">
        <v>120</v>
      </c>
      <c r="AW66">
        <v>5</v>
      </c>
      <c r="AX66" t="s">
        <v>74</v>
      </c>
      <c r="AY66" t="s">
        <v>74</v>
      </c>
      <c r="AZ66" t="s">
        <v>74</v>
      </c>
      <c r="BA66" t="s">
        <v>74</v>
      </c>
      <c r="BB66">
        <v>3658</v>
      </c>
      <c r="BC66">
        <v>3680</v>
      </c>
      <c r="BD66" t="s">
        <v>74</v>
      </c>
      <c r="BE66" t="s">
        <v>1539</v>
      </c>
      <c r="BF66" t="str">
        <f>HYPERLINK("http://dx.doi.org/10.1002/2014JC010372","http://dx.doi.org/10.1002/2014JC010372")</f>
        <v>http://dx.doi.org/10.1002/2014JC010372</v>
      </c>
      <c r="BG66" t="s">
        <v>74</v>
      </c>
      <c r="BH66" t="s">
        <v>74</v>
      </c>
      <c r="BI66">
        <v>23</v>
      </c>
      <c r="BJ66" t="s">
        <v>1540</v>
      </c>
      <c r="BK66" t="s">
        <v>1247</v>
      </c>
      <c r="BL66" t="s">
        <v>1540</v>
      </c>
      <c r="BM66" t="s">
        <v>1541</v>
      </c>
      <c r="BN66" t="s">
        <v>74</v>
      </c>
      <c r="BO66" t="s">
        <v>1542</v>
      </c>
      <c r="BP66" t="s">
        <v>74</v>
      </c>
      <c r="BQ66" t="s">
        <v>74</v>
      </c>
      <c r="BR66" t="s">
        <v>104</v>
      </c>
      <c r="BS66" t="s">
        <v>1543</v>
      </c>
      <c r="BT66" t="str">
        <f>HYPERLINK("https%3A%2F%2Fwww.webofscience.com%2Fwos%2Fwoscc%2Ffull-record%2FWOS:000356628100027","View Full Record in Web of Science")</f>
        <v>View Full Record in Web of Science</v>
      </c>
    </row>
    <row r="67" spans="1:72" x14ac:dyDescent="0.15">
      <c r="A67" t="s">
        <v>72</v>
      </c>
      <c r="B67" t="s">
        <v>1544</v>
      </c>
      <c r="C67" t="s">
        <v>74</v>
      </c>
      <c r="D67" t="s">
        <v>74</v>
      </c>
      <c r="E67" t="s">
        <v>74</v>
      </c>
      <c r="F67" t="s">
        <v>1545</v>
      </c>
      <c r="G67" t="s">
        <v>74</v>
      </c>
      <c r="H67" t="s">
        <v>74</v>
      </c>
      <c r="I67" t="s">
        <v>1546</v>
      </c>
      <c r="J67" t="s">
        <v>1547</v>
      </c>
      <c r="K67" t="s">
        <v>74</v>
      </c>
      <c r="L67" t="s">
        <v>74</v>
      </c>
      <c r="M67" t="s">
        <v>78</v>
      </c>
      <c r="N67" t="s">
        <v>79</v>
      </c>
      <c r="O67" t="s">
        <v>74</v>
      </c>
      <c r="P67" t="s">
        <v>74</v>
      </c>
      <c r="Q67" t="s">
        <v>74</v>
      </c>
      <c r="R67" t="s">
        <v>74</v>
      </c>
      <c r="S67" t="s">
        <v>74</v>
      </c>
      <c r="T67" t="s">
        <v>1548</v>
      </c>
      <c r="U67" t="s">
        <v>1549</v>
      </c>
      <c r="V67" t="s">
        <v>1550</v>
      </c>
      <c r="W67" t="s">
        <v>1551</v>
      </c>
      <c r="X67" t="s">
        <v>1552</v>
      </c>
      <c r="Y67" t="s">
        <v>1553</v>
      </c>
      <c r="Z67" t="s">
        <v>1554</v>
      </c>
      <c r="AA67" t="s">
        <v>1555</v>
      </c>
      <c r="AB67" t="s">
        <v>1556</v>
      </c>
      <c r="AC67" t="s">
        <v>1557</v>
      </c>
      <c r="AD67" t="s">
        <v>1558</v>
      </c>
      <c r="AE67" t="s">
        <v>1559</v>
      </c>
      <c r="AF67" t="s">
        <v>74</v>
      </c>
      <c r="AG67">
        <v>102</v>
      </c>
      <c r="AH67">
        <v>25</v>
      </c>
      <c r="AI67">
        <v>28</v>
      </c>
      <c r="AJ67">
        <v>0</v>
      </c>
      <c r="AK67">
        <v>15</v>
      </c>
      <c r="AL67" t="s">
        <v>266</v>
      </c>
      <c r="AM67" t="s">
        <v>267</v>
      </c>
      <c r="AN67" t="s">
        <v>268</v>
      </c>
      <c r="AO67" t="s">
        <v>1560</v>
      </c>
      <c r="AP67" t="s">
        <v>1561</v>
      </c>
      <c r="AQ67" t="s">
        <v>74</v>
      </c>
      <c r="AR67" t="s">
        <v>1562</v>
      </c>
      <c r="AS67" t="s">
        <v>1563</v>
      </c>
      <c r="AT67" t="s">
        <v>1309</v>
      </c>
      <c r="AU67">
        <v>2015</v>
      </c>
      <c r="AV67">
        <v>120</v>
      </c>
      <c r="AW67">
        <v>5</v>
      </c>
      <c r="AX67" t="s">
        <v>74</v>
      </c>
      <c r="AY67" t="s">
        <v>74</v>
      </c>
      <c r="AZ67" t="s">
        <v>74</v>
      </c>
      <c r="BA67" t="s">
        <v>74</v>
      </c>
      <c r="BB67">
        <v>2913</v>
      </c>
      <c r="BC67">
        <v>2934</v>
      </c>
      <c r="BD67" t="s">
        <v>74</v>
      </c>
      <c r="BE67" t="s">
        <v>1564</v>
      </c>
      <c r="BF67" t="str">
        <f>HYPERLINK("http://dx.doi.org/10.1002/2014JB011828","http://dx.doi.org/10.1002/2014JB011828")</f>
        <v>http://dx.doi.org/10.1002/2014JB011828</v>
      </c>
      <c r="BG67" t="s">
        <v>74</v>
      </c>
      <c r="BH67" t="s">
        <v>74</v>
      </c>
      <c r="BI67">
        <v>22</v>
      </c>
      <c r="BJ67" t="s">
        <v>863</v>
      </c>
      <c r="BK67" t="s">
        <v>100</v>
      </c>
      <c r="BL67" t="s">
        <v>863</v>
      </c>
      <c r="BM67" t="s">
        <v>1565</v>
      </c>
      <c r="BN67" t="s">
        <v>74</v>
      </c>
      <c r="BO67" t="s">
        <v>103</v>
      </c>
      <c r="BP67" t="s">
        <v>74</v>
      </c>
      <c r="BQ67" t="s">
        <v>74</v>
      </c>
      <c r="BR67" t="s">
        <v>104</v>
      </c>
      <c r="BS67" t="s">
        <v>1566</v>
      </c>
      <c r="BT67" t="str">
        <f>HYPERLINK("https%3A%2F%2Fwww.webofscience.com%2Fwos%2Fwoscc%2Ffull-record%2FWOS:000356454500006","View Full Record in Web of Science")</f>
        <v>View Full Record in Web of Science</v>
      </c>
    </row>
    <row r="68" spans="1:72" x14ac:dyDescent="0.15">
      <c r="A68" t="s">
        <v>72</v>
      </c>
      <c r="B68" t="s">
        <v>1567</v>
      </c>
      <c r="C68" t="s">
        <v>74</v>
      </c>
      <c r="D68" t="s">
        <v>74</v>
      </c>
      <c r="E68" t="s">
        <v>74</v>
      </c>
      <c r="F68" t="s">
        <v>1568</v>
      </c>
      <c r="G68" t="s">
        <v>74</v>
      </c>
      <c r="H68" t="s">
        <v>74</v>
      </c>
      <c r="I68" t="s">
        <v>1569</v>
      </c>
      <c r="J68" t="s">
        <v>1570</v>
      </c>
      <c r="K68" t="s">
        <v>74</v>
      </c>
      <c r="L68" t="s">
        <v>74</v>
      </c>
      <c r="M68" t="s">
        <v>78</v>
      </c>
      <c r="N68" t="s">
        <v>1291</v>
      </c>
      <c r="O68" t="s">
        <v>74</v>
      </c>
      <c r="P68" t="s">
        <v>74</v>
      </c>
      <c r="Q68" t="s">
        <v>74</v>
      </c>
      <c r="R68" t="s">
        <v>74</v>
      </c>
      <c r="S68" t="s">
        <v>74</v>
      </c>
      <c r="T68" t="s">
        <v>74</v>
      </c>
      <c r="U68" t="s">
        <v>1571</v>
      </c>
      <c r="V68" t="s">
        <v>1572</v>
      </c>
      <c r="W68" t="s">
        <v>1573</v>
      </c>
      <c r="X68" t="s">
        <v>1574</v>
      </c>
      <c r="Y68" t="s">
        <v>1575</v>
      </c>
      <c r="Z68" t="s">
        <v>1576</v>
      </c>
      <c r="AA68" t="s">
        <v>1577</v>
      </c>
      <c r="AB68" t="s">
        <v>1578</v>
      </c>
      <c r="AC68" t="s">
        <v>1579</v>
      </c>
      <c r="AD68" t="s">
        <v>1580</v>
      </c>
      <c r="AE68" t="s">
        <v>1581</v>
      </c>
      <c r="AF68" t="s">
        <v>74</v>
      </c>
      <c r="AG68">
        <v>38</v>
      </c>
      <c r="AH68">
        <v>11</v>
      </c>
      <c r="AI68">
        <v>13</v>
      </c>
      <c r="AJ68">
        <v>1</v>
      </c>
      <c r="AK68">
        <v>23</v>
      </c>
      <c r="AL68" t="s">
        <v>786</v>
      </c>
      <c r="AM68" t="s">
        <v>787</v>
      </c>
      <c r="AN68" t="s">
        <v>788</v>
      </c>
      <c r="AO68" t="s">
        <v>1582</v>
      </c>
      <c r="AP68" t="s">
        <v>74</v>
      </c>
      <c r="AQ68" t="s">
        <v>74</v>
      </c>
      <c r="AR68" t="s">
        <v>1583</v>
      </c>
      <c r="AS68" t="s">
        <v>1584</v>
      </c>
      <c r="AT68" t="s">
        <v>1309</v>
      </c>
      <c r="AU68">
        <v>2015</v>
      </c>
      <c r="AV68">
        <v>134</v>
      </c>
      <c r="AW68" t="s">
        <v>74</v>
      </c>
      <c r="AX68" t="s">
        <v>74</v>
      </c>
      <c r="AY68" t="s">
        <v>74</v>
      </c>
      <c r="AZ68" t="s">
        <v>74</v>
      </c>
      <c r="BA68" t="s">
        <v>74</v>
      </c>
      <c r="BB68">
        <v>221</v>
      </c>
      <c r="BC68">
        <v>231</v>
      </c>
      <c r="BD68" t="s">
        <v>74</v>
      </c>
      <c r="BE68" t="s">
        <v>1585</v>
      </c>
      <c r="BF68" t="str">
        <f>HYPERLINK("http://dx.doi.org/10.1016/j.pocean.2015.02.001","http://dx.doi.org/10.1016/j.pocean.2015.02.001")</f>
        <v>http://dx.doi.org/10.1016/j.pocean.2015.02.001</v>
      </c>
      <c r="BG68" t="s">
        <v>74</v>
      </c>
      <c r="BH68" t="s">
        <v>74</v>
      </c>
      <c r="BI68">
        <v>11</v>
      </c>
      <c r="BJ68" t="s">
        <v>1540</v>
      </c>
      <c r="BK68" t="s">
        <v>100</v>
      </c>
      <c r="BL68" t="s">
        <v>1540</v>
      </c>
      <c r="BM68" t="s">
        <v>1586</v>
      </c>
      <c r="BN68" t="s">
        <v>74</v>
      </c>
      <c r="BO68" t="s">
        <v>74</v>
      </c>
      <c r="BP68" t="s">
        <v>74</v>
      </c>
      <c r="BQ68" t="s">
        <v>74</v>
      </c>
      <c r="BR68" t="s">
        <v>104</v>
      </c>
      <c r="BS68" t="s">
        <v>1587</v>
      </c>
      <c r="BT68" t="str">
        <f>HYPERLINK("https%3A%2F%2Fwww.webofscience.com%2Fwos%2Fwoscc%2Ffull-record%2FWOS:000356553900012","View Full Record in Web of Science")</f>
        <v>View Full Record in Web of Science</v>
      </c>
    </row>
    <row r="69" spans="1:72" x14ac:dyDescent="0.15">
      <c r="A69" t="s">
        <v>72</v>
      </c>
      <c r="B69" t="s">
        <v>1588</v>
      </c>
      <c r="C69" t="s">
        <v>74</v>
      </c>
      <c r="D69" t="s">
        <v>74</v>
      </c>
      <c r="E69" t="s">
        <v>74</v>
      </c>
      <c r="F69" t="s">
        <v>1589</v>
      </c>
      <c r="G69" t="s">
        <v>74</v>
      </c>
      <c r="H69" t="s">
        <v>74</v>
      </c>
      <c r="I69" t="s">
        <v>1590</v>
      </c>
      <c r="J69" t="s">
        <v>1591</v>
      </c>
      <c r="K69" t="s">
        <v>74</v>
      </c>
      <c r="L69" t="s">
        <v>74</v>
      </c>
      <c r="M69" t="s">
        <v>78</v>
      </c>
      <c r="N69" t="s">
        <v>79</v>
      </c>
      <c r="O69" t="s">
        <v>74</v>
      </c>
      <c r="P69" t="s">
        <v>74</v>
      </c>
      <c r="Q69" t="s">
        <v>74</v>
      </c>
      <c r="R69" t="s">
        <v>74</v>
      </c>
      <c r="S69" t="s">
        <v>74</v>
      </c>
      <c r="T69" t="s">
        <v>1592</v>
      </c>
      <c r="U69" t="s">
        <v>1593</v>
      </c>
      <c r="V69" t="s">
        <v>1594</v>
      </c>
      <c r="W69" t="s">
        <v>1595</v>
      </c>
      <c r="X69" t="s">
        <v>1596</v>
      </c>
      <c r="Y69" t="s">
        <v>1597</v>
      </c>
      <c r="Z69" t="s">
        <v>1598</v>
      </c>
      <c r="AA69" t="s">
        <v>74</v>
      </c>
      <c r="AB69" t="s">
        <v>74</v>
      </c>
      <c r="AC69" t="s">
        <v>1599</v>
      </c>
      <c r="AD69" t="s">
        <v>1600</v>
      </c>
      <c r="AE69" t="s">
        <v>1601</v>
      </c>
      <c r="AF69" t="s">
        <v>74</v>
      </c>
      <c r="AG69">
        <v>105</v>
      </c>
      <c r="AH69">
        <v>4</v>
      </c>
      <c r="AI69">
        <v>5</v>
      </c>
      <c r="AJ69">
        <v>0</v>
      </c>
      <c r="AK69">
        <v>10</v>
      </c>
      <c r="AL69" t="s">
        <v>266</v>
      </c>
      <c r="AM69" t="s">
        <v>267</v>
      </c>
      <c r="AN69" t="s">
        <v>268</v>
      </c>
      <c r="AO69" t="s">
        <v>74</v>
      </c>
      <c r="AP69" t="s">
        <v>1602</v>
      </c>
      <c r="AQ69" t="s">
        <v>74</v>
      </c>
      <c r="AR69" t="s">
        <v>1603</v>
      </c>
      <c r="AS69" t="s">
        <v>1604</v>
      </c>
      <c r="AT69" t="s">
        <v>1309</v>
      </c>
      <c r="AU69">
        <v>2015</v>
      </c>
      <c r="AV69">
        <v>16</v>
      </c>
      <c r="AW69">
        <v>5</v>
      </c>
      <c r="AX69" t="s">
        <v>74</v>
      </c>
      <c r="AY69" t="s">
        <v>74</v>
      </c>
      <c r="AZ69" t="s">
        <v>74</v>
      </c>
      <c r="BA69" t="s">
        <v>74</v>
      </c>
      <c r="BB69">
        <v>1421</v>
      </c>
      <c r="BC69">
        <v>1438</v>
      </c>
      <c r="BD69" t="s">
        <v>74</v>
      </c>
      <c r="BE69" t="s">
        <v>1605</v>
      </c>
      <c r="BF69" t="str">
        <f>HYPERLINK("http://dx.doi.org/10.1002/2014GC005570","http://dx.doi.org/10.1002/2014GC005570")</f>
        <v>http://dx.doi.org/10.1002/2014GC005570</v>
      </c>
      <c r="BG69" t="s">
        <v>74</v>
      </c>
      <c r="BH69" t="s">
        <v>74</v>
      </c>
      <c r="BI69">
        <v>18</v>
      </c>
      <c r="BJ69" t="s">
        <v>863</v>
      </c>
      <c r="BK69" t="s">
        <v>100</v>
      </c>
      <c r="BL69" t="s">
        <v>863</v>
      </c>
      <c r="BM69" t="s">
        <v>1606</v>
      </c>
      <c r="BN69">
        <v>26709352</v>
      </c>
      <c r="BO69" t="s">
        <v>1123</v>
      </c>
      <c r="BP69" t="s">
        <v>74</v>
      </c>
      <c r="BQ69" t="s">
        <v>74</v>
      </c>
      <c r="BR69" t="s">
        <v>104</v>
      </c>
      <c r="BS69" t="s">
        <v>1607</v>
      </c>
      <c r="BT69" t="str">
        <f>HYPERLINK("https%3A%2F%2Fwww.webofscience.com%2Fwos%2Fwoscc%2Ffull-record%2FWOS:000356710000011","View Full Record in Web of Science")</f>
        <v>View Full Record in Web of Science</v>
      </c>
    </row>
    <row r="70" spans="1:72" x14ac:dyDescent="0.15">
      <c r="A70" t="s">
        <v>72</v>
      </c>
      <c r="B70" t="s">
        <v>1608</v>
      </c>
      <c r="C70" t="s">
        <v>74</v>
      </c>
      <c r="D70" t="s">
        <v>74</v>
      </c>
      <c r="E70" t="s">
        <v>74</v>
      </c>
      <c r="F70" t="s">
        <v>1609</v>
      </c>
      <c r="G70" t="s">
        <v>74</v>
      </c>
      <c r="H70" t="s">
        <v>74</v>
      </c>
      <c r="I70" t="s">
        <v>1610</v>
      </c>
      <c r="J70" t="s">
        <v>1611</v>
      </c>
      <c r="K70" t="s">
        <v>74</v>
      </c>
      <c r="L70" t="s">
        <v>74</v>
      </c>
      <c r="M70" t="s">
        <v>78</v>
      </c>
      <c r="N70" t="s">
        <v>79</v>
      </c>
      <c r="O70" t="s">
        <v>74</v>
      </c>
      <c r="P70" t="s">
        <v>74</v>
      </c>
      <c r="Q70" t="s">
        <v>74</v>
      </c>
      <c r="R70" t="s">
        <v>74</v>
      </c>
      <c r="S70" t="s">
        <v>74</v>
      </c>
      <c r="T70" t="s">
        <v>1612</v>
      </c>
      <c r="U70" t="s">
        <v>1613</v>
      </c>
      <c r="V70" t="s">
        <v>1614</v>
      </c>
      <c r="W70" t="s">
        <v>1615</v>
      </c>
      <c r="X70" t="s">
        <v>1616</v>
      </c>
      <c r="Y70" t="s">
        <v>1617</v>
      </c>
      <c r="Z70" t="s">
        <v>1618</v>
      </c>
      <c r="AA70" t="s">
        <v>1619</v>
      </c>
      <c r="AB70" t="s">
        <v>1620</v>
      </c>
      <c r="AC70" t="s">
        <v>74</v>
      </c>
      <c r="AD70" t="s">
        <v>74</v>
      </c>
      <c r="AE70" t="s">
        <v>74</v>
      </c>
      <c r="AF70" t="s">
        <v>74</v>
      </c>
      <c r="AG70">
        <v>45</v>
      </c>
      <c r="AH70">
        <v>4</v>
      </c>
      <c r="AI70">
        <v>4</v>
      </c>
      <c r="AJ70">
        <v>0</v>
      </c>
      <c r="AK70">
        <v>11</v>
      </c>
      <c r="AL70" t="s">
        <v>1621</v>
      </c>
      <c r="AM70" t="s">
        <v>787</v>
      </c>
      <c r="AN70" t="s">
        <v>1622</v>
      </c>
      <c r="AO70" t="s">
        <v>1623</v>
      </c>
      <c r="AP70" t="s">
        <v>1624</v>
      </c>
      <c r="AQ70" t="s">
        <v>74</v>
      </c>
      <c r="AR70" t="s">
        <v>1625</v>
      </c>
      <c r="AS70" t="s">
        <v>1626</v>
      </c>
      <c r="AT70" t="s">
        <v>1418</v>
      </c>
      <c r="AU70">
        <v>2015</v>
      </c>
      <c r="AV70">
        <v>72</v>
      </c>
      <c r="AW70">
        <v>5</v>
      </c>
      <c r="AX70" t="s">
        <v>74</v>
      </c>
      <c r="AY70" t="s">
        <v>74</v>
      </c>
      <c r="AZ70" t="s">
        <v>74</v>
      </c>
      <c r="BA70" t="s">
        <v>74</v>
      </c>
      <c r="BB70">
        <v>1555</v>
      </c>
      <c r="BC70">
        <v>1564</v>
      </c>
      <c r="BD70" t="s">
        <v>74</v>
      </c>
      <c r="BE70" t="s">
        <v>1627</v>
      </c>
      <c r="BF70" t="str">
        <f>HYPERLINK("http://dx.doi.org/10.1093/icesjms/fsu246","http://dx.doi.org/10.1093/icesjms/fsu246")</f>
        <v>http://dx.doi.org/10.1093/icesjms/fsu246</v>
      </c>
      <c r="BG70" t="s">
        <v>74</v>
      </c>
      <c r="BH70" t="s">
        <v>74</v>
      </c>
      <c r="BI70">
        <v>10</v>
      </c>
      <c r="BJ70" t="s">
        <v>1628</v>
      </c>
      <c r="BK70" t="s">
        <v>1019</v>
      </c>
      <c r="BL70" t="s">
        <v>1628</v>
      </c>
      <c r="BM70" t="s">
        <v>1629</v>
      </c>
      <c r="BN70" t="s">
        <v>74</v>
      </c>
      <c r="BO70" t="s">
        <v>156</v>
      </c>
      <c r="BP70" t="s">
        <v>74</v>
      </c>
      <c r="BQ70" t="s">
        <v>74</v>
      </c>
      <c r="BR70" t="s">
        <v>104</v>
      </c>
      <c r="BS70" t="s">
        <v>1630</v>
      </c>
      <c r="BT70" t="str">
        <f>HYPERLINK("https%3A%2F%2Fwww.webofscience.com%2Fwos%2Fwoscc%2Ffull-record%2FWOS:000356233800028","View Full Record in Web of Science")</f>
        <v>View Full Record in Web of Science</v>
      </c>
    </row>
    <row r="71" spans="1:72" x14ac:dyDescent="0.15">
      <c r="A71" t="s">
        <v>72</v>
      </c>
      <c r="B71" t="s">
        <v>1631</v>
      </c>
      <c r="C71" t="s">
        <v>74</v>
      </c>
      <c r="D71" t="s">
        <v>74</v>
      </c>
      <c r="E71" t="s">
        <v>74</v>
      </c>
      <c r="F71" t="s">
        <v>1632</v>
      </c>
      <c r="G71" t="s">
        <v>74</v>
      </c>
      <c r="H71" t="s">
        <v>74</v>
      </c>
      <c r="I71" t="s">
        <v>1633</v>
      </c>
      <c r="J71" t="s">
        <v>1611</v>
      </c>
      <c r="K71" t="s">
        <v>74</v>
      </c>
      <c r="L71" t="s">
        <v>74</v>
      </c>
      <c r="M71" t="s">
        <v>78</v>
      </c>
      <c r="N71" t="s">
        <v>79</v>
      </c>
      <c r="O71" t="s">
        <v>74</v>
      </c>
      <c r="P71" t="s">
        <v>74</v>
      </c>
      <c r="Q71" t="s">
        <v>74</v>
      </c>
      <c r="R71" t="s">
        <v>74</v>
      </c>
      <c r="S71" t="s">
        <v>74</v>
      </c>
      <c r="T71" t="s">
        <v>1634</v>
      </c>
      <c r="U71" t="s">
        <v>1635</v>
      </c>
      <c r="V71" t="s">
        <v>1636</v>
      </c>
      <c r="W71" t="s">
        <v>1637</v>
      </c>
      <c r="X71" t="s">
        <v>1638</v>
      </c>
      <c r="Y71" t="s">
        <v>1639</v>
      </c>
      <c r="Z71" t="s">
        <v>1640</v>
      </c>
      <c r="AA71" t="s">
        <v>74</v>
      </c>
      <c r="AB71" t="s">
        <v>1641</v>
      </c>
      <c r="AC71" t="s">
        <v>1642</v>
      </c>
      <c r="AD71" t="s">
        <v>1642</v>
      </c>
      <c r="AE71" t="s">
        <v>1643</v>
      </c>
      <c r="AF71" t="s">
        <v>74</v>
      </c>
      <c r="AG71">
        <v>83</v>
      </c>
      <c r="AH71">
        <v>18</v>
      </c>
      <c r="AI71">
        <v>19</v>
      </c>
      <c r="AJ71">
        <v>0</v>
      </c>
      <c r="AK71">
        <v>37</v>
      </c>
      <c r="AL71" t="s">
        <v>1621</v>
      </c>
      <c r="AM71" t="s">
        <v>787</v>
      </c>
      <c r="AN71" t="s">
        <v>1622</v>
      </c>
      <c r="AO71" t="s">
        <v>1623</v>
      </c>
      <c r="AP71" t="s">
        <v>1624</v>
      </c>
      <c r="AQ71" t="s">
        <v>74</v>
      </c>
      <c r="AR71" t="s">
        <v>1625</v>
      </c>
      <c r="AS71" t="s">
        <v>1626</v>
      </c>
      <c r="AT71" t="s">
        <v>1418</v>
      </c>
      <c r="AU71">
        <v>2015</v>
      </c>
      <c r="AV71">
        <v>72</v>
      </c>
      <c r="AW71">
        <v>5</v>
      </c>
      <c r="AX71" t="s">
        <v>74</v>
      </c>
      <c r="AY71" t="s">
        <v>74</v>
      </c>
      <c r="AZ71" t="s">
        <v>74</v>
      </c>
      <c r="BA71" t="s">
        <v>74</v>
      </c>
      <c r="BB71">
        <v>1691</v>
      </c>
      <c r="BC71">
        <v>1705</v>
      </c>
      <c r="BD71" t="s">
        <v>74</v>
      </c>
      <c r="BE71" t="s">
        <v>1644</v>
      </c>
      <c r="BF71" t="str">
        <f>HYPERLINK("http://dx.doi.org/10.1093/icesjms/fsv013","http://dx.doi.org/10.1093/icesjms/fsv013")</f>
        <v>http://dx.doi.org/10.1093/icesjms/fsv013</v>
      </c>
      <c r="BG71" t="s">
        <v>74</v>
      </c>
      <c r="BH71" t="s">
        <v>74</v>
      </c>
      <c r="BI71">
        <v>15</v>
      </c>
      <c r="BJ71" t="s">
        <v>1628</v>
      </c>
      <c r="BK71" t="s">
        <v>1019</v>
      </c>
      <c r="BL71" t="s">
        <v>1628</v>
      </c>
      <c r="BM71" t="s">
        <v>1629</v>
      </c>
      <c r="BN71" t="s">
        <v>74</v>
      </c>
      <c r="BO71" t="s">
        <v>156</v>
      </c>
      <c r="BP71" t="s">
        <v>74</v>
      </c>
      <c r="BQ71" t="s">
        <v>74</v>
      </c>
      <c r="BR71" t="s">
        <v>104</v>
      </c>
      <c r="BS71" t="s">
        <v>1645</v>
      </c>
      <c r="BT71" t="str">
        <f>HYPERLINK("https%3A%2F%2Fwww.webofscience.com%2Fwos%2Fwoscc%2Ffull-record%2FWOS:000356233800040","View Full Record in Web of Science")</f>
        <v>View Full Record in Web of Science</v>
      </c>
    </row>
    <row r="72" spans="1:72" x14ac:dyDescent="0.15">
      <c r="A72" t="s">
        <v>72</v>
      </c>
      <c r="B72" t="s">
        <v>1646</v>
      </c>
      <c r="C72" t="s">
        <v>74</v>
      </c>
      <c r="D72" t="s">
        <v>74</v>
      </c>
      <c r="E72" t="s">
        <v>74</v>
      </c>
      <c r="F72" t="s">
        <v>1647</v>
      </c>
      <c r="G72" t="s">
        <v>74</v>
      </c>
      <c r="H72" t="s">
        <v>74</v>
      </c>
      <c r="I72" t="s">
        <v>1648</v>
      </c>
      <c r="J72" t="s">
        <v>1649</v>
      </c>
      <c r="K72" t="s">
        <v>74</v>
      </c>
      <c r="L72" t="s">
        <v>74</v>
      </c>
      <c r="M72" t="s">
        <v>78</v>
      </c>
      <c r="N72" t="s">
        <v>79</v>
      </c>
      <c r="O72" t="s">
        <v>74</v>
      </c>
      <c r="P72" t="s">
        <v>74</v>
      </c>
      <c r="Q72" t="s">
        <v>74</v>
      </c>
      <c r="R72" t="s">
        <v>74</v>
      </c>
      <c r="S72" t="s">
        <v>74</v>
      </c>
      <c r="T72" t="s">
        <v>1650</v>
      </c>
      <c r="U72" t="s">
        <v>1651</v>
      </c>
      <c r="V72" t="s">
        <v>1652</v>
      </c>
      <c r="W72" t="s">
        <v>1653</v>
      </c>
      <c r="X72" t="s">
        <v>1654</v>
      </c>
      <c r="Y72" t="s">
        <v>1655</v>
      </c>
      <c r="Z72" t="s">
        <v>1656</v>
      </c>
      <c r="AA72" t="s">
        <v>1657</v>
      </c>
      <c r="AB72" t="s">
        <v>1658</v>
      </c>
      <c r="AC72" t="s">
        <v>1659</v>
      </c>
      <c r="AD72" t="s">
        <v>1660</v>
      </c>
      <c r="AE72" t="s">
        <v>1661</v>
      </c>
      <c r="AF72" t="s">
        <v>74</v>
      </c>
      <c r="AG72">
        <v>121</v>
      </c>
      <c r="AH72">
        <v>36</v>
      </c>
      <c r="AI72">
        <v>39</v>
      </c>
      <c r="AJ72">
        <v>1</v>
      </c>
      <c r="AK72">
        <v>16</v>
      </c>
      <c r="AL72" t="s">
        <v>1621</v>
      </c>
      <c r="AM72" t="s">
        <v>787</v>
      </c>
      <c r="AN72" t="s">
        <v>1622</v>
      </c>
      <c r="AO72" t="s">
        <v>1662</v>
      </c>
      <c r="AP72" t="s">
        <v>1663</v>
      </c>
      <c r="AQ72" t="s">
        <v>74</v>
      </c>
      <c r="AR72" t="s">
        <v>1664</v>
      </c>
      <c r="AS72" t="s">
        <v>1665</v>
      </c>
      <c r="AT72" t="s">
        <v>1309</v>
      </c>
      <c r="AU72">
        <v>2015</v>
      </c>
      <c r="AV72">
        <v>56</v>
      </c>
      <c r="AW72">
        <v>5</v>
      </c>
      <c r="AX72" t="s">
        <v>74</v>
      </c>
      <c r="AY72" t="s">
        <v>74</v>
      </c>
      <c r="AZ72" t="s">
        <v>74</v>
      </c>
      <c r="BA72" t="s">
        <v>74</v>
      </c>
      <c r="BB72">
        <v>919</v>
      </c>
      <c r="BC72">
        <v>952</v>
      </c>
      <c r="BD72" t="s">
        <v>74</v>
      </c>
      <c r="BE72" t="s">
        <v>1666</v>
      </c>
      <c r="BF72" t="str">
        <f>HYPERLINK("http://dx.doi.org/10.1093/petrology/egv022","http://dx.doi.org/10.1093/petrology/egv022")</f>
        <v>http://dx.doi.org/10.1093/petrology/egv022</v>
      </c>
      <c r="BG72" t="s">
        <v>74</v>
      </c>
      <c r="BH72" t="s">
        <v>74</v>
      </c>
      <c r="BI72">
        <v>34</v>
      </c>
      <c r="BJ72" t="s">
        <v>863</v>
      </c>
      <c r="BK72" t="s">
        <v>100</v>
      </c>
      <c r="BL72" t="s">
        <v>863</v>
      </c>
      <c r="BM72" t="s">
        <v>1667</v>
      </c>
      <c r="BN72" t="s">
        <v>74</v>
      </c>
      <c r="BO72" t="s">
        <v>156</v>
      </c>
      <c r="BP72" t="s">
        <v>74</v>
      </c>
      <c r="BQ72" t="s">
        <v>74</v>
      </c>
      <c r="BR72" t="s">
        <v>104</v>
      </c>
      <c r="BS72" t="s">
        <v>1668</v>
      </c>
      <c r="BT72" t="str">
        <f>HYPERLINK("https%3A%2F%2Fwww.webofscience.com%2Fwos%2Fwoscc%2Ffull-record%2FWOS:000356723700004","View Full Record in Web of Science")</f>
        <v>View Full Record in Web of Science</v>
      </c>
    </row>
    <row r="73" spans="1:72" x14ac:dyDescent="0.15">
      <c r="A73" t="s">
        <v>72</v>
      </c>
      <c r="B73" t="s">
        <v>1669</v>
      </c>
      <c r="C73" t="s">
        <v>74</v>
      </c>
      <c r="D73" t="s">
        <v>74</v>
      </c>
      <c r="E73" t="s">
        <v>74</v>
      </c>
      <c r="F73" t="s">
        <v>1670</v>
      </c>
      <c r="G73" t="s">
        <v>74</v>
      </c>
      <c r="H73" t="s">
        <v>74</v>
      </c>
      <c r="I73" t="s">
        <v>1671</v>
      </c>
      <c r="J73" t="s">
        <v>1672</v>
      </c>
      <c r="K73" t="s">
        <v>74</v>
      </c>
      <c r="L73" t="s">
        <v>74</v>
      </c>
      <c r="M73" t="s">
        <v>78</v>
      </c>
      <c r="N73" t="s">
        <v>1291</v>
      </c>
      <c r="O73" t="s">
        <v>74</v>
      </c>
      <c r="P73" t="s">
        <v>74</v>
      </c>
      <c r="Q73" t="s">
        <v>74</v>
      </c>
      <c r="R73" t="s">
        <v>74</v>
      </c>
      <c r="S73" t="s">
        <v>74</v>
      </c>
      <c r="T73" t="s">
        <v>74</v>
      </c>
      <c r="U73" t="s">
        <v>1673</v>
      </c>
      <c r="V73" t="s">
        <v>1674</v>
      </c>
      <c r="W73" t="s">
        <v>1675</v>
      </c>
      <c r="X73" t="s">
        <v>74</v>
      </c>
      <c r="Y73" t="s">
        <v>1676</v>
      </c>
      <c r="Z73" t="s">
        <v>1677</v>
      </c>
      <c r="AA73" t="s">
        <v>74</v>
      </c>
      <c r="AB73" t="s">
        <v>74</v>
      </c>
      <c r="AC73" t="s">
        <v>74</v>
      </c>
      <c r="AD73" t="s">
        <v>74</v>
      </c>
      <c r="AE73" t="s">
        <v>74</v>
      </c>
      <c r="AF73" t="s">
        <v>74</v>
      </c>
      <c r="AG73">
        <v>68</v>
      </c>
      <c r="AH73">
        <v>43</v>
      </c>
      <c r="AI73">
        <v>52</v>
      </c>
      <c r="AJ73">
        <v>9</v>
      </c>
      <c r="AK73">
        <v>77</v>
      </c>
      <c r="AL73" t="s">
        <v>1678</v>
      </c>
      <c r="AM73" t="s">
        <v>1481</v>
      </c>
      <c r="AN73" t="s">
        <v>1679</v>
      </c>
      <c r="AO73" t="s">
        <v>1680</v>
      </c>
      <c r="AP73" t="s">
        <v>74</v>
      </c>
      <c r="AQ73" t="s">
        <v>74</v>
      </c>
      <c r="AR73" t="s">
        <v>1672</v>
      </c>
      <c r="AS73" t="s">
        <v>1681</v>
      </c>
      <c r="AT73" t="s">
        <v>1309</v>
      </c>
      <c r="AU73">
        <v>2015</v>
      </c>
      <c r="AV73">
        <v>7</v>
      </c>
      <c r="AW73">
        <v>5</v>
      </c>
      <c r="AX73" t="s">
        <v>74</v>
      </c>
      <c r="AY73" t="s">
        <v>74</v>
      </c>
      <c r="AZ73" t="s">
        <v>74</v>
      </c>
      <c r="BA73" t="s">
        <v>74</v>
      </c>
      <c r="BB73">
        <v>3300</v>
      </c>
      <c r="BC73">
        <v>3321</v>
      </c>
      <c r="BD73" t="s">
        <v>74</v>
      </c>
      <c r="BE73" t="s">
        <v>1682</v>
      </c>
      <c r="BF73" t="str">
        <f>HYPERLINK("http://dx.doi.org/10.3390/nu7053300","http://dx.doi.org/10.3390/nu7053300")</f>
        <v>http://dx.doi.org/10.3390/nu7053300</v>
      </c>
      <c r="BG73" t="s">
        <v>74</v>
      </c>
      <c r="BH73" t="s">
        <v>74</v>
      </c>
      <c r="BI73">
        <v>22</v>
      </c>
      <c r="BJ73" t="s">
        <v>1683</v>
      </c>
      <c r="BK73" t="s">
        <v>100</v>
      </c>
      <c r="BL73" t="s">
        <v>1683</v>
      </c>
      <c r="BM73" t="s">
        <v>1684</v>
      </c>
      <c r="BN73">
        <v>25961320</v>
      </c>
      <c r="BO73" t="s">
        <v>1685</v>
      </c>
      <c r="BP73" t="s">
        <v>74</v>
      </c>
      <c r="BQ73" t="s">
        <v>74</v>
      </c>
      <c r="BR73" t="s">
        <v>104</v>
      </c>
      <c r="BS73" t="s">
        <v>1686</v>
      </c>
      <c r="BT73" t="str">
        <f>HYPERLINK("https%3A%2F%2Fwww.webofscience.com%2Fwos%2Fwoscc%2Ffull-record%2FWOS:000356240500015","View Full Record in Web of Science")</f>
        <v>View Full Record in Web of Science</v>
      </c>
    </row>
    <row r="74" spans="1:72" x14ac:dyDescent="0.15">
      <c r="A74" t="s">
        <v>72</v>
      </c>
      <c r="B74" t="s">
        <v>1687</v>
      </c>
      <c r="C74" t="s">
        <v>74</v>
      </c>
      <c r="D74" t="s">
        <v>74</v>
      </c>
      <c r="E74" t="s">
        <v>74</v>
      </c>
      <c r="F74" t="s">
        <v>1688</v>
      </c>
      <c r="G74" t="s">
        <v>74</v>
      </c>
      <c r="H74" t="s">
        <v>74</v>
      </c>
      <c r="I74" t="s">
        <v>1689</v>
      </c>
      <c r="J74" t="s">
        <v>1690</v>
      </c>
      <c r="K74" t="s">
        <v>74</v>
      </c>
      <c r="L74" t="s">
        <v>74</v>
      </c>
      <c r="M74" t="s">
        <v>78</v>
      </c>
      <c r="N74" t="s">
        <v>79</v>
      </c>
      <c r="O74" t="s">
        <v>74</v>
      </c>
      <c r="P74" t="s">
        <v>74</v>
      </c>
      <c r="Q74" t="s">
        <v>74</v>
      </c>
      <c r="R74" t="s">
        <v>74</v>
      </c>
      <c r="S74" t="s">
        <v>74</v>
      </c>
      <c r="T74" t="s">
        <v>1691</v>
      </c>
      <c r="U74" t="s">
        <v>1692</v>
      </c>
      <c r="V74" t="s">
        <v>1693</v>
      </c>
      <c r="W74" t="s">
        <v>1694</v>
      </c>
      <c r="X74" t="s">
        <v>302</v>
      </c>
      <c r="Y74" t="s">
        <v>1695</v>
      </c>
      <c r="Z74" t="s">
        <v>1696</v>
      </c>
      <c r="AA74" t="s">
        <v>74</v>
      </c>
      <c r="AB74" t="s">
        <v>1697</v>
      </c>
      <c r="AC74" t="s">
        <v>1698</v>
      </c>
      <c r="AD74" t="s">
        <v>1699</v>
      </c>
      <c r="AE74" t="s">
        <v>1700</v>
      </c>
      <c r="AF74" t="s">
        <v>74</v>
      </c>
      <c r="AG74">
        <v>89</v>
      </c>
      <c r="AH74">
        <v>14</v>
      </c>
      <c r="AI74">
        <v>19</v>
      </c>
      <c r="AJ74">
        <v>1</v>
      </c>
      <c r="AK74">
        <v>11</v>
      </c>
      <c r="AL74" t="s">
        <v>1701</v>
      </c>
      <c r="AM74" t="s">
        <v>1702</v>
      </c>
      <c r="AN74" t="s">
        <v>1703</v>
      </c>
      <c r="AO74" t="s">
        <v>1704</v>
      </c>
      <c r="AP74" t="s">
        <v>74</v>
      </c>
      <c r="AQ74" t="s">
        <v>74</v>
      </c>
      <c r="AR74" t="s">
        <v>1705</v>
      </c>
      <c r="AS74" t="s">
        <v>1706</v>
      </c>
      <c r="AT74" t="s">
        <v>1309</v>
      </c>
      <c r="AU74">
        <v>2015</v>
      </c>
      <c r="AV74">
        <v>42</v>
      </c>
      <c r="AW74">
        <v>2</v>
      </c>
      <c r="AX74" t="s">
        <v>74</v>
      </c>
      <c r="AY74" t="s">
        <v>74</v>
      </c>
      <c r="AZ74" t="s">
        <v>74</v>
      </c>
      <c r="BA74" t="s">
        <v>74</v>
      </c>
      <c r="BB74">
        <v>237</v>
      </c>
      <c r="BC74">
        <v>267</v>
      </c>
      <c r="BD74" t="s">
        <v>74</v>
      </c>
      <c r="BE74" t="s">
        <v>1707</v>
      </c>
      <c r="BF74" t="str">
        <f>HYPERLINK("http://dx.doi.org/10.5027/andgeoV42n1-a05","http://dx.doi.org/10.5027/andgeoV42n1-a05")</f>
        <v>http://dx.doi.org/10.5027/andgeoV42n1-a05</v>
      </c>
      <c r="BG74" t="s">
        <v>74</v>
      </c>
      <c r="BH74" t="s">
        <v>74</v>
      </c>
      <c r="BI74">
        <v>31</v>
      </c>
      <c r="BJ74" t="s">
        <v>220</v>
      </c>
      <c r="BK74" t="s">
        <v>100</v>
      </c>
      <c r="BL74" t="s">
        <v>220</v>
      </c>
      <c r="BM74" t="s">
        <v>1708</v>
      </c>
      <c r="BN74" t="s">
        <v>74</v>
      </c>
      <c r="BO74" t="s">
        <v>485</v>
      </c>
      <c r="BP74" t="s">
        <v>74</v>
      </c>
      <c r="BQ74" t="s">
        <v>74</v>
      </c>
      <c r="BR74" t="s">
        <v>104</v>
      </c>
      <c r="BS74" t="s">
        <v>1709</v>
      </c>
      <c r="BT74" t="str">
        <f>HYPERLINK("https%3A%2F%2Fwww.webofscience.com%2Fwos%2Fwoscc%2Ffull-record%2FWOS:000356084000005","View Full Record in Web of Science")</f>
        <v>View Full Record in Web of Science</v>
      </c>
    </row>
    <row r="75" spans="1:72" x14ac:dyDescent="0.15">
      <c r="A75" t="s">
        <v>72</v>
      </c>
      <c r="B75" t="s">
        <v>1710</v>
      </c>
      <c r="C75" t="s">
        <v>74</v>
      </c>
      <c r="D75" t="s">
        <v>74</v>
      </c>
      <c r="E75" t="s">
        <v>74</v>
      </c>
      <c r="F75" t="s">
        <v>1711</v>
      </c>
      <c r="G75" t="s">
        <v>74</v>
      </c>
      <c r="H75" t="s">
        <v>74</v>
      </c>
      <c r="I75" t="s">
        <v>1712</v>
      </c>
      <c r="J75" t="s">
        <v>1690</v>
      </c>
      <c r="K75" t="s">
        <v>74</v>
      </c>
      <c r="L75" t="s">
        <v>74</v>
      </c>
      <c r="M75" t="s">
        <v>78</v>
      </c>
      <c r="N75" t="s">
        <v>79</v>
      </c>
      <c r="O75" t="s">
        <v>74</v>
      </c>
      <c r="P75" t="s">
        <v>74</v>
      </c>
      <c r="Q75" t="s">
        <v>74</v>
      </c>
      <c r="R75" t="s">
        <v>74</v>
      </c>
      <c r="S75" t="s">
        <v>74</v>
      </c>
      <c r="T75" t="s">
        <v>1713</v>
      </c>
      <c r="U75" t="s">
        <v>1714</v>
      </c>
      <c r="V75" t="s">
        <v>1715</v>
      </c>
      <c r="W75" t="s">
        <v>1716</v>
      </c>
      <c r="X75" t="s">
        <v>302</v>
      </c>
      <c r="Y75" t="s">
        <v>1717</v>
      </c>
      <c r="Z75" t="s">
        <v>1718</v>
      </c>
      <c r="AA75" t="s">
        <v>74</v>
      </c>
      <c r="AB75" t="s">
        <v>1697</v>
      </c>
      <c r="AC75" t="s">
        <v>1698</v>
      </c>
      <c r="AD75" t="s">
        <v>1699</v>
      </c>
      <c r="AE75" t="s">
        <v>1719</v>
      </c>
      <c r="AF75" t="s">
        <v>74</v>
      </c>
      <c r="AG75">
        <v>69</v>
      </c>
      <c r="AH75">
        <v>13</v>
      </c>
      <c r="AI75">
        <v>13</v>
      </c>
      <c r="AJ75">
        <v>0</v>
      </c>
      <c r="AK75">
        <v>3</v>
      </c>
      <c r="AL75" t="s">
        <v>1701</v>
      </c>
      <c r="AM75" t="s">
        <v>1702</v>
      </c>
      <c r="AN75" t="s">
        <v>1703</v>
      </c>
      <c r="AO75" t="s">
        <v>1704</v>
      </c>
      <c r="AP75" t="s">
        <v>74</v>
      </c>
      <c r="AQ75" t="s">
        <v>74</v>
      </c>
      <c r="AR75" t="s">
        <v>1705</v>
      </c>
      <c r="AS75" t="s">
        <v>1706</v>
      </c>
      <c r="AT75" t="s">
        <v>1309</v>
      </c>
      <c r="AU75">
        <v>2015</v>
      </c>
      <c r="AV75">
        <v>42</v>
      </c>
      <c r="AW75">
        <v>2</v>
      </c>
      <c r="AX75" t="s">
        <v>74</v>
      </c>
      <c r="AY75" t="s">
        <v>74</v>
      </c>
      <c r="AZ75" t="s">
        <v>74</v>
      </c>
      <c r="BA75" t="s">
        <v>74</v>
      </c>
      <c r="BB75">
        <v>268</v>
      </c>
      <c r="BC75">
        <v>283</v>
      </c>
      <c r="BD75" t="s">
        <v>74</v>
      </c>
      <c r="BE75" t="s">
        <v>1720</v>
      </c>
      <c r="BF75" t="str">
        <f>HYPERLINK("http://dx.doi.org/10.5027/andgeoV42n2-a06","http://dx.doi.org/10.5027/andgeoV42n2-a06")</f>
        <v>http://dx.doi.org/10.5027/andgeoV42n2-a06</v>
      </c>
      <c r="BG75" t="s">
        <v>74</v>
      </c>
      <c r="BH75" t="s">
        <v>74</v>
      </c>
      <c r="BI75">
        <v>16</v>
      </c>
      <c r="BJ75" t="s">
        <v>220</v>
      </c>
      <c r="BK75" t="s">
        <v>100</v>
      </c>
      <c r="BL75" t="s">
        <v>220</v>
      </c>
      <c r="BM75" t="s">
        <v>1708</v>
      </c>
      <c r="BN75" t="s">
        <v>74</v>
      </c>
      <c r="BO75" t="s">
        <v>1721</v>
      </c>
      <c r="BP75" t="s">
        <v>74</v>
      </c>
      <c r="BQ75" t="s">
        <v>74</v>
      </c>
      <c r="BR75" t="s">
        <v>104</v>
      </c>
      <c r="BS75" t="s">
        <v>1722</v>
      </c>
      <c r="BT75" t="str">
        <f>HYPERLINK("https%3A%2F%2Fwww.webofscience.com%2Fwos%2Fwoscc%2Ffull-record%2FWOS:000356084000006","View Full Record in Web of Science")</f>
        <v>View Full Record in Web of Science</v>
      </c>
    </row>
    <row r="76" spans="1:72" x14ac:dyDescent="0.15">
      <c r="A76" t="s">
        <v>72</v>
      </c>
      <c r="B76" t="s">
        <v>1723</v>
      </c>
      <c r="C76" t="s">
        <v>74</v>
      </c>
      <c r="D76" t="s">
        <v>74</v>
      </c>
      <c r="E76" t="s">
        <v>74</v>
      </c>
      <c r="F76" t="s">
        <v>1724</v>
      </c>
      <c r="G76" t="s">
        <v>74</v>
      </c>
      <c r="H76" t="s">
        <v>74</v>
      </c>
      <c r="I76" t="s">
        <v>1725</v>
      </c>
      <c r="J76" t="s">
        <v>1726</v>
      </c>
      <c r="K76" t="s">
        <v>74</v>
      </c>
      <c r="L76" t="s">
        <v>74</v>
      </c>
      <c r="M76" t="s">
        <v>78</v>
      </c>
      <c r="N76" t="s">
        <v>79</v>
      </c>
      <c r="O76" t="s">
        <v>74</v>
      </c>
      <c r="P76" t="s">
        <v>74</v>
      </c>
      <c r="Q76" t="s">
        <v>74</v>
      </c>
      <c r="R76" t="s">
        <v>74</v>
      </c>
      <c r="S76" t="s">
        <v>74</v>
      </c>
      <c r="T76" t="s">
        <v>74</v>
      </c>
      <c r="U76" t="s">
        <v>1727</v>
      </c>
      <c r="V76" t="s">
        <v>1728</v>
      </c>
      <c r="W76" t="s">
        <v>1729</v>
      </c>
      <c r="X76" t="s">
        <v>1730</v>
      </c>
      <c r="Y76" t="s">
        <v>1731</v>
      </c>
      <c r="Z76" t="s">
        <v>1732</v>
      </c>
      <c r="AA76" t="s">
        <v>1733</v>
      </c>
      <c r="AB76" t="s">
        <v>74</v>
      </c>
      <c r="AC76" t="s">
        <v>1734</v>
      </c>
      <c r="AD76" t="s">
        <v>1735</v>
      </c>
      <c r="AE76" t="s">
        <v>1736</v>
      </c>
      <c r="AF76" t="s">
        <v>74</v>
      </c>
      <c r="AG76">
        <v>49</v>
      </c>
      <c r="AH76">
        <v>18</v>
      </c>
      <c r="AI76">
        <v>22</v>
      </c>
      <c r="AJ76">
        <v>1</v>
      </c>
      <c r="AK76">
        <v>44</v>
      </c>
      <c r="AL76" t="s">
        <v>1678</v>
      </c>
      <c r="AM76" t="s">
        <v>1481</v>
      </c>
      <c r="AN76" t="s">
        <v>1679</v>
      </c>
      <c r="AO76" t="s">
        <v>74</v>
      </c>
      <c r="AP76" t="s">
        <v>1737</v>
      </c>
      <c r="AQ76" t="s">
        <v>74</v>
      </c>
      <c r="AR76" t="s">
        <v>1738</v>
      </c>
      <c r="AS76" t="s">
        <v>1739</v>
      </c>
      <c r="AT76" t="s">
        <v>1309</v>
      </c>
      <c r="AU76">
        <v>2015</v>
      </c>
      <c r="AV76">
        <v>6</v>
      </c>
      <c r="AW76">
        <v>5</v>
      </c>
      <c r="AX76" t="s">
        <v>74</v>
      </c>
      <c r="AY76" t="s">
        <v>74</v>
      </c>
      <c r="AZ76" t="s">
        <v>74</v>
      </c>
      <c r="BA76" t="s">
        <v>74</v>
      </c>
      <c r="BB76">
        <v>699</v>
      </c>
      <c r="BC76">
        <v>712</v>
      </c>
      <c r="BD76" t="s">
        <v>74</v>
      </c>
      <c r="BE76" t="s">
        <v>1740</v>
      </c>
      <c r="BF76" t="str">
        <f>HYPERLINK("http://dx.doi.org/10.3390/atmos6050699","http://dx.doi.org/10.3390/atmos6050699")</f>
        <v>http://dx.doi.org/10.3390/atmos6050699</v>
      </c>
      <c r="BG76" t="s">
        <v>74</v>
      </c>
      <c r="BH76" t="s">
        <v>74</v>
      </c>
      <c r="BI76">
        <v>14</v>
      </c>
      <c r="BJ76" t="s">
        <v>1741</v>
      </c>
      <c r="BK76" t="s">
        <v>100</v>
      </c>
      <c r="BL76" t="s">
        <v>1742</v>
      </c>
      <c r="BM76" t="s">
        <v>1743</v>
      </c>
      <c r="BN76" t="s">
        <v>74</v>
      </c>
      <c r="BO76" t="s">
        <v>1490</v>
      </c>
      <c r="BP76" t="s">
        <v>74</v>
      </c>
      <c r="BQ76" t="s">
        <v>74</v>
      </c>
      <c r="BR76" t="s">
        <v>104</v>
      </c>
      <c r="BS76" t="s">
        <v>1744</v>
      </c>
      <c r="BT76" t="str">
        <f>HYPERLINK("https%3A%2F%2Fwww.webofscience.com%2Fwos%2Fwoscc%2Ffull-record%2FWOS:000356242100008","View Full Record in Web of Science")</f>
        <v>View Full Record in Web of Science</v>
      </c>
    </row>
    <row r="77" spans="1:72" x14ac:dyDescent="0.15">
      <c r="A77" t="s">
        <v>72</v>
      </c>
      <c r="B77" t="s">
        <v>1745</v>
      </c>
      <c r="C77" t="s">
        <v>74</v>
      </c>
      <c r="D77" t="s">
        <v>74</v>
      </c>
      <c r="E77" t="s">
        <v>74</v>
      </c>
      <c r="F77" t="s">
        <v>1746</v>
      </c>
      <c r="G77" t="s">
        <v>74</v>
      </c>
      <c r="H77" t="s">
        <v>74</v>
      </c>
      <c r="I77" t="s">
        <v>1747</v>
      </c>
      <c r="J77" t="s">
        <v>1748</v>
      </c>
      <c r="K77" t="s">
        <v>74</v>
      </c>
      <c r="L77" t="s">
        <v>74</v>
      </c>
      <c r="M77" t="s">
        <v>78</v>
      </c>
      <c r="N77" t="s">
        <v>79</v>
      </c>
      <c r="O77" t="s">
        <v>74</v>
      </c>
      <c r="P77" t="s">
        <v>74</v>
      </c>
      <c r="Q77" t="s">
        <v>74</v>
      </c>
      <c r="R77" t="s">
        <v>74</v>
      </c>
      <c r="S77" t="s">
        <v>74</v>
      </c>
      <c r="T77" t="s">
        <v>1749</v>
      </c>
      <c r="U77" t="s">
        <v>1750</v>
      </c>
      <c r="V77" t="s">
        <v>1751</v>
      </c>
      <c r="W77" t="s">
        <v>1752</v>
      </c>
      <c r="X77" t="s">
        <v>1753</v>
      </c>
      <c r="Y77" t="s">
        <v>1754</v>
      </c>
      <c r="Z77" t="s">
        <v>1755</v>
      </c>
      <c r="AA77" t="s">
        <v>1756</v>
      </c>
      <c r="AB77" t="s">
        <v>1757</v>
      </c>
      <c r="AC77" t="s">
        <v>1758</v>
      </c>
      <c r="AD77" t="s">
        <v>1759</v>
      </c>
      <c r="AE77" t="s">
        <v>1760</v>
      </c>
      <c r="AF77" t="s">
        <v>74</v>
      </c>
      <c r="AG77">
        <v>40</v>
      </c>
      <c r="AH77">
        <v>66</v>
      </c>
      <c r="AI77">
        <v>72</v>
      </c>
      <c r="AJ77">
        <v>2</v>
      </c>
      <c r="AK77">
        <v>59</v>
      </c>
      <c r="AL77" t="s">
        <v>1621</v>
      </c>
      <c r="AM77" t="s">
        <v>787</v>
      </c>
      <c r="AN77" t="s">
        <v>1622</v>
      </c>
      <c r="AO77" t="s">
        <v>1761</v>
      </c>
      <c r="AP77" t="s">
        <v>1762</v>
      </c>
      <c r="AQ77" t="s">
        <v>74</v>
      </c>
      <c r="AR77" t="s">
        <v>1763</v>
      </c>
      <c r="AS77" t="s">
        <v>1764</v>
      </c>
      <c r="AT77" t="s">
        <v>1418</v>
      </c>
      <c r="AU77">
        <v>2015</v>
      </c>
      <c r="AV77">
        <v>37</v>
      </c>
      <c r="AW77">
        <v>3</v>
      </c>
      <c r="AX77" t="s">
        <v>74</v>
      </c>
      <c r="AY77" t="s">
        <v>74</v>
      </c>
      <c r="AZ77" t="s">
        <v>74</v>
      </c>
      <c r="BA77" t="s">
        <v>74</v>
      </c>
      <c r="BB77">
        <v>500</v>
      </c>
      <c r="BC77">
        <v>508</v>
      </c>
      <c r="BD77" t="s">
        <v>74</v>
      </c>
      <c r="BE77" t="s">
        <v>1765</v>
      </c>
      <c r="BF77" t="str">
        <f>HYPERLINK("http://dx.doi.org/10.1093/plankt/fbv021","http://dx.doi.org/10.1093/plankt/fbv021")</f>
        <v>http://dx.doi.org/10.1093/plankt/fbv021</v>
      </c>
      <c r="BG77" t="s">
        <v>74</v>
      </c>
      <c r="BH77" t="s">
        <v>74</v>
      </c>
      <c r="BI77">
        <v>9</v>
      </c>
      <c r="BJ77" t="s">
        <v>1766</v>
      </c>
      <c r="BK77" t="s">
        <v>100</v>
      </c>
      <c r="BL77" t="s">
        <v>1766</v>
      </c>
      <c r="BM77" t="s">
        <v>1767</v>
      </c>
      <c r="BN77" t="s">
        <v>74</v>
      </c>
      <c r="BO77" t="s">
        <v>156</v>
      </c>
      <c r="BP77" t="s">
        <v>74</v>
      </c>
      <c r="BQ77" t="s">
        <v>74</v>
      </c>
      <c r="BR77" t="s">
        <v>104</v>
      </c>
      <c r="BS77" t="s">
        <v>1768</v>
      </c>
      <c r="BT77" t="str">
        <f>HYPERLINK("https%3A%2F%2Fwww.webofscience.com%2Fwos%2Fwoscc%2Ffull-record%2FWOS:000356039200002","View Full Record in Web of Science")</f>
        <v>View Full Record in Web of Science</v>
      </c>
    </row>
    <row r="78" spans="1:72" x14ac:dyDescent="0.15">
      <c r="A78" t="s">
        <v>72</v>
      </c>
      <c r="B78" t="s">
        <v>1769</v>
      </c>
      <c r="C78" t="s">
        <v>74</v>
      </c>
      <c r="D78" t="s">
        <v>74</v>
      </c>
      <c r="E78" t="s">
        <v>74</v>
      </c>
      <c r="F78" t="s">
        <v>1770</v>
      </c>
      <c r="G78" t="s">
        <v>74</v>
      </c>
      <c r="H78" t="s">
        <v>74</v>
      </c>
      <c r="I78" t="s">
        <v>1771</v>
      </c>
      <c r="J78" t="s">
        <v>1772</v>
      </c>
      <c r="K78" t="s">
        <v>74</v>
      </c>
      <c r="L78" t="s">
        <v>74</v>
      </c>
      <c r="M78" t="s">
        <v>78</v>
      </c>
      <c r="N78" t="s">
        <v>79</v>
      </c>
      <c r="O78" t="s">
        <v>74</v>
      </c>
      <c r="P78" t="s">
        <v>74</v>
      </c>
      <c r="Q78" t="s">
        <v>74</v>
      </c>
      <c r="R78" t="s">
        <v>74</v>
      </c>
      <c r="S78" t="s">
        <v>74</v>
      </c>
      <c r="T78" t="s">
        <v>1773</v>
      </c>
      <c r="U78" t="s">
        <v>1774</v>
      </c>
      <c r="V78" t="s">
        <v>1775</v>
      </c>
      <c r="W78" t="s">
        <v>1776</v>
      </c>
      <c r="X78" t="s">
        <v>1777</v>
      </c>
      <c r="Y78" t="s">
        <v>1778</v>
      </c>
      <c r="Z78" t="s">
        <v>1779</v>
      </c>
      <c r="AA78" t="s">
        <v>1780</v>
      </c>
      <c r="AB78" t="s">
        <v>1781</v>
      </c>
      <c r="AC78" t="s">
        <v>74</v>
      </c>
      <c r="AD78" t="s">
        <v>74</v>
      </c>
      <c r="AE78" t="s">
        <v>74</v>
      </c>
      <c r="AF78" t="s">
        <v>74</v>
      </c>
      <c r="AG78">
        <v>49</v>
      </c>
      <c r="AH78">
        <v>11</v>
      </c>
      <c r="AI78">
        <v>11</v>
      </c>
      <c r="AJ78">
        <v>1</v>
      </c>
      <c r="AK78">
        <v>45</v>
      </c>
      <c r="AL78" t="s">
        <v>1239</v>
      </c>
      <c r="AM78" t="s">
        <v>448</v>
      </c>
      <c r="AN78" t="s">
        <v>1240</v>
      </c>
      <c r="AO78" t="s">
        <v>1782</v>
      </c>
      <c r="AP78" t="s">
        <v>1783</v>
      </c>
      <c r="AQ78" t="s">
        <v>74</v>
      </c>
      <c r="AR78" t="s">
        <v>1784</v>
      </c>
      <c r="AS78" t="s">
        <v>1785</v>
      </c>
      <c r="AT78" t="s">
        <v>1309</v>
      </c>
      <c r="AU78">
        <v>2015</v>
      </c>
      <c r="AV78">
        <v>139</v>
      </c>
      <c r="AW78">
        <v>1</v>
      </c>
      <c r="AX78" t="s">
        <v>74</v>
      </c>
      <c r="AY78" t="s">
        <v>74</v>
      </c>
      <c r="AZ78" t="s">
        <v>74</v>
      </c>
      <c r="BA78" t="s">
        <v>74</v>
      </c>
      <c r="BB78">
        <v>19</v>
      </c>
      <c r="BC78">
        <v>37</v>
      </c>
      <c r="BD78" t="s">
        <v>74</v>
      </c>
      <c r="BE78" t="s">
        <v>1786</v>
      </c>
      <c r="BF78" t="str">
        <f>HYPERLINK("http://dx.doi.org/10.1080/03721426.2015.1035215","http://dx.doi.org/10.1080/03721426.2015.1035215")</f>
        <v>http://dx.doi.org/10.1080/03721426.2015.1035215</v>
      </c>
      <c r="BG78" t="s">
        <v>74</v>
      </c>
      <c r="BH78" t="s">
        <v>74</v>
      </c>
      <c r="BI78">
        <v>19</v>
      </c>
      <c r="BJ78" t="s">
        <v>429</v>
      </c>
      <c r="BK78" t="s">
        <v>100</v>
      </c>
      <c r="BL78" t="s">
        <v>430</v>
      </c>
      <c r="BM78" t="s">
        <v>1787</v>
      </c>
      <c r="BN78" t="s">
        <v>74</v>
      </c>
      <c r="BO78" t="s">
        <v>74</v>
      </c>
      <c r="BP78" t="s">
        <v>74</v>
      </c>
      <c r="BQ78" t="s">
        <v>74</v>
      </c>
      <c r="BR78" t="s">
        <v>104</v>
      </c>
      <c r="BS78" t="s">
        <v>1788</v>
      </c>
      <c r="BT78" t="str">
        <f>HYPERLINK("https%3A%2F%2Fwww.webofscience.com%2Fwos%2Fwoscc%2Ffull-record%2FWOS:000356326600004","View Full Record in Web of Science")</f>
        <v>View Full Record in Web of Science</v>
      </c>
    </row>
    <row r="79" spans="1:72" x14ac:dyDescent="0.15">
      <c r="A79" t="s">
        <v>72</v>
      </c>
      <c r="B79" t="s">
        <v>1789</v>
      </c>
      <c r="C79" t="s">
        <v>74</v>
      </c>
      <c r="D79" t="s">
        <v>74</v>
      </c>
      <c r="E79" t="s">
        <v>74</v>
      </c>
      <c r="F79" t="s">
        <v>1790</v>
      </c>
      <c r="G79" t="s">
        <v>74</v>
      </c>
      <c r="H79" t="s">
        <v>74</v>
      </c>
      <c r="I79" t="s">
        <v>1791</v>
      </c>
      <c r="J79" t="s">
        <v>1792</v>
      </c>
      <c r="K79" t="s">
        <v>74</v>
      </c>
      <c r="L79" t="s">
        <v>74</v>
      </c>
      <c r="M79" t="s">
        <v>78</v>
      </c>
      <c r="N79" t="s">
        <v>1222</v>
      </c>
      <c r="O79" t="s">
        <v>1793</v>
      </c>
      <c r="P79" t="s">
        <v>1794</v>
      </c>
      <c r="Q79" t="s">
        <v>1795</v>
      </c>
      <c r="R79" t="s">
        <v>74</v>
      </c>
      <c r="S79" t="s">
        <v>74</v>
      </c>
      <c r="T79" t="s">
        <v>74</v>
      </c>
      <c r="U79" t="s">
        <v>1796</v>
      </c>
      <c r="V79" t="s">
        <v>1797</v>
      </c>
      <c r="W79" t="s">
        <v>1798</v>
      </c>
      <c r="X79" t="s">
        <v>1799</v>
      </c>
      <c r="Y79" t="s">
        <v>1800</v>
      </c>
      <c r="Z79" t="s">
        <v>1801</v>
      </c>
      <c r="AA79" t="s">
        <v>1802</v>
      </c>
      <c r="AB79" t="s">
        <v>1803</v>
      </c>
      <c r="AC79" t="s">
        <v>1804</v>
      </c>
      <c r="AD79" t="s">
        <v>1805</v>
      </c>
      <c r="AE79" t="s">
        <v>1806</v>
      </c>
      <c r="AF79" t="s">
        <v>74</v>
      </c>
      <c r="AG79">
        <v>26</v>
      </c>
      <c r="AH79">
        <v>15</v>
      </c>
      <c r="AI79">
        <v>18</v>
      </c>
      <c r="AJ79">
        <v>5</v>
      </c>
      <c r="AK79">
        <v>22</v>
      </c>
      <c r="AL79" t="s">
        <v>1239</v>
      </c>
      <c r="AM79" t="s">
        <v>448</v>
      </c>
      <c r="AN79" t="s">
        <v>1240</v>
      </c>
      <c r="AO79" t="s">
        <v>1807</v>
      </c>
      <c r="AP79" t="s">
        <v>1808</v>
      </c>
      <c r="AQ79" t="s">
        <v>74</v>
      </c>
      <c r="AR79" t="s">
        <v>1809</v>
      </c>
      <c r="AS79" t="s">
        <v>1810</v>
      </c>
      <c r="AT79" t="s">
        <v>1309</v>
      </c>
      <c r="AU79">
        <v>2015</v>
      </c>
      <c r="AV79">
        <v>47</v>
      </c>
      <c r="AW79">
        <v>2</v>
      </c>
      <c r="AX79" t="s">
        <v>74</v>
      </c>
      <c r="AY79" t="s">
        <v>74</v>
      </c>
      <c r="AZ79" t="s">
        <v>74</v>
      </c>
      <c r="BA79" t="s">
        <v>74</v>
      </c>
      <c r="BB79">
        <v>195</v>
      </c>
      <c r="BC79">
        <v>202</v>
      </c>
      <c r="BD79" t="s">
        <v>74</v>
      </c>
      <c r="BE79" t="s">
        <v>1811</v>
      </c>
      <c r="BF79" t="str">
        <f>HYPERLINK("http://dx.doi.org/10.1657/AAAR00C-13-301","http://dx.doi.org/10.1657/AAAR00C-13-301")</f>
        <v>http://dx.doi.org/10.1657/AAAR00C-13-301</v>
      </c>
      <c r="BG79" t="s">
        <v>74</v>
      </c>
      <c r="BH79" t="s">
        <v>74</v>
      </c>
      <c r="BI79">
        <v>8</v>
      </c>
      <c r="BJ79" t="s">
        <v>1812</v>
      </c>
      <c r="BK79" t="s">
        <v>1247</v>
      </c>
      <c r="BL79" t="s">
        <v>197</v>
      </c>
      <c r="BM79" t="s">
        <v>1813</v>
      </c>
      <c r="BN79" t="s">
        <v>74</v>
      </c>
      <c r="BO79" t="s">
        <v>293</v>
      </c>
      <c r="BP79" t="s">
        <v>74</v>
      </c>
      <c r="BQ79" t="s">
        <v>74</v>
      </c>
      <c r="BR79" t="s">
        <v>104</v>
      </c>
      <c r="BS79" t="s">
        <v>1814</v>
      </c>
      <c r="BT79" t="str">
        <f>HYPERLINK("https%3A%2F%2Fwww.webofscience.com%2Fwos%2Fwoscc%2Ffull-record%2FWOS:000355627500002","View Full Record in Web of Science")</f>
        <v>View Full Record in Web of Science</v>
      </c>
    </row>
    <row r="80" spans="1:72" x14ac:dyDescent="0.15">
      <c r="A80" t="s">
        <v>72</v>
      </c>
      <c r="B80" t="s">
        <v>1815</v>
      </c>
      <c r="C80" t="s">
        <v>74</v>
      </c>
      <c r="D80" t="s">
        <v>74</v>
      </c>
      <c r="E80" t="s">
        <v>74</v>
      </c>
      <c r="F80" t="s">
        <v>1816</v>
      </c>
      <c r="G80" t="s">
        <v>74</v>
      </c>
      <c r="H80" t="s">
        <v>74</v>
      </c>
      <c r="I80" t="s">
        <v>1817</v>
      </c>
      <c r="J80" t="s">
        <v>1792</v>
      </c>
      <c r="K80" t="s">
        <v>74</v>
      </c>
      <c r="L80" t="s">
        <v>74</v>
      </c>
      <c r="M80" t="s">
        <v>78</v>
      </c>
      <c r="N80" t="s">
        <v>1222</v>
      </c>
      <c r="O80" t="s">
        <v>1793</v>
      </c>
      <c r="P80" t="s">
        <v>1794</v>
      </c>
      <c r="Q80" t="s">
        <v>1795</v>
      </c>
      <c r="R80" t="s">
        <v>74</v>
      </c>
      <c r="S80" t="s">
        <v>74</v>
      </c>
      <c r="T80" t="s">
        <v>74</v>
      </c>
      <c r="U80" t="s">
        <v>1818</v>
      </c>
      <c r="V80" t="s">
        <v>1819</v>
      </c>
      <c r="W80" t="s">
        <v>1820</v>
      </c>
      <c r="X80" t="s">
        <v>1821</v>
      </c>
      <c r="Y80" t="s">
        <v>1822</v>
      </c>
      <c r="Z80" t="s">
        <v>1823</v>
      </c>
      <c r="AA80" t="s">
        <v>1824</v>
      </c>
      <c r="AB80" t="s">
        <v>1825</v>
      </c>
      <c r="AC80" t="s">
        <v>1826</v>
      </c>
      <c r="AD80" t="s">
        <v>1827</v>
      </c>
      <c r="AE80" t="s">
        <v>1828</v>
      </c>
      <c r="AF80" t="s">
        <v>74</v>
      </c>
      <c r="AG80">
        <v>58</v>
      </c>
      <c r="AH80">
        <v>29</v>
      </c>
      <c r="AI80">
        <v>38</v>
      </c>
      <c r="AJ80">
        <v>5</v>
      </c>
      <c r="AK80">
        <v>68</v>
      </c>
      <c r="AL80" t="s">
        <v>1829</v>
      </c>
      <c r="AM80" t="s">
        <v>1458</v>
      </c>
      <c r="AN80" t="s">
        <v>1830</v>
      </c>
      <c r="AO80" t="s">
        <v>1807</v>
      </c>
      <c r="AP80" t="s">
        <v>1808</v>
      </c>
      <c r="AQ80" t="s">
        <v>74</v>
      </c>
      <c r="AR80" t="s">
        <v>1809</v>
      </c>
      <c r="AS80" t="s">
        <v>1810</v>
      </c>
      <c r="AT80" t="s">
        <v>1309</v>
      </c>
      <c r="AU80">
        <v>2015</v>
      </c>
      <c r="AV80">
        <v>47</v>
      </c>
      <c r="AW80">
        <v>2</v>
      </c>
      <c r="AX80" t="s">
        <v>74</v>
      </c>
      <c r="AY80" t="s">
        <v>74</v>
      </c>
      <c r="AZ80" t="s">
        <v>74</v>
      </c>
      <c r="BA80" t="s">
        <v>74</v>
      </c>
      <c r="BB80">
        <v>203</v>
      </c>
      <c r="BC80">
        <v>211</v>
      </c>
      <c r="BD80" t="s">
        <v>74</v>
      </c>
      <c r="BE80" t="s">
        <v>1831</v>
      </c>
      <c r="BF80" t="str">
        <f>HYPERLINK("http://dx.doi.org/10.1657/AAAR00C-13-095","http://dx.doi.org/10.1657/AAAR00C-13-095")</f>
        <v>http://dx.doi.org/10.1657/AAAR00C-13-095</v>
      </c>
      <c r="BG80" t="s">
        <v>74</v>
      </c>
      <c r="BH80" t="s">
        <v>74</v>
      </c>
      <c r="BI80">
        <v>9</v>
      </c>
      <c r="BJ80" t="s">
        <v>1812</v>
      </c>
      <c r="BK80" t="s">
        <v>1247</v>
      </c>
      <c r="BL80" t="s">
        <v>197</v>
      </c>
      <c r="BM80" t="s">
        <v>1813</v>
      </c>
      <c r="BN80" t="s">
        <v>74</v>
      </c>
      <c r="BO80" t="s">
        <v>1832</v>
      </c>
      <c r="BP80" t="s">
        <v>74</v>
      </c>
      <c r="BQ80" t="s">
        <v>74</v>
      </c>
      <c r="BR80" t="s">
        <v>104</v>
      </c>
      <c r="BS80" t="s">
        <v>1833</v>
      </c>
      <c r="BT80" t="str">
        <f>HYPERLINK("https%3A%2F%2Fwww.webofscience.com%2Fwos%2Fwoscc%2Ffull-record%2FWOS:000355627500003","View Full Record in Web of Science")</f>
        <v>View Full Record in Web of Science</v>
      </c>
    </row>
    <row r="81" spans="1:72" x14ac:dyDescent="0.15">
      <c r="A81" t="s">
        <v>72</v>
      </c>
      <c r="B81" t="s">
        <v>1834</v>
      </c>
      <c r="C81" t="s">
        <v>74</v>
      </c>
      <c r="D81" t="s">
        <v>74</v>
      </c>
      <c r="E81" t="s">
        <v>74</v>
      </c>
      <c r="F81" t="s">
        <v>1835</v>
      </c>
      <c r="G81" t="s">
        <v>74</v>
      </c>
      <c r="H81" t="s">
        <v>74</v>
      </c>
      <c r="I81" t="s">
        <v>1836</v>
      </c>
      <c r="J81" t="s">
        <v>1792</v>
      </c>
      <c r="K81" t="s">
        <v>74</v>
      </c>
      <c r="L81" t="s">
        <v>74</v>
      </c>
      <c r="M81" t="s">
        <v>78</v>
      </c>
      <c r="N81" t="s">
        <v>1222</v>
      </c>
      <c r="O81" t="s">
        <v>1793</v>
      </c>
      <c r="P81" t="s">
        <v>1794</v>
      </c>
      <c r="Q81" t="s">
        <v>1795</v>
      </c>
      <c r="R81" t="s">
        <v>74</v>
      </c>
      <c r="S81" t="s">
        <v>74</v>
      </c>
      <c r="T81" t="s">
        <v>74</v>
      </c>
      <c r="U81" t="s">
        <v>1837</v>
      </c>
      <c r="V81" t="s">
        <v>1838</v>
      </c>
      <c r="W81" t="s">
        <v>1839</v>
      </c>
      <c r="X81" t="s">
        <v>1840</v>
      </c>
      <c r="Y81" t="s">
        <v>1841</v>
      </c>
      <c r="Z81" t="s">
        <v>1823</v>
      </c>
      <c r="AA81" t="s">
        <v>1842</v>
      </c>
      <c r="AB81" t="s">
        <v>1843</v>
      </c>
      <c r="AC81" t="s">
        <v>1844</v>
      </c>
      <c r="AD81" t="s">
        <v>1845</v>
      </c>
      <c r="AE81" t="s">
        <v>1846</v>
      </c>
      <c r="AF81" t="s">
        <v>74</v>
      </c>
      <c r="AG81">
        <v>48</v>
      </c>
      <c r="AH81">
        <v>26</v>
      </c>
      <c r="AI81">
        <v>30</v>
      </c>
      <c r="AJ81">
        <v>7</v>
      </c>
      <c r="AK81">
        <v>40</v>
      </c>
      <c r="AL81" t="s">
        <v>1239</v>
      </c>
      <c r="AM81" t="s">
        <v>448</v>
      </c>
      <c r="AN81" t="s">
        <v>1240</v>
      </c>
      <c r="AO81" t="s">
        <v>1807</v>
      </c>
      <c r="AP81" t="s">
        <v>1808</v>
      </c>
      <c r="AQ81" t="s">
        <v>74</v>
      </c>
      <c r="AR81" t="s">
        <v>1809</v>
      </c>
      <c r="AS81" t="s">
        <v>1810</v>
      </c>
      <c r="AT81" t="s">
        <v>1309</v>
      </c>
      <c r="AU81">
        <v>2015</v>
      </c>
      <c r="AV81">
        <v>47</v>
      </c>
      <c r="AW81">
        <v>2</v>
      </c>
      <c r="AX81" t="s">
        <v>74</v>
      </c>
      <c r="AY81" t="s">
        <v>74</v>
      </c>
      <c r="AZ81" t="s">
        <v>74</v>
      </c>
      <c r="BA81" t="s">
        <v>74</v>
      </c>
      <c r="BB81">
        <v>231</v>
      </c>
      <c r="BC81">
        <v>241</v>
      </c>
      <c r="BD81" t="s">
        <v>74</v>
      </c>
      <c r="BE81" t="s">
        <v>1847</v>
      </c>
      <c r="BF81" t="str">
        <f>HYPERLINK("http://dx.doi.org/10.1657/AAAR00C-14-012","http://dx.doi.org/10.1657/AAAR00C-14-012")</f>
        <v>http://dx.doi.org/10.1657/AAAR00C-14-012</v>
      </c>
      <c r="BG81" t="s">
        <v>74</v>
      </c>
      <c r="BH81" t="s">
        <v>74</v>
      </c>
      <c r="BI81">
        <v>11</v>
      </c>
      <c r="BJ81" t="s">
        <v>1812</v>
      </c>
      <c r="BK81" t="s">
        <v>1247</v>
      </c>
      <c r="BL81" t="s">
        <v>197</v>
      </c>
      <c r="BM81" t="s">
        <v>1813</v>
      </c>
      <c r="BN81" t="s">
        <v>74</v>
      </c>
      <c r="BO81" t="s">
        <v>293</v>
      </c>
      <c r="BP81" t="s">
        <v>74</v>
      </c>
      <c r="BQ81" t="s">
        <v>74</v>
      </c>
      <c r="BR81" t="s">
        <v>104</v>
      </c>
      <c r="BS81" t="s">
        <v>1848</v>
      </c>
      <c r="BT81" t="str">
        <f>HYPERLINK("https%3A%2F%2Fwww.webofscience.com%2Fwos%2Fwoscc%2Ffull-record%2FWOS:000355627500005","View Full Record in Web of Science")</f>
        <v>View Full Record in Web of Science</v>
      </c>
    </row>
    <row r="82" spans="1:72" x14ac:dyDescent="0.15">
      <c r="A82" t="s">
        <v>72</v>
      </c>
      <c r="B82" t="s">
        <v>1849</v>
      </c>
      <c r="C82" t="s">
        <v>74</v>
      </c>
      <c r="D82" t="s">
        <v>74</v>
      </c>
      <c r="E82" t="s">
        <v>74</v>
      </c>
      <c r="F82" t="s">
        <v>1850</v>
      </c>
      <c r="G82" t="s">
        <v>74</v>
      </c>
      <c r="H82" t="s">
        <v>74</v>
      </c>
      <c r="I82" t="s">
        <v>1851</v>
      </c>
      <c r="J82" t="s">
        <v>1792</v>
      </c>
      <c r="K82" t="s">
        <v>74</v>
      </c>
      <c r="L82" t="s">
        <v>74</v>
      </c>
      <c r="M82" t="s">
        <v>78</v>
      </c>
      <c r="N82" t="s">
        <v>1222</v>
      </c>
      <c r="O82" t="s">
        <v>1793</v>
      </c>
      <c r="P82" t="s">
        <v>1794</v>
      </c>
      <c r="Q82" t="s">
        <v>1795</v>
      </c>
      <c r="R82" t="s">
        <v>74</v>
      </c>
      <c r="S82" t="s">
        <v>74</v>
      </c>
      <c r="T82" t="s">
        <v>74</v>
      </c>
      <c r="U82" t="s">
        <v>1852</v>
      </c>
      <c r="V82" t="s">
        <v>1853</v>
      </c>
      <c r="W82" t="s">
        <v>1854</v>
      </c>
      <c r="X82" t="s">
        <v>1855</v>
      </c>
      <c r="Y82" t="s">
        <v>1856</v>
      </c>
      <c r="Z82" t="s">
        <v>1857</v>
      </c>
      <c r="AA82" t="s">
        <v>1858</v>
      </c>
      <c r="AB82" t="s">
        <v>74</v>
      </c>
      <c r="AC82" t="s">
        <v>1859</v>
      </c>
      <c r="AD82" t="s">
        <v>1860</v>
      </c>
      <c r="AE82" t="s">
        <v>1861</v>
      </c>
      <c r="AF82" t="s">
        <v>74</v>
      </c>
      <c r="AG82">
        <v>23</v>
      </c>
      <c r="AH82">
        <v>4</v>
      </c>
      <c r="AI82">
        <v>6</v>
      </c>
      <c r="AJ82">
        <v>1</v>
      </c>
      <c r="AK82">
        <v>17</v>
      </c>
      <c r="AL82" t="s">
        <v>1829</v>
      </c>
      <c r="AM82" t="s">
        <v>1458</v>
      </c>
      <c r="AN82" t="s">
        <v>1830</v>
      </c>
      <c r="AO82" t="s">
        <v>1807</v>
      </c>
      <c r="AP82" t="s">
        <v>1808</v>
      </c>
      <c r="AQ82" t="s">
        <v>74</v>
      </c>
      <c r="AR82" t="s">
        <v>1809</v>
      </c>
      <c r="AS82" t="s">
        <v>1810</v>
      </c>
      <c r="AT82" t="s">
        <v>1309</v>
      </c>
      <c r="AU82">
        <v>2015</v>
      </c>
      <c r="AV82">
        <v>47</v>
      </c>
      <c r="AW82">
        <v>2</v>
      </c>
      <c r="AX82" t="s">
        <v>74</v>
      </c>
      <c r="AY82" t="s">
        <v>74</v>
      </c>
      <c r="AZ82" t="s">
        <v>74</v>
      </c>
      <c r="BA82" t="s">
        <v>74</v>
      </c>
      <c r="BB82">
        <v>243</v>
      </c>
      <c r="BC82">
        <v>253</v>
      </c>
      <c r="BD82" t="s">
        <v>74</v>
      </c>
      <c r="BE82" t="s">
        <v>1862</v>
      </c>
      <c r="BF82" t="str">
        <f>HYPERLINK("http://dx.doi.org/10.1657/AAAR00C-13-125","http://dx.doi.org/10.1657/AAAR00C-13-125")</f>
        <v>http://dx.doi.org/10.1657/AAAR00C-13-125</v>
      </c>
      <c r="BG82" t="s">
        <v>74</v>
      </c>
      <c r="BH82" t="s">
        <v>74</v>
      </c>
      <c r="BI82">
        <v>11</v>
      </c>
      <c r="BJ82" t="s">
        <v>1812</v>
      </c>
      <c r="BK82" t="s">
        <v>1247</v>
      </c>
      <c r="BL82" t="s">
        <v>197</v>
      </c>
      <c r="BM82" t="s">
        <v>1813</v>
      </c>
      <c r="BN82" t="s">
        <v>74</v>
      </c>
      <c r="BO82" t="s">
        <v>293</v>
      </c>
      <c r="BP82" t="s">
        <v>74</v>
      </c>
      <c r="BQ82" t="s">
        <v>74</v>
      </c>
      <c r="BR82" t="s">
        <v>104</v>
      </c>
      <c r="BS82" t="s">
        <v>1863</v>
      </c>
      <c r="BT82" t="str">
        <f>HYPERLINK("https%3A%2F%2Fwww.webofscience.com%2Fwos%2Fwoscc%2Ffull-record%2FWOS:000355627500006","View Full Record in Web of Science")</f>
        <v>View Full Record in Web of Science</v>
      </c>
    </row>
    <row r="83" spans="1:72" x14ac:dyDescent="0.15">
      <c r="A83" t="s">
        <v>72</v>
      </c>
      <c r="B83" t="s">
        <v>1864</v>
      </c>
      <c r="C83" t="s">
        <v>74</v>
      </c>
      <c r="D83" t="s">
        <v>74</v>
      </c>
      <c r="E83" t="s">
        <v>74</v>
      </c>
      <c r="F83" t="s">
        <v>1865</v>
      </c>
      <c r="G83" t="s">
        <v>74</v>
      </c>
      <c r="H83" t="s">
        <v>74</v>
      </c>
      <c r="I83" t="s">
        <v>1866</v>
      </c>
      <c r="J83" t="s">
        <v>1792</v>
      </c>
      <c r="K83" t="s">
        <v>74</v>
      </c>
      <c r="L83" t="s">
        <v>74</v>
      </c>
      <c r="M83" t="s">
        <v>78</v>
      </c>
      <c r="N83" t="s">
        <v>1222</v>
      </c>
      <c r="O83" t="s">
        <v>1793</v>
      </c>
      <c r="P83" t="s">
        <v>1794</v>
      </c>
      <c r="Q83" t="s">
        <v>1795</v>
      </c>
      <c r="R83" t="s">
        <v>74</v>
      </c>
      <c r="S83" t="s">
        <v>74</v>
      </c>
      <c r="T83" t="s">
        <v>74</v>
      </c>
      <c r="U83" t="s">
        <v>1867</v>
      </c>
      <c r="V83" t="s">
        <v>1868</v>
      </c>
      <c r="W83" t="s">
        <v>1869</v>
      </c>
      <c r="X83" t="s">
        <v>1870</v>
      </c>
      <c r="Y83" t="s">
        <v>1871</v>
      </c>
      <c r="Z83" t="s">
        <v>1872</v>
      </c>
      <c r="AA83" t="s">
        <v>1873</v>
      </c>
      <c r="AB83" t="s">
        <v>1874</v>
      </c>
      <c r="AC83" t="s">
        <v>1875</v>
      </c>
      <c r="AD83" t="s">
        <v>1876</v>
      </c>
      <c r="AE83" t="s">
        <v>1877</v>
      </c>
      <c r="AF83" t="s">
        <v>74</v>
      </c>
      <c r="AG83">
        <v>32</v>
      </c>
      <c r="AH83">
        <v>28</v>
      </c>
      <c r="AI83">
        <v>34</v>
      </c>
      <c r="AJ83">
        <v>1</v>
      </c>
      <c r="AK83">
        <v>41</v>
      </c>
      <c r="AL83" t="s">
        <v>1829</v>
      </c>
      <c r="AM83" t="s">
        <v>1458</v>
      </c>
      <c r="AN83" t="s">
        <v>1830</v>
      </c>
      <c r="AO83" t="s">
        <v>1807</v>
      </c>
      <c r="AP83" t="s">
        <v>1808</v>
      </c>
      <c r="AQ83" t="s">
        <v>74</v>
      </c>
      <c r="AR83" t="s">
        <v>1809</v>
      </c>
      <c r="AS83" t="s">
        <v>1810</v>
      </c>
      <c r="AT83" t="s">
        <v>1309</v>
      </c>
      <c r="AU83">
        <v>2015</v>
      </c>
      <c r="AV83">
        <v>47</v>
      </c>
      <c r="AW83">
        <v>2</v>
      </c>
      <c r="AX83" t="s">
        <v>74</v>
      </c>
      <c r="AY83" t="s">
        <v>74</v>
      </c>
      <c r="AZ83" t="s">
        <v>74</v>
      </c>
      <c r="BA83" t="s">
        <v>74</v>
      </c>
      <c r="BB83">
        <v>255</v>
      </c>
      <c r="BC83">
        <v>265</v>
      </c>
      <c r="BD83" t="s">
        <v>74</v>
      </c>
      <c r="BE83" t="s">
        <v>1878</v>
      </c>
      <c r="BF83" t="str">
        <f>HYPERLINK("http://dx.doi.org/10.1657/AAAR00C-13-306","http://dx.doi.org/10.1657/AAAR00C-13-306")</f>
        <v>http://dx.doi.org/10.1657/AAAR00C-13-306</v>
      </c>
      <c r="BG83" t="s">
        <v>74</v>
      </c>
      <c r="BH83" t="s">
        <v>74</v>
      </c>
      <c r="BI83">
        <v>11</v>
      </c>
      <c r="BJ83" t="s">
        <v>1812</v>
      </c>
      <c r="BK83" t="s">
        <v>1247</v>
      </c>
      <c r="BL83" t="s">
        <v>197</v>
      </c>
      <c r="BM83" t="s">
        <v>1813</v>
      </c>
      <c r="BN83" t="s">
        <v>74</v>
      </c>
      <c r="BO83" t="s">
        <v>559</v>
      </c>
      <c r="BP83" t="s">
        <v>74</v>
      </c>
      <c r="BQ83" t="s">
        <v>74</v>
      </c>
      <c r="BR83" t="s">
        <v>104</v>
      </c>
      <c r="BS83" t="s">
        <v>1879</v>
      </c>
      <c r="BT83" t="str">
        <f>HYPERLINK("https%3A%2F%2Fwww.webofscience.com%2Fwos%2Fwoscc%2Ffull-record%2FWOS:000355627500007","View Full Record in Web of Science")</f>
        <v>View Full Record in Web of Science</v>
      </c>
    </row>
    <row r="84" spans="1:72" x14ac:dyDescent="0.15">
      <c r="A84" t="s">
        <v>72</v>
      </c>
      <c r="B84" t="s">
        <v>1880</v>
      </c>
      <c r="C84" t="s">
        <v>74</v>
      </c>
      <c r="D84" t="s">
        <v>74</v>
      </c>
      <c r="E84" t="s">
        <v>74</v>
      </c>
      <c r="F84" t="s">
        <v>1881</v>
      </c>
      <c r="G84" t="s">
        <v>74</v>
      </c>
      <c r="H84" t="s">
        <v>74</v>
      </c>
      <c r="I84" t="s">
        <v>1882</v>
      </c>
      <c r="J84" t="s">
        <v>1792</v>
      </c>
      <c r="K84" t="s">
        <v>74</v>
      </c>
      <c r="L84" t="s">
        <v>74</v>
      </c>
      <c r="M84" t="s">
        <v>78</v>
      </c>
      <c r="N84" t="s">
        <v>1222</v>
      </c>
      <c r="O84" t="s">
        <v>1793</v>
      </c>
      <c r="P84" t="s">
        <v>1794</v>
      </c>
      <c r="Q84" t="s">
        <v>1795</v>
      </c>
      <c r="R84" t="s">
        <v>74</v>
      </c>
      <c r="S84" t="s">
        <v>74</v>
      </c>
      <c r="T84" t="s">
        <v>74</v>
      </c>
      <c r="U84" t="s">
        <v>1883</v>
      </c>
      <c r="V84" t="s">
        <v>1884</v>
      </c>
      <c r="W84" t="s">
        <v>1885</v>
      </c>
      <c r="X84" t="s">
        <v>1886</v>
      </c>
      <c r="Y84" t="s">
        <v>1887</v>
      </c>
      <c r="Z84" t="s">
        <v>1888</v>
      </c>
      <c r="AA84" t="s">
        <v>1889</v>
      </c>
      <c r="AB84" t="s">
        <v>1890</v>
      </c>
      <c r="AC84" t="s">
        <v>1891</v>
      </c>
      <c r="AD84" t="s">
        <v>1892</v>
      </c>
      <c r="AE84" t="s">
        <v>1893</v>
      </c>
      <c r="AF84" t="s">
        <v>74</v>
      </c>
      <c r="AG84">
        <v>46</v>
      </c>
      <c r="AH84">
        <v>45</v>
      </c>
      <c r="AI84">
        <v>49</v>
      </c>
      <c r="AJ84">
        <v>3</v>
      </c>
      <c r="AK84">
        <v>45</v>
      </c>
      <c r="AL84" t="s">
        <v>1239</v>
      </c>
      <c r="AM84" t="s">
        <v>448</v>
      </c>
      <c r="AN84" t="s">
        <v>1240</v>
      </c>
      <c r="AO84" t="s">
        <v>1807</v>
      </c>
      <c r="AP84" t="s">
        <v>1808</v>
      </c>
      <c r="AQ84" t="s">
        <v>74</v>
      </c>
      <c r="AR84" t="s">
        <v>1809</v>
      </c>
      <c r="AS84" t="s">
        <v>1810</v>
      </c>
      <c r="AT84" t="s">
        <v>1309</v>
      </c>
      <c r="AU84">
        <v>2015</v>
      </c>
      <c r="AV84">
        <v>47</v>
      </c>
      <c r="AW84">
        <v>2</v>
      </c>
      <c r="AX84" t="s">
        <v>74</v>
      </c>
      <c r="AY84" t="s">
        <v>74</v>
      </c>
      <c r="AZ84" t="s">
        <v>74</v>
      </c>
      <c r="BA84" t="s">
        <v>74</v>
      </c>
      <c r="BB84">
        <v>267</v>
      </c>
      <c r="BC84">
        <v>279</v>
      </c>
      <c r="BD84" t="s">
        <v>74</v>
      </c>
      <c r="BE84" t="s">
        <v>1894</v>
      </c>
      <c r="BF84" t="str">
        <f>HYPERLINK("http://dx.doi.org/10.1657/AAAR00C-14-016","http://dx.doi.org/10.1657/AAAR00C-14-016")</f>
        <v>http://dx.doi.org/10.1657/AAAR00C-14-016</v>
      </c>
      <c r="BG84" t="s">
        <v>74</v>
      </c>
      <c r="BH84" t="s">
        <v>74</v>
      </c>
      <c r="BI84">
        <v>13</v>
      </c>
      <c r="BJ84" t="s">
        <v>1812</v>
      </c>
      <c r="BK84" t="s">
        <v>1247</v>
      </c>
      <c r="BL84" t="s">
        <v>197</v>
      </c>
      <c r="BM84" t="s">
        <v>1813</v>
      </c>
      <c r="BN84" t="s">
        <v>74</v>
      </c>
      <c r="BO84" t="s">
        <v>293</v>
      </c>
      <c r="BP84" t="s">
        <v>74</v>
      </c>
      <c r="BQ84" t="s">
        <v>74</v>
      </c>
      <c r="BR84" t="s">
        <v>104</v>
      </c>
      <c r="BS84" t="s">
        <v>1895</v>
      </c>
      <c r="BT84" t="str">
        <f>HYPERLINK("https%3A%2F%2Fwww.webofscience.com%2Fwos%2Fwoscc%2Ffull-record%2FWOS:000355627500008","View Full Record in Web of Science")</f>
        <v>View Full Record in Web of Science</v>
      </c>
    </row>
    <row r="85" spans="1:72" x14ac:dyDescent="0.15">
      <c r="A85" t="s">
        <v>72</v>
      </c>
      <c r="B85" t="s">
        <v>1896</v>
      </c>
      <c r="C85" t="s">
        <v>74</v>
      </c>
      <c r="D85" t="s">
        <v>74</v>
      </c>
      <c r="E85" t="s">
        <v>74</v>
      </c>
      <c r="F85" t="s">
        <v>1897</v>
      </c>
      <c r="G85" t="s">
        <v>74</v>
      </c>
      <c r="H85" t="s">
        <v>74</v>
      </c>
      <c r="I85" t="s">
        <v>1898</v>
      </c>
      <c r="J85" t="s">
        <v>1792</v>
      </c>
      <c r="K85" t="s">
        <v>74</v>
      </c>
      <c r="L85" t="s">
        <v>74</v>
      </c>
      <c r="M85" t="s">
        <v>78</v>
      </c>
      <c r="N85" t="s">
        <v>1222</v>
      </c>
      <c r="O85" t="s">
        <v>1793</v>
      </c>
      <c r="P85" t="s">
        <v>1794</v>
      </c>
      <c r="Q85" t="s">
        <v>1795</v>
      </c>
      <c r="R85" t="s">
        <v>74</v>
      </c>
      <c r="S85" t="s">
        <v>74</v>
      </c>
      <c r="T85" t="s">
        <v>74</v>
      </c>
      <c r="U85" t="s">
        <v>1899</v>
      </c>
      <c r="V85" t="s">
        <v>1900</v>
      </c>
      <c r="W85" t="s">
        <v>1901</v>
      </c>
      <c r="X85" t="s">
        <v>1902</v>
      </c>
      <c r="Y85" t="s">
        <v>1903</v>
      </c>
      <c r="Z85" t="s">
        <v>1904</v>
      </c>
      <c r="AA85" t="s">
        <v>74</v>
      </c>
      <c r="AB85" t="s">
        <v>74</v>
      </c>
      <c r="AC85" t="s">
        <v>1905</v>
      </c>
      <c r="AD85" t="s">
        <v>1906</v>
      </c>
      <c r="AE85" t="s">
        <v>1907</v>
      </c>
      <c r="AF85" t="s">
        <v>74</v>
      </c>
      <c r="AG85">
        <v>32</v>
      </c>
      <c r="AH85">
        <v>10</v>
      </c>
      <c r="AI85">
        <v>12</v>
      </c>
      <c r="AJ85">
        <v>0</v>
      </c>
      <c r="AK85">
        <v>29</v>
      </c>
      <c r="AL85" t="s">
        <v>1829</v>
      </c>
      <c r="AM85" t="s">
        <v>1458</v>
      </c>
      <c r="AN85" t="s">
        <v>1830</v>
      </c>
      <c r="AO85" t="s">
        <v>1807</v>
      </c>
      <c r="AP85" t="s">
        <v>1808</v>
      </c>
      <c r="AQ85" t="s">
        <v>74</v>
      </c>
      <c r="AR85" t="s">
        <v>1809</v>
      </c>
      <c r="AS85" t="s">
        <v>1810</v>
      </c>
      <c r="AT85" t="s">
        <v>1309</v>
      </c>
      <c r="AU85">
        <v>2015</v>
      </c>
      <c r="AV85">
        <v>47</v>
      </c>
      <c r="AW85">
        <v>2</v>
      </c>
      <c r="AX85" t="s">
        <v>74</v>
      </c>
      <c r="AY85" t="s">
        <v>74</v>
      </c>
      <c r="AZ85" t="s">
        <v>74</v>
      </c>
      <c r="BA85" t="s">
        <v>74</v>
      </c>
      <c r="BB85">
        <v>293</v>
      </c>
      <c r="BC85">
        <v>300</v>
      </c>
      <c r="BD85" t="s">
        <v>74</v>
      </c>
      <c r="BE85" t="s">
        <v>1908</v>
      </c>
      <c r="BF85" t="str">
        <f>HYPERLINK("http://dx.doi.org/10.1657/AAAR00C-13-303","http://dx.doi.org/10.1657/AAAR00C-13-303")</f>
        <v>http://dx.doi.org/10.1657/AAAR00C-13-303</v>
      </c>
      <c r="BG85" t="s">
        <v>74</v>
      </c>
      <c r="BH85" t="s">
        <v>74</v>
      </c>
      <c r="BI85">
        <v>8</v>
      </c>
      <c r="BJ85" t="s">
        <v>1812</v>
      </c>
      <c r="BK85" t="s">
        <v>1247</v>
      </c>
      <c r="BL85" t="s">
        <v>197</v>
      </c>
      <c r="BM85" t="s">
        <v>1813</v>
      </c>
      <c r="BN85" t="s">
        <v>74</v>
      </c>
      <c r="BO85" t="s">
        <v>1832</v>
      </c>
      <c r="BP85" t="s">
        <v>74</v>
      </c>
      <c r="BQ85" t="s">
        <v>74</v>
      </c>
      <c r="BR85" t="s">
        <v>104</v>
      </c>
      <c r="BS85" t="s">
        <v>1909</v>
      </c>
      <c r="BT85" t="str">
        <f>HYPERLINK("https%3A%2F%2Fwww.webofscience.com%2Fwos%2Fwoscc%2Ffull-record%2FWOS:000355627500010","View Full Record in Web of Science")</f>
        <v>View Full Record in Web of Science</v>
      </c>
    </row>
    <row r="86" spans="1:72" x14ac:dyDescent="0.15">
      <c r="A86" t="s">
        <v>72</v>
      </c>
      <c r="B86" t="s">
        <v>1910</v>
      </c>
      <c r="C86" t="s">
        <v>74</v>
      </c>
      <c r="D86" t="s">
        <v>74</v>
      </c>
      <c r="E86" t="s">
        <v>74</v>
      </c>
      <c r="F86" t="s">
        <v>1911</v>
      </c>
      <c r="G86" t="s">
        <v>74</v>
      </c>
      <c r="H86" t="s">
        <v>74</v>
      </c>
      <c r="I86" t="s">
        <v>1912</v>
      </c>
      <c r="J86" t="s">
        <v>1792</v>
      </c>
      <c r="K86" t="s">
        <v>74</v>
      </c>
      <c r="L86" t="s">
        <v>74</v>
      </c>
      <c r="M86" t="s">
        <v>78</v>
      </c>
      <c r="N86" t="s">
        <v>1222</v>
      </c>
      <c r="O86" t="s">
        <v>1793</v>
      </c>
      <c r="P86" t="s">
        <v>1794</v>
      </c>
      <c r="Q86" t="s">
        <v>1795</v>
      </c>
      <c r="R86" t="s">
        <v>74</v>
      </c>
      <c r="S86" t="s">
        <v>74</v>
      </c>
      <c r="T86" t="s">
        <v>74</v>
      </c>
      <c r="U86" t="s">
        <v>1913</v>
      </c>
      <c r="V86" t="s">
        <v>1914</v>
      </c>
      <c r="W86" t="s">
        <v>1915</v>
      </c>
      <c r="X86" t="s">
        <v>1916</v>
      </c>
      <c r="Y86" t="s">
        <v>1917</v>
      </c>
      <c r="Z86" t="s">
        <v>1918</v>
      </c>
      <c r="AA86" t="s">
        <v>1919</v>
      </c>
      <c r="AB86" t="s">
        <v>1920</v>
      </c>
      <c r="AC86" t="s">
        <v>1921</v>
      </c>
      <c r="AD86" t="s">
        <v>1922</v>
      </c>
      <c r="AE86" t="s">
        <v>1923</v>
      </c>
      <c r="AF86" t="s">
        <v>74</v>
      </c>
      <c r="AG86">
        <v>64</v>
      </c>
      <c r="AH86">
        <v>22</v>
      </c>
      <c r="AI86">
        <v>30</v>
      </c>
      <c r="AJ86">
        <v>0</v>
      </c>
      <c r="AK86">
        <v>25</v>
      </c>
      <c r="AL86" t="s">
        <v>1239</v>
      </c>
      <c r="AM86" t="s">
        <v>448</v>
      </c>
      <c r="AN86" t="s">
        <v>1240</v>
      </c>
      <c r="AO86" t="s">
        <v>1807</v>
      </c>
      <c r="AP86" t="s">
        <v>1808</v>
      </c>
      <c r="AQ86" t="s">
        <v>74</v>
      </c>
      <c r="AR86" t="s">
        <v>1809</v>
      </c>
      <c r="AS86" t="s">
        <v>1810</v>
      </c>
      <c r="AT86" t="s">
        <v>1309</v>
      </c>
      <c r="AU86">
        <v>2015</v>
      </c>
      <c r="AV86">
        <v>47</v>
      </c>
      <c r="AW86">
        <v>2</v>
      </c>
      <c r="AX86" t="s">
        <v>74</v>
      </c>
      <c r="AY86" t="s">
        <v>74</v>
      </c>
      <c r="AZ86" t="s">
        <v>74</v>
      </c>
      <c r="BA86" t="s">
        <v>74</v>
      </c>
      <c r="BB86">
        <v>301</v>
      </c>
      <c r="BC86">
        <v>311</v>
      </c>
      <c r="BD86" t="s">
        <v>74</v>
      </c>
      <c r="BE86" t="s">
        <v>1924</v>
      </c>
      <c r="BF86" t="str">
        <f>HYPERLINK("http://dx.doi.org/10.1657/AAAR00C-13-129","http://dx.doi.org/10.1657/AAAR00C-13-129")</f>
        <v>http://dx.doi.org/10.1657/AAAR00C-13-129</v>
      </c>
      <c r="BG86" t="s">
        <v>74</v>
      </c>
      <c r="BH86" t="s">
        <v>74</v>
      </c>
      <c r="BI86">
        <v>11</v>
      </c>
      <c r="BJ86" t="s">
        <v>1812</v>
      </c>
      <c r="BK86" t="s">
        <v>1247</v>
      </c>
      <c r="BL86" t="s">
        <v>197</v>
      </c>
      <c r="BM86" t="s">
        <v>1813</v>
      </c>
      <c r="BN86" t="s">
        <v>74</v>
      </c>
      <c r="BO86" t="s">
        <v>1832</v>
      </c>
      <c r="BP86" t="s">
        <v>74</v>
      </c>
      <c r="BQ86" t="s">
        <v>74</v>
      </c>
      <c r="BR86" t="s">
        <v>104</v>
      </c>
      <c r="BS86" t="s">
        <v>1925</v>
      </c>
      <c r="BT86" t="str">
        <f>HYPERLINK("https%3A%2F%2Fwww.webofscience.com%2Fwos%2Fwoscc%2Ffull-record%2FWOS:000355627500011","View Full Record in Web of Science")</f>
        <v>View Full Record in Web of Science</v>
      </c>
    </row>
    <row r="87" spans="1:72" x14ac:dyDescent="0.15">
      <c r="A87" t="s">
        <v>72</v>
      </c>
      <c r="B87" t="s">
        <v>1926</v>
      </c>
      <c r="C87" t="s">
        <v>74</v>
      </c>
      <c r="D87" t="s">
        <v>74</v>
      </c>
      <c r="E87" t="s">
        <v>74</v>
      </c>
      <c r="F87" t="s">
        <v>1927</v>
      </c>
      <c r="G87" t="s">
        <v>74</v>
      </c>
      <c r="H87" t="s">
        <v>74</v>
      </c>
      <c r="I87" t="s">
        <v>1928</v>
      </c>
      <c r="J87" t="s">
        <v>1792</v>
      </c>
      <c r="K87" t="s">
        <v>74</v>
      </c>
      <c r="L87" t="s">
        <v>74</v>
      </c>
      <c r="M87" t="s">
        <v>78</v>
      </c>
      <c r="N87" t="s">
        <v>1222</v>
      </c>
      <c r="O87" t="s">
        <v>1793</v>
      </c>
      <c r="P87" t="s">
        <v>1794</v>
      </c>
      <c r="Q87" t="s">
        <v>1795</v>
      </c>
      <c r="R87" t="s">
        <v>74</v>
      </c>
      <c r="S87" t="s">
        <v>74</v>
      </c>
      <c r="T87" t="s">
        <v>74</v>
      </c>
      <c r="U87" t="s">
        <v>1929</v>
      </c>
      <c r="V87" t="s">
        <v>1930</v>
      </c>
      <c r="W87" t="s">
        <v>1931</v>
      </c>
      <c r="X87" t="s">
        <v>1932</v>
      </c>
      <c r="Y87" t="s">
        <v>1933</v>
      </c>
      <c r="Z87" t="s">
        <v>1934</v>
      </c>
      <c r="AA87" t="s">
        <v>1935</v>
      </c>
      <c r="AB87" t="s">
        <v>1936</v>
      </c>
      <c r="AC87" t="s">
        <v>1937</v>
      </c>
      <c r="AD87" t="s">
        <v>1938</v>
      </c>
      <c r="AE87" t="s">
        <v>1939</v>
      </c>
      <c r="AF87" t="s">
        <v>74</v>
      </c>
      <c r="AG87">
        <v>43</v>
      </c>
      <c r="AH87">
        <v>20</v>
      </c>
      <c r="AI87">
        <v>22</v>
      </c>
      <c r="AJ87">
        <v>1</v>
      </c>
      <c r="AK87">
        <v>40</v>
      </c>
      <c r="AL87" t="s">
        <v>1829</v>
      </c>
      <c r="AM87" t="s">
        <v>1458</v>
      </c>
      <c r="AN87" t="s">
        <v>1830</v>
      </c>
      <c r="AO87" t="s">
        <v>1807</v>
      </c>
      <c r="AP87" t="s">
        <v>1808</v>
      </c>
      <c r="AQ87" t="s">
        <v>74</v>
      </c>
      <c r="AR87" t="s">
        <v>1809</v>
      </c>
      <c r="AS87" t="s">
        <v>1810</v>
      </c>
      <c r="AT87" t="s">
        <v>1309</v>
      </c>
      <c r="AU87">
        <v>2015</v>
      </c>
      <c r="AV87">
        <v>47</v>
      </c>
      <c r="AW87">
        <v>2</v>
      </c>
      <c r="AX87" t="s">
        <v>74</v>
      </c>
      <c r="AY87" t="s">
        <v>74</v>
      </c>
      <c r="AZ87" t="s">
        <v>74</v>
      </c>
      <c r="BA87" t="s">
        <v>74</v>
      </c>
      <c r="BB87">
        <v>313</v>
      </c>
      <c r="BC87">
        <v>326</v>
      </c>
      <c r="BD87" t="s">
        <v>74</v>
      </c>
      <c r="BE87" t="s">
        <v>1940</v>
      </c>
      <c r="BF87" t="str">
        <f>HYPERLINK("http://dx.doi.org/10.1657/AAAR00C-13-135","http://dx.doi.org/10.1657/AAAR00C-13-135")</f>
        <v>http://dx.doi.org/10.1657/AAAR00C-13-135</v>
      </c>
      <c r="BG87" t="s">
        <v>74</v>
      </c>
      <c r="BH87" t="s">
        <v>74</v>
      </c>
      <c r="BI87">
        <v>14</v>
      </c>
      <c r="BJ87" t="s">
        <v>1812</v>
      </c>
      <c r="BK87" t="s">
        <v>1247</v>
      </c>
      <c r="BL87" t="s">
        <v>197</v>
      </c>
      <c r="BM87" t="s">
        <v>1813</v>
      </c>
      <c r="BN87" t="s">
        <v>74</v>
      </c>
      <c r="BO87" t="s">
        <v>1832</v>
      </c>
      <c r="BP87" t="s">
        <v>74</v>
      </c>
      <c r="BQ87" t="s">
        <v>74</v>
      </c>
      <c r="BR87" t="s">
        <v>104</v>
      </c>
      <c r="BS87" t="s">
        <v>1941</v>
      </c>
      <c r="BT87" t="str">
        <f>HYPERLINK("https%3A%2F%2Fwww.webofscience.com%2Fwos%2Fwoscc%2Ffull-record%2FWOS:000355627500012","View Full Record in Web of Science")</f>
        <v>View Full Record in Web of Science</v>
      </c>
    </row>
    <row r="88" spans="1:72" x14ac:dyDescent="0.15">
      <c r="A88" t="s">
        <v>72</v>
      </c>
      <c r="B88" t="s">
        <v>1942</v>
      </c>
      <c r="C88" t="s">
        <v>74</v>
      </c>
      <c r="D88" t="s">
        <v>74</v>
      </c>
      <c r="E88" t="s">
        <v>74</v>
      </c>
      <c r="F88" t="s">
        <v>1943</v>
      </c>
      <c r="G88" t="s">
        <v>74</v>
      </c>
      <c r="H88" t="s">
        <v>74</v>
      </c>
      <c r="I88" t="s">
        <v>1944</v>
      </c>
      <c r="J88" t="s">
        <v>1792</v>
      </c>
      <c r="K88" t="s">
        <v>74</v>
      </c>
      <c r="L88" t="s">
        <v>74</v>
      </c>
      <c r="M88" t="s">
        <v>78</v>
      </c>
      <c r="N88" t="s">
        <v>1222</v>
      </c>
      <c r="O88" t="s">
        <v>1793</v>
      </c>
      <c r="P88" t="s">
        <v>1794</v>
      </c>
      <c r="Q88" t="s">
        <v>1795</v>
      </c>
      <c r="R88" t="s">
        <v>74</v>
      </c>
      <c r="S88" t="s">
        <v>74</v>
      </c>
      <c r="T88" t="s">
        <v>74</v>
      </c>
      <c r="U88" t="s">
        <v>1945</v>
      </c>
      <c r="V88" t="s">
        <v>1946</v>
      </c>
      <c r="W88" t="s">
        <v>1947</v>
      </c>
      <c r="X88" t="s">
        <v>1948</v>
      </c>
      <c r="Y88" t="s">
        <v>1949</v>
      </c>
      <c r="Z88" t="s">
        <v>1950</v>
      </c>
      <c r="AA88" t="s">
        <v>1951</v>
      </c>
      <c r="AB88" t="s">
        <v>1952</v>
      </c>
      <c r="AC88" t="s">
        <v>1953</v>
      </c>
      <c r="AD88" t="s">
        <v>1954</v>
      </c>
      <c r="AE88" t="s">
        <v>1955</v>
      </c>
      <c r="AF88" t="s">
        <v>74</v>
      </c>
      <c r="AG88">
        <v>43</v>
      </c>
      <c r="AH88">
        <v>9</v>
      </c>
      <c r="AI88">
        <v>10</v>
      </c>
      <c r="AJ88">
        <v>0</v>
      </c>
      <c r="AK88">
        <v>35</v>
      </c>
      <c r="AL88" t="s">
        <v>1829</v>
      </c>
      <c r="AM88" t="s">
        <v>1458</v>
      </c>
      <c r="AN88" t="s">
        <v>1830</v>
      </c>
      <c r="AO88" t="s">
        <v>1807</v>
      </c>
      <c r="AP88" t="s">
        <v>1808</v>
      </c>
      <c r="AQ88" t="s">
        <v>74</v>
      </c>
      <c r="AR88" t="s">
        <v>1809</v>
      </c>
      <c r="AS88" t="s">
        <v>1810</v>
      </c>
      <c r="AT88" t="s">
        <v>1309</v>
      </c>
      <c r="AU88">
        <v>2015</v>
      </c>
      <c r="AV88">
        <v>47</v>
      </c>
      <c r="AW88">
        <v>2</v>
      </c>
      <c r="AX88" t="s">
        <v>74</v>
      </c>
      <c r="AY88" t="s">
        <v>74</v>
      </c>
      <c r="AZ88" t="s">
        <v>74</v>
      </c>
      <c r="BA88" t="s">
        <v>74</v>
      </c>
      <c r="BB88">
        <v>327</v>
      </c>
      <c r="BC88">
        <v>334</v>
      </c>
      <c r="BD88" t="s">
        <v>74</v>
      </c>
      <c r="BE88" t="s">
        <v>1956</v>
      </c>
      <c r="BF88" t="str">
        <f>HYPERLINK("http://dx.doi.org/10.1657/AAAR00C-13-138","http://dx.doi.org/10.1657/AAAR00C-13-138")</f>
        <v>http://dx.doi.org/10.1657/AAAR00C-13-138</v>
      </c>
      <c r="BG88" t="s">
        <v>74</v>
      </c>
      <c r="BH88" t="s">
        <v>74</v>
      </c>
      <c r="BI88">
        <v>8</v>
      </c>
      <c r="BJ88" t="s">
        <v>1812</v>
      </c>
      <c r="BK88" t="s">
        <v>1247</v>
      </c>
      <c r="BL88" t="s">
        <v>197</v>
      </c>
      <c r="BM88" t="s">
        <v>1813</v>
      </c>
      <c r="BN88" t="s">
        <v>74</v>
      </c>
      <c r="BO88" t="s">
        <v>1832</v>
      </c>
      <c r="BP88" t="s">
        <v>74</v>
      </c>
      <c r="BQ88" t="s">
        <v>74</v>
      </c>
      <c r="BR88" t="s">
        <v>104</v>
      </c>
      <c r="BS88" t="s">
        <v>1957</v>
      </c>
      <c r="BT88" t="str">
        <f>HYPERLINK("https%3A%2F%2Fwww.webofscience.com%2Fwos%2Fwoscc%2Ffull-record%2FWOS:000355627500013","View Full Record in Web of Science")</f>
        <v>View Full Record in Web of Science</v>
      </c>
    </row>
    <row r="89" spans="1:72" x14ac:dyDescent="0.15">
      <c r="A89" t="s">
        <v>72</v>
      </c>
      <c r="B89" t="s">
        <v>1958</v>
      </c>
      <c r="C89" t="s">
        <v>74</v>
      </c>
      <c r="D89" t="s">
        <v>74</v>
      </c>
      <c r="E89" t="s">
        <v>74</v>
      </c>
      <c r="F89" t="s">
        <v>1959</v>
      </c>
      <c r="G89" t="s">
        <v>74</v>
      </c>
      <c r="H89" t="s">
        <v>74</v>
      </c>
      <c r="I89" t="s">
        <v>1960</v>
      </c>
      <c r="J89" t="s">
        <v>1792</v>
      </c>
      <c r="K89" t="s">
        <v>74</v>
      </c>
      <c r="L89" t="s">
        <v>74</v>
      </c>
      <c r="M89" t="s">
        <v>78</v>
      </c>
      <c r="N89" t="s">
        <v>79</v>
      </c>
      <c r="O89" t="s">
        <v>74</v>
      </c>
      <c r="P89" t="s">
        <v>74</v>
      </c>
      <c r="Q89" t="s">
        <v>74</v>
      </c>
      <c r="R89" t="s">
        <v>74</v>
      </c>
      <c r="S89" t="s">
        <v>74</v>
      </c>
      <c r="T89" t="s">
        <v>74</v>
      </c>
      <c r="U89" t="s">
        <v>1961</v>
      </c>
      <c r="V89" t="s">
        <v>1962</v>
      </c>
      <c r="W89" t="s">
        <v>1963</v>
      </c>
      <c r="X89" t="s">
        <v>1964</v>
      </c>
      <c r="Y89" t="s">
        <v>1965</v>
      </c>
      <c r="Z89" t="s">
        <v>1966</v>
      </c>
      <c r="AA89" t="s">
        <v>1967</v>
      </c>
      <c r="AB89" t="s">
        <v>1968</v>
      </c>
      <c r="AC89" t="s">
        <v>1969</v>
      </c>
      <c r="AD89" t="s">
        <v>1970</v>
      </c>
      <c r="AE89" t="s">
        <v>1971</v>
      </c>
      <c r="AF89" t="s">
        <v>74</v>
      </c>
      <c r="AG89">
        <v>56</v>
      </c>
      <c r="AH89">
        <v>12</v>
      </c>
      <c r="AI89">
        <v>14</v>
      </c>
      <c r="AJ89">
        <v>0</v>
      </c>
      <c r="AK89">
        <v>37</v>
      </c>
      <c r="AL89" t="s">
        <v>1829</v>
      </c>
      <c r="AM89" t="s">
        <v>1458</v>
      </c>
      <c r="AN89" t="s">
        <v>1830</v>
      </c>
      <c r="AO89" t="s">
        <v>1807</v>
      </c>
      <c r="AP89" t="s">
        <v>1808</v>
      </c>
      <c r="AQ89" t="s">
        <v>74</v>
      </c>
      <c r="AR89" t="s">
        <v>1809</v>
      </c>
      <c r="AS89" t="s">
        <v>1810</v>
      </c>
      <c r="AT89" t="s">
        <v>1309</v>
      </c>
      <c r="AU89">
        <v>2015</v>
      </c>
      <c r="AV89">
        <v>47</v>
      </c>
      <c r="AW89">
        <v>2</v>
      </c>
      <c r="AX89" t="s">
        <v>74</v>
      </c>
      <c r="AY89" t="s">
        <v>74</v>
      </c>
      <c r="AZ89" t="s">
        <v>74</v>
      </c>
      <c r="BA89" t="s">
        <v>74</v>
      </c>
      <c r="BB89">
        <v>335</v>
      </c>
      <c r="BC89">
        <v>344</v>
      </c>
      <c r="BD89" t="s">
        <v>74</v>
      </c>
      <c r="BE89" t="s">
        <v>1972</v>
      </c>
      <c r="BF89" t="str">
        <f>HYPERLINK("http://dx.doi.org/10.1657/AAAR0013-104","http://dx.doi.org/10.1657/AAAR0013-104")</f>
        <v>http://dx.doi.org/10.1657/AAAR0013-104</v>
      </c>
      <c r="BG89" t="s">
        <v>74</v>
      </c>
      <c r="BH89" t="s">
        <v>74</v>
      </c>
      <c r="BI89">
        <v>10</v>
      </c>
      <c r="BJ89" t="s">
        <v>1812</v>
      </c>
      <c r="BK89" t="s">
        <v>100</v>
      </c>
      <c r="BL89" t="s">
        <v>197</v>
      </c>
      <c r="BM89" t="s">
        <v>1813</v>
      </c>
      <c r="BN89" t="s">
        <v>74</v>
      </c>
      <c r="BO89" t="s">
        <v>293</v>
      </c>
      <c r="BP89" t="s">
        <v>74</v>
      </c>
      <c r="BQ89" t="s">
        <v>74</v>
      </c>
      <c r="BR89" t="s">
        <v>104</v>
      </c>
      <c r="BS89" t="s">
        <v>1973</v>
      </c>
      <c r="BT89" t="str">
        <f>HYPERLINK("https%3A%2F%2Fwww.webofscience.com%2Fwos%2Fwoscc%2Ffull-record%2FWOS:000355627500014","View Full Record in Web of Science")</f>
        <v>View Full Record in Web of Science</v>
      </c>
    </row>
    <row r="90" spans="1:72" x14ac:dyDescent="0.15">
      <c r="A90" t="s">
        <v>72</v>
      </c>
      <c r="B90" t="s">
        <v>1974</v>
      </c>
      <c r="C90" t="s">
        <v>74</v>
      </c>
      <c r="D90" t="s">
        <v>74</v>
      </c>
      <c r="E90" t="s">
        <v>74</v>
      </c>
      <c r="F90" t="s">
        <v>1975</v>
      </c>
      <c r="G90" t="s">
        <v>74</v>
      </c>
      <c r="H90" t="s">
        <v>74</v>
      </c>
      <c r="I90" t="s">
        <v>1976</v>
      </c>
      <c r="J90" t="s">
        <v>1792</v>
      </c>
      <c r="K90" t="s">
        <v>74</v>
      </c>
      <c r="L90" t="s">
        <v>74</v>
      </c>
      <c r="M90" t="s">
        <v>78</v>
      </c>
      <c r="N90" t="s">
        <v>79</v>
      </c>
      <c r="O90" t="s">
        <v>74</v>
      </c>
      <c r="P90" t="s">
        <v>74</v>
      </c>
      <c r="Q90" t="s">
        <v>74</v>
      </c>
      <c r="R90" t="s">
        <v>74</v>
      </c>
      <c r="S90" t="s">
        <v>74</v>
      </c>
      <c r="T90" t="s">
        <v>74</v>
      </c>
      <c r="U90" t="s">
        <v>1977</v>
      </c>
      <c r="V90" t="s">
        <v>1978</v>
      </c>
      <c r="W90" t="s">
        <v>1979</v>
      </c>
      <c r="X90" t="s">
        <v>1980</v>
      </c>
      <c r="Y90" t="s">
        <v>1981</v>
      </c>
      <c r="Z90" t="s">
        <v>1982</v>
      </c>
      <c r="AA90" t="s">
        <v>74</v>
      </c>
      <c r="AB90" t="s">
        <v>74</v>
      </c>
      <c r="AC90" t="s">
        <v>1983</v>
      </c>
      <c r="AD90" t="s">
        <v>1983</v>
      </c>
      <c r="AE90" t="s">
        <v>1984</v>
      </c>
      <c r="AF90" t="s">
        <v>74</v>
      </c>
      <c r="AG90">
        <v>84</v>
      </c>
      <c r="AH90">
        <v>44</v>
      </c>
      <c r="AI90">
        <v>48</v>
      </c>
      <c r="AJ90">
        <v>1</v>
      </c>
      <c r="AK90">
        <v>81</v>
      </c>
      <c r="AL90" t="s">
        <v>1239</v>
      </c>
      <c r="AM90" t="s">
        <v>448</v>
      </c>
      <c r="AN90" t="s">
        <v>1240</v>
      </c>
      <c r="AO90" t="s">
        <v>1807</v>
      </c>
      <c r="AP90" t="s">
        <v>1808</v>
      </c>
      <c r="AQ90" t="s">
        <v>74</v>
      </c>
      <c r="AR90" t="s">
        <v>1809</v>
      </c>
      <c r="AS90" t="s">
        <v>1810</v>
      </c>
      <c r="AT90" t="s">
        <v>1309</v>
      </c>
      <c r="AU90">
        <v>2015</v>
      </c>
      <c r="AV90">
        <v>47</v>
      </c>
      <c r="AW90">
        <v>2</v>
      </c>
      <c r="AX90" t="s">
        <v>74</v>
      </c>
      <c r="AY90" t="s">
        <v>74</v>
      </c>
      <c r="AZ90" t="s">
        <v>74</v>
      </c>
      <c r="BA90" t="s">
        <v>74</v>
      </c>
      <c r="BB90">
        <v>345</v>
      </c>
      <c r="BC90">
        <v>357</v>
      </c>
      <c r="BD90" t="s">
        <v>74</v>
      </c>
      <c r="BE90" t="s">
        <v>1985</v>
      </c>
      <c r="BF90" t="str">
        <f>HYPERLINK("http://dx.doi.org/10.1657/AAAR0013-093","http://dx.doi.org/10.1657/AAAR0013-093")</f>
        <v>http://dx.doi.org/10.1657/AAAR0013-093</v>
      </c>
      <c r="BG90" t="s">
        <v>74</v>
      </c>
      <c r="BH90" t="s">
        <v>74</v>
      </c>
      <c r="BI90">
        <v>13</v>
      </c>
      <c r="BJ90" t="s">
        <v>1812</v>
      </c>
      <c r="BK90" t="s">
        <v>100</v>
      </c>
      <c r="BL90" t="s">
        <v>197</v>
      </c>
      <c r="BM90" t="s">
        <v>1813</v>
      </c>
      <c r="BN90" t="s">
        <v>74</v>
      </c>
      <c r="BO90" t="s">
        <v>1832</v>
      </c>
      <c r="BP90" t="s">
        <v>74</v>
      </c>
      <c r="BQ90" t="s">
        <v>74</v>
      </c>
      <c r="BR90" t="s">
        <v>104</v>
      </c>
      <c r="BS90" t="s">
        <v>1986</v>
      </c>
      <c r="BT90" t="str">
        <f>HYPERLINK("https%3A%2F%2Fwww.webofscience.com%2Fwos%2Fwoscc%2Ffull-record%2FWOS:000355627500015","View Full Record in Web of Science")</f>
        <v>View Full Record in Web of Science</v>
      </c>
    </row>
    <row r="91" spans="1:72" x14ac:dyDescent="0.15">
      <c r="A91" t="s">
        <v>72</v>
      </c>
      <c r="B91" t="s">
        <v>1987</v>
      </c>
      <c r="C91" t="s">
        <v>74</v>
      </c>
      <c r="D91" t="s">
        <v>74</v>
      </c>
      <c r="E91" t="s">
        <v>74</v>
      </c>
      <c r="F91" t="s">
        <v>1988</v>
      </c>
      <c r="G91" t="s">
        <v>74</v>
      </c>
      <c r="H91" t="s">
        <v>74</v>
      </c>
      <c r="I91" t="s">
        <v>1989</v>
      </c>
      <c r="J91" t="s">
        <v>1792</v>
      </c>
      <c r="K91" t="s">
        <v>74</v>
      </c>
      <c r="L91" t="s">
        <v>74</v>
      </c>
      <c r="M91" t="s">
        <v>78</v>
      </c>
      <c r="N91" t="s">
        <v>79</v>
      </c>
      <c r="O91" t="s">
        <v>74</v>
      </c>
      <c r="P91" t="s">
        <v>74</v>
      </c>
      <c r="Q91" t="s">
        <v>74</v>
      </c>
      <c r="R91" t="s">
        <v>74</v>
      </c>
      <c r="S91" t="s">
        <v>74</v>
      </c>
      <c r="T91" t="s">
        <v>74</v>
      </c>
      <c r="U91" t="s">
        <v>1990</v>
      </c>
      <c r="V91" t="s">
        <v>1991</v>
      </c>
      <c r="W91" t="s">
        <v>1992</v>
      </c>
      <c r="X91" t="s">
        <v>1993</v>
      </c>
      <c r="Y91" t="s">
        <v>1994</v>
      </c>
      <c r="Z91" t="s">
        <v>1995</v>
      </c>
      <c r="AA91" t="s">
        <v>74</v>
      </c>
      <c r="AB91" t="s">
        <v>74</v>
      </c>
      <c r="AC91" t="s">
        <v>1996</v>
      </c>
      <c r="AD91" t="s">
        <v>1997</v>
      </c>
      <c r="AE91" t="s">
        <v>1998</v>
      </c>
      <c r="AF91" t="s">
        <v>74</v>
      </c>
      <c r="AG91">
        <v>37</v>
      </c>
      <c r="AH91">
        <v>11</v>
      </c>
      <c r="AI91">
        <v>12</v>
      </c>
      <c r="AJ91">
        <v>1</v>
      </c>
      <c r="AK91">
        <v>21</v>
      </c>
      <c r="AL91" t="s">
        <v>1829</v>
      </c>
      <c r="AM91" t="s">
        <v>1458</v>
      </c>
      <c r="AN91" t="s">
        <v>1830</v>
      </c>
      <c r="AO91" t="s">
        <v>1807</v>
      </c>
      <c r="AP91" t="s">
        <v>1808</v>
      </c>
      <c r="AQ91" t="s">
        <v>74</v>
      </c>
      <c r="AR91" t="s">
        <v>1809</v>
      </c>
      <c r="AS91" t="s">
        <v>1810</v>
      </c>
      <c r="AT91" t="s">
        <v>1309</v>
      </c>
      <c r="AU91">
        <v>2015</v>
      </c>
      <c r="AV91">
        <v>47</v>
      </c>
      <c r="AW91">
        <v>2</v>
      </c>
      <c r="AX91" t="s">
        <v>74</v>
      </c>
      <c r="AY91" t="s">
        <v>74</v>
      </c>
      <c r="AZ91" t="s">
        <v>74</v>
      </c>
      <c r="BA91" t="s">
        <v>74</v>
      </c>
      <c r="BB91">
        <v>369</v>
      </c>
      <c r="BC91">
        <v>374</v>
      </c>
      <c r="BD91" t="s">
        <v>74</v>
      </c>
      <c r="BE91" t="s">
        <v>1999</v>
      </c>
      <c r="BF91" t="str">
        <f>HYPERLINK("http://dx.doi.org/10.1657/AAAR0014-075","http://dx.doi.org/10.1657/AAAR0014-075")</f>
        <v>http://dx.doi.org/10.1657/AAAR0014-075</v>
      </c>
      <c r="BG91" t="s">
        <v>74</v>
      </c>
      <c r="BH91" t="s">
        <v>74</v>
      </c>
      <c r="BI91">
        <v>6</v>
      </c>
      <c r="BJ91" t="s">
        <v>1812</v>
      </c>
      <c r="BK91" t="s">
        <v>100</v>
      </c>
      <c r="BL91" t="s">
        <v>197</v>
      </c>
      <c r="BM91" t="s">
        <v>1813</v>
      </c>
      <c r="BN91" t="s">
        <v>74</v>
      </c>
      <c r="BO91" t="s">
        <v>74</v>
      </c>
      <c r="BP91" t="s">
        <v>74</v>
      </c>
      <c r="BQ91" t="s">
        <v>74</v>
      </c>
      <c r="BR91" t="s">
        <v>104</v>
      </c>
      <c r="BS91" t="s">
        <v>2000</v>
      </c>
      <c r="BT91" t="str">
        <f>HYPERLINK("https%3A%2F%2Fwww.webofscience.com%2Fwos%2Fwoscc%2Ffull-record%2FWOS:000355627500017","View Full Record in Web of Science")</f>
        <v>View Full Record in Web of Science</v>
      </c>
    </row>
    <row r="92" spans="1:72" x14ac:dyDescent="0.15">
      <c r="A92" t="s">
        <v>72</v>
      </c>
      <c r="B92" t="s">
        <v>2001</v>
      </c>
      <c r="C92" t="s">
        <v>74</v>
      </c>
      <c r="D92" t="s">
        <v>74</v>
      </c>
      <c r="E92" t="s">
        <v>74</v>
      </c>
      <c r="F92" t="s">
        <v>2002</v>
      </c>
      <c r="G92" t="s">
        <v>74</v>
      </c>
      <c r="H92" t="s">
        <v>74</v>
      </c>
      <c r="I92" t="s">
        <v>2003</v>
      </c>
      <c r="J92" t="s">
        <v>1792</v>
      </c>
      <c r="K92" t="s">
        <v>74</v>
      </c>
      <c r="L92" t="s">
        <v>74</v>
      </c>
      <c r="M92" t="s">
        <v>78</v>
      </c>
      <c r="N92" t="s">
        <v>79</v>
      </c>
      <c r="O92" t="s">
        <v>74</v>
      </c>
      <c r="P92" t="s">
        <v>74</v>
      </c>
      <c r="Q92" t="s">
        <v>74</v>
      </c>
      <c r="R92" t="s">
        <v>74</v>
      </c>
      <c r="S92" t="s">
        <v>74</v>
      </c>
      <c r="T92" t="s">
        <v>74</v>
      </c>
      <c r="U92" t="s">
        <v>2004</v>
      </c>
      <c r="V92" t="s">
        <v>2005</v>
      </c>
      <c r="W92" t="s">
        <v>2006</v>
      </c>
      <c r="X92" t="s">
        <v>2007</v>
      </c>
      <c r="Y92" t="s">
        <v>2008</v>
      </c>
      <c r="Z92" t="s">
        <v>2009</v>
      </c>
      <c r="AA92" t="s">
        <v>2010</v>
      </c>
      <c r="AB92" t="s">
        <v>2011</v>
      </c>
      <c r="AC92" t="s">
        <v>2012</v>
      </c>
      <c r="AD92" t="s">
        <v>2012</v>
      </c>
      <c r="AE92" t="s">
        <v>2013</v>
      </c>
      <c r="AF92" t="s">
        <v>74</v>
      </c>
      <c r="AG92">
        <v>70</v>
      </c>
      <c r="AH92">
        <v>2</v>
      </c>
      <c r="AI92">
        <v>2</v>
      </c>
      <c r="AJ92">
        <v>1</v>
      </c>
      <c r="AK92">
        <v>16</v>
      </c>
      <c r="AL92" t="s">
        <v>1829</v>
      </c>
      <c r="AM92" t="s">
        <v>1458</v>
      </c>
      <c r="AN92" t="s">
        <v>1830</v>
      </c>
      <c r="AO92" t="s">
        <v>1807</v>
      </c>
      <c r="AP92" t="s">
        <v>1808</v>
      </c>
      <c r="AQ92" t="s">
        <v>74</v>
      </c>
      <c r="AR92" t="s">
        <v>1809</v>
      </c>
      <c r="AS92" t="s">
        <v>1810</v>
      </c>
      <c r="AT92" t="s">
        <v>1309</v>
      </c>
      <c r="AU92">
        <v>2015</v>
      </c>
      <c r="AV92">
        <v>47</v>
      </c>
      <c r="AW92">
        <v>2</v>
      </c>
      <c r="AX92" t="s">
        <v>74</v>
      </c>
      <c r="AY92" t="s">
        <v>74</v>
      </c>
      <c r="AZ92" t="s">
        <v>74</v>
      </c>
      <c r="BA92" t="s">
        <v>74</v>
      </c>
      <c r="BB92">
        <v>375</v>
      </c>
      <c r="BC92">
        <v>387</v>
      </c>
      <c r="BD92" t="s">
        <v>74</v>
      </c>
      <c r="BE92" t="s">
        <v>2014</v>
      </c>
      <c r="BF92" t="str">
        <f>HYPERLINK("http://dx.doi.org/10.1657/AAAR0014-061","http://dx.doi.org/10.1657/AAAR0014-061")</f>
        <v>http://dx.doi.org/10.1657/AAAR0014-061</v>
      </c>
      <c r="BG92" t="s">
        <v>74</v>
      </c>
      <c r="BH92" t="s">
        <v>74</v>
      </c>
      <c r="BI92">
        <v>13</v>
      </c>
      <c r="BJ92" t="s">
        <v>1812</v>
      </c>
      <c r="BK92" t="s">
        <v>100</v>
      </c>
      <c r="BL92" t="s">
        <v>197</v>
      </c>
      <c r="BM92" t="s">
        <v>1813</v>
      </c>
      <c r="BN92" t="s">
        <v>74</v>
      </c>
      <c r="BO92" t="s">
        <v>293</v>
      </c>
      <c r="BP92" t="s">
        <v>74</v>
      </c>
      <c r="BQ92" t="s">
        <v>74</v>
      </c>
      <c r="BR92" t="s">
        <v>104</v>
      </c>
      <c r="BS92" t="s">
        <v>2015</v>
      </c>
      <c r="BT92" t="str">
        <f>HYPERLINK("https%3A%2F%2Fwww.webofscience.com%2Fwos%2Fwoscc%2Ffull-record%2FWOS:000355627500018","View Full Record in Web of Science")</f>
        <v>View Full Record in Web of Science</v>
      </c>
    </row>
    <row r="93" spans="1:72" x14ac:dyDescent="0.15">
      <c r="A93" t="s">
        <v>72</v>
      </c>
      <c r="B93" t="s">
        <v>2016</v>
      </c>
      <c r="C93" t="s">
        <v>74</v>
      </c>
      <c r="D93" t="s">
        <v>74</v>
      </c>
      <c r="E93" t="s">
        <v>74</v>
      </c>
      <c r="F93" t="s">
        <v>2017</v>
      </c>
      <c r="G93" t="s">
        <v>74</v>
      </c>
      <c r="H93" t="s">
        <v>74</v>
      </c>
      <c r="I93" t="s">
        <v>2018</v>
      </c>
      <c r="J93" t="s">
        <v>2019</v>
      </c>
      <c r="K93" t="s">
        <v>74</v>
      </c>
      <c r="L93" t="s">
        <v>74</v>
      </c>
      <c r="M93" t="s">
        <v>2020</v>
      </c>
      <c r="N93" t="s">
        <v>79</v>
      </c>
      <c r="O93" t="s">
        <v>74</v>
      </c>
      <c r="P93" t="s">
        <v>74</v>
      </c>
      <c r="Q93" t="s">
        <v>74</v>
      </c>
      <c r="R93" t="s">
        <v>74</v>
      </c>
      <c r="S93" t="s">
        <v>74</v>
      </c>
      <c r="T93" t="s">
        <v>2021</v>
      </c>
      <c r="U93" t="s">
        <v>2022</v>
      </c>
      <c r="V93" t="s">
        <v>2023</v>
      </c>
      <c r="W93" t="s">
        <v>2024</v>
      </c>
      <c r="X93" t="s">
        <v>2025</v>
      </c>
      <c r="Y93" t="s">
        <v>2026</v>
      </c>
      <c r="Z93" t="s">
        <v>2027</v>
      </c>
      <c r="AA93" t="s">
        <v>74</v>
      </c>
      <c r="AB93" t="s">
        <v>74</v>
      </c>
      <c r="AC93" t="s">
        <v>74</v>
      </c>
      <c r="AD93" t="s">
        <v>74</v>
      </c>
      <c r="AE93" t="s">
        <v>74</v>
      </c>
      <c r="AF93" t="s">
        <v>74</v>
      </c>
      <c r="AG93">
        <v>37</v>
      </c>
      <c r="AH93">
        <v>2</v>
      </c>
      <c r="AI93">
        <v>3</v>
      </c>
      <c r="AJ93">
        <v>1</v>
      </c>
      <c r="AK93">
        <v>14</v>
      </c>
      <c r="AL93" t="s">
        <v>2028</v>
      </c>
      <c r="AM93" t="s">
        <v>2029</v>
      </c>
      <c r="AN93" t="s">
        <v>2030</v>
      </c>
      <c r="AO93" t="s">
        <v>2031</v>
      </c>
      <c r="AP93" t="s">
        <v>74</v>
      </c>
      <c r="AQ93" t="s">
        <v>74</v>
      </c>
      <c r="AR93" t="s">
        <v>2032</v>
      </c>
      <c r="AS93" t="s">
        <v>2033</v>
      </c>
      <c r="AT93" t="s">
        <v>1309</v>
      </c>
      <c r="AU93">
        <v>2015</v>
      </c>
      <c r="AV93">
        <v>58</v>
      </c>
      <c r="AW93">
        <v>5</v>
      </c>
      <c r="AX93" t="s">
        <v>74</v>
      </c>
      <c r="AY93" t="s">
        <v>74</v>
      </c>
      <c r="AZ93" t="s">
        <v>74</v>
      </c>
      <c r="BA93" t="s">
        <v>74</v>
      </c>
      <c r="BB93">
        <v>1535</v>
      </c>
      <c r="BC93">
        <v>1546</v>
      </c>
      <c r="BD93" t="s">
        <v>74</v>
      </c>
      <c r="BE93" t="s">
        <v>2034</v>
      </c>
      <c r="BF93" t="str">
        <f>HYPERLINK("http://dx.doi.org/10.6038/cjg20150507","http://dx.doi.org/10.6038/cjg20150507")</f>
        <v>http://dx.doi.org/10.6038/cjg20150507</v>
      </c>
      <c r="BG93" t="s">
        <v>74</v>
      </c>
      <c r="BH93" t="s">
        <v>74</v>
      </c>
      <c r="BI93">
        <v>12</v>
      </c>
      <c r="BJ93" t="s">
        <v>863</v>
      </c>
      <c r="BK93" t="s">
        <v>100</v>
      </c>
      <c r="BL93" t="s">
        <v>863</v>
      </c>
      <c r="BM93" t="s">
        <v>2035</v>
      </c>
      <c r="BN93" t="s">
        <v>74</v>
      </c>
      <c r="BO93" t="s">
        <v>74</v>
      </c>
      <c r="BP93" t="s">
        <v>74</v>
      </c>
      <c r="BQ93" t="s">
        <v>74</v>
      </c>
      <c r="BR93" t="s">
        <v>104</v>
      </c>
      <c r="BS93" t="s">
        <v>2036</v>
      </c>
      <c r="BT93" t="str">
        <f>HYPERLINK("https%3A%2F%2Fwww.webofscience.com%2Fwos%2Fwoscc%2Ffull-record%2FWOS:000355639800007","View Full Record in Web of Science")</f>
        <v>View Full Record in Web of Science</v>
      </c>
    </row>
    <row r="94" spans="1:72" x14ac:dyDescent="0.15">
      <c r="A94" t="s">
        <v>72</v>
      </c>
      <c r="B94" t="s">
        <v>2037</v>
      </c>
      <c r="C94" t="s">
        <v>74</v>
      </c>
      <c r="D94" t="s">
        <v>74</v>
      </c>
      <c r="E94" t="s">
        <v>74</v>
      </c>
      <c r="F94" t="s">
        <v>2038</v>
      </c>
      <c r="G94" t="s">
        <v>74</v>
      </c>
      <c r="H94" t="s">
        <v>74</v>
      </c>
      <c r="I94" t="s">
        <v>2039</v>
      </c>
      <c r="J94" t="s">
        <v>2040</v>
      </c>
      <c r="K94" t="s">
        <v>74</v>
      </c>
      <c r="L94" t="s">
        <v>74</v>
      </c>
      <c r="M94" t="s">
        <v>78</v>
      </c>
      <c r="N94" t="s">
        <v>79</v>
      </c>
      <c r="O94" t="s">
        <v>74</v>
      </c>
      <c r="P94" t="s">
        <v>74</v>
      </c>
      <c r="Q94" t="s">
        <v>74</v>
      </c>
      <c r="R94" t="s">
        <v>74</v>
      </c>
      <c r="S94" t="s">
        <v>74</v>
      </c>
      <c r="T94" t="s">
        <v>2041</v>
      </c>
      <c r="U94" t="s">
        <v>2042</v>
      </c>
      <c r="V94" t="s">
        <v>2043</v>
      </c>
      <c r="W94" t="s">
        <v>2044</v>
      </c>
      <c r="X94" t="s">
        <v>2045</v>
      </c>
      <c r="Y94" t="s">
        <v>2046</v>
      </c>
      <c r="Z94" t="s">
        <v>2047</v>
      </c>
      <c r="AA94" t="s">
        <v>2048</v>
      </c>
      <c r="AB94" t="s">
        <v>2049</v>
      </c>
      <c r="AC94" t="s">
        <v>2050</v>
      </c>
      <c r="AD94" t="s">
        <v>2051</v>
      </c>
      <c r="AE94" t="s">
        <v>2052</v>
      </c>
      <c r="AF94" t="s">
        <v>74</v>
      </c>
      <c r="AG94">
        <v>136</v>
      </c>
      <c r="AH94">
        <v>63</v>
      </c>
      <c r="AI94">
        <v>63</v>
      </c>
      <c r="AJ94">
        <v>2</v>
      </c>
      <c r="AK94">
        <v>81</v>
      </c>
      <c r="AL94" t="s">
        <v>1158</v>
      </c>
      <c r="AM94" t="s">
        <v>787</v>
      </c>
      <c r="AN94" t="s">
        <v>1159</v>
      </c>
      <c r="AO94" t="s">
        <v>2053</v>
      </c>
      <c r="AP94" t="s">
        <v>2054</v>
      </c>
      <c r="AQ94" t="s">
        <v>74</v>
      </c>
      <c r="AR94" t="s">
        <v>2055</v>
      </c>
      <c r="AS94" t="s">
        <v>2056</v>
      </c>
      <c r="AT94" t="s">
        <v>1309</v>
      </c>
      <c r="AU94">
        <v>2015</v>
      </c>
      <c r="AV94">
        <v>32</v>
      </c>
      <c r="AW94" t="s">
        <v>74</v>
      </c>
      <c r="AX94" t="s">
        <v>74</v>
      </c>
      <c r="AY94" t="s">
        <v>74</v>
      </c>
      <c r="AZ94" t="s">
        <v>74</v>
      </c>
      <c r="BA94" t="s">
        <v>74</v>
      </c>
      <c r="BB94">
        <v>108</v>
      </c>
      <c r="BC94">
        <v>125</v>
      </c>
      <c r="BD94" t="s">
        <v>74</v>
      </c>
      <c r="BE94" t="s">
        <v>2057</v>
      </c>
      <c r="BF94" t="str">
        <f>HYPERLINK("http://dx.doi.org/10.1016/j.gloenvcha.2014.12.012","http://dx.doi.org/10.1016/j.gloenvcha.2014.12.012")</f>
        <v>http://dx.doi.org/10.1016/j.gloenvcha.2014.12.012</v>
      </c>
      <c r="BG94" t="s">
        <v>74</v>
      </c>
      <c r="BH94" t="s">
        <v>74</v>
      </c>
      <c r="BI94">
        <v>18</v>
      </c>
      <c r="BJ94" t="s">
        <v>2058</v>
      </c>
      <c r="BK94" t="s">
        <v>1019</v>
      </c>
      <c r="BL94" t="s">
        <v>2059</v>
      </c>
      <c r="BM94" t="s">
        <v>2060</v>
      </c>
      <c r="BN94" t="s">
        <v>74</v>
      </c>
      <c r="BO94" t="s">
        <v>74</v>
      </c>
      <c r="BP94" t="s">
        <v>74</v>
      </c>
      <c r="BQ94" t="s">
        <v>74</v>
      </c>
      <c r="BR94" t="s">
        <v>104</v>
      </c>
      <c r="BS94" t="s">
        <v>2061</v>
      </c>
      <c r="BT94" t="str">
        <f>HYPERLINK("https%3A%2F%2Fwww.webofscience.com%2Fwos%2Fwoscc%2Ffull-record%2FWOS:000355770700011","View Full Record in Web of Science")</f>
        <v>View Full Record in Web of Science</v>
      </c>
    </row>
    <row r="95" spans="1:72" x14ac:dyDescent="0.15">
      <c r="A95" t="s">
        <v>72</v>
      </c>
      <c r="B95" t="s">
        <v>2062</v>
      </c>
      <c r="C95" t="s">
        <v>74</v>
      </c>
      <c r="D95" t="s">
        <v>74</v>
      </c>
      <c r="E95" t="s">
        <v>74</v>
      </c>
      <c r="F95" t="s">
        <v>2063</v>
      </c>
      <c r="G95" t="s">
        <v>74</v>
      </c>
      <c r="H95" t="s">
        <v>74</v>
      </c>
      <c r="I95" t="s">
        <v>2064</v>
      </c>
      <c r="J95" t="s">
        <v>2065</v>
      </c>
      <c r="K95" t="s">
        <v>74</v>
      </c>
      <c r="L95" t="s">
        <v>74</v>
      </c>
      <c r="M95" t="s">
        <v>78</v>
      </c>
      <c r="N95" t="s">
        <v>79</v>
      </c>
      <c r="O95" t="s">
        <v>74</v>
      </c>
      <c r="P95" t="s">
        <v>74</v>
      </c>
      <c r="Q95" t="s">
        <v>74</v>
      </c>
      <c r="R95" t="s">
        <v>74</v>
      </c>
      <c r="S95" t="s">
        <v>74</v>
      </c>
      <c r="T95" t="s">
        <v>2066</v>
      </c>
      <c r="U95" t="s">
        <v>74</v>
      </c>
      <c r="V95" t="s">
        <v>2067</v>
      </c>
      <c r="W95" t="s">
        <v>2068</v>
      </c>
      <c r="X95" t="s">
        <v>2069</v>
      </c>
      <c r="Y95" t="s">
        <v>2070</v>
      </c>
      <c r="Z95" t="s">
        <v>2071</v>
      </c>
      <c r="AA95" t="s">
        <v>74</v>
      </c>
      <c r="AB95" t="s">
        <v>74</v>
      </c>
      <c r="AC95" t="s">
        <v>2072</v>
      </c>
      <c r="AD95" t="s">
        <v>2073</v>
      </c>
      <c r="AE95" t="s">
        <v>2074</v>
      </c>
      <c r="AF95" t="s">
        <v>74</v>
      </c>
      <c r="AG95">
        <v>10</v>
      </c>
      <c r="AH95">
        <v>9</v>
      </c>
      <c r="AI95">
        <v>10</v>
      </c>
      <c r="AJ95">
        <v>1</v>
      </c>
      <c r="AK95">
        <v>12</v>
      </c>
      <c r="AL95" t="s">
        <v>1621</v>
      </c>
      <c r="AM95" t="s">
        <v>787</v>
      </c>
      <c r="AN95" t="s">
        <v>1622</v>
      </c>
      <c r="AO95" t="s">
        <v>2075</v>
      </c>
      <c r="AP95" t="s">
        <v>2076</v>
      </c>
      <c r="AQ95" t="s">
        <v>74</v>
      </c>
      <c r="AR95" t="s">
        <v>2077</v>
      </c>
      <c r="AS95" t="s">
        <v>2078</v>
      </c>
      <c r="AT95" t="s">
        <v>2079</v>
      </c>
      <c r="AU95">
        <v>2015</v>
      </c>
      <c r="AV95">
        <v>449</v>
      </c>
      <c r="AW95">
        <v>1</v>
      </c>
      <c r="AX95" t="s">
        <v>74</v>
      </c>
      <c r="AY95" t="s">
        <v>74</v>
      </c>
      <c r="AZ95" t="s">
        <v>74</v>
      </c>
      <c r="BA95" t="s">
        <v>74</v>
      </c>
      <c r="BB95">
        <v>425</v>
      </c>
      <c r="BC95">
        <v>430</v>
      </c>
      <c r="BD95" t="s">
        <v>74</v>
      </c>
      <c r="BE95" t="s">
        <v>2080</v>
      </c>
      <c r="BF95" t="str">
        <f>HYPERLINK("http://dx.doi.org/10.1093/mnras/stv268","http://dx.doi.org/10.1093/mnras/stv268")</f>
        <v>http://dx.doi.org/10.1093/mnras/stv268</v>
      </c>
      <c r="BG95" t="s">
        <v>74</v>
      </c>
      <c r="BH95" t="s">
        <v>74</v>
      </c>
      <c r="BI95">
        <v>6</v>
      </c>
      <c r="BJ95" t="s">
        <v>246</v>
      </c>
      <c r="BK95" t="s">
        <v>100</v>
      </c>
      <c r="BL95" t="s">
        <v>246</v>
      </c>
      <c r="BM95" t="s">
        <v>2081</v>
      </c>
      <c r="BN95" t="s">
        <v>74</v>
      </c>
      <c r="BO95" t="s">
        <v>74</v>
      </c>
      <c r="BP95" t="s">
        <v>74</v>
      </c>
      <c r="BQ95" t="s">
        <v>74</v>
      </c>
      <c r="BR95" t="s">
        <v>104</v>
      </c>
      <c r="BS95" t="s">
        <v>2082</v>
      </c>
      <c r="BT95" t="str">
        <f>HYPERLINK("https%3A%2F%2Fwww.webofscience.com%2Fwos%2Fwoscc%2Ffull-record%2FWOS:000355345600031","View Full Record in Web of Science")</f>
        <v>View Full Record in Web of Science</v>
      </c>
    </row>
    <row r="96" spans="1:72" x14ac:dyDescent="0.15">
      <c r="A96" t="s">
        <v>72</v>
      </c>
      <c r="B96" t="s">
        <v>2083</v>
      </c>
      <c r="C96" t="s">
        <v>74</v>
      </c>
      <c r="D96" t="s">
        <v>74</v>
      </c>
      <c r="E96" t="s">
        <v>74</v>
      </c>
      <c r="F96" t="s">
        <v>2084</v>
      </c>
      <c r="G96" t="s">
        <v>74</v>
      </c>
      <c r="H96" t="s">
        <v>74</v>
      </c>
      <c r="I96" t="s">
        <v>2085</v>
      </c>
      <c r="J96" t="s">
        <v>2086</v>
      </c>
      <c r="K96" t="s">
        <v>74</v>
      </c>
      <c r="L96" t="s">
        <v>74</v>
      </c>
      <c r="M96" t="s">
        <v>78</v>
      </c>
      <c r="N96" t="s">
        <v>79</v>
      </c>
      <c r="O96" t="s">
        <v>74</v>
      </c>
      <c r="P96" t="s">
        <v>74</v>
      </c>
      <c r="Q96" t="s">
        <v>74</v>
      </c>
      <c r="R96" t="s">
        <v>74</v>
      </c>
      <c r="S96" t="s">
        <v>74</v>
      </c>
      <c r="T96" t="s">
        <v>2087</v>
      </c>
      <c r="U96" t="s">
        <v>74</v>
      </c>
      <c r="V96" t="s">
        <v>2088</v>
      </c>
      <c r="W96" t="s">
        <v>2089</v>
      </c>
      <c r="X96" t="s">
        <v>2090</v>
      </c>
      <c r="Y96" t="s">
        <v>2091</v>
      </c>
      <c r="Z96" t="s">
        <v>2092</v>
      </c>
      <c r="AA96" t="s">
        <v>74</v>
      </c>
      <c r="AB96" t="s">
        <v>74</v>
      </c>
      <c r="AC96" t="s">
        <v>2093</v>
      </c>
      <c r="AD96" t="s">
        <v>2094</v>
      </c>
      <c r="AE96" t="s">
        <v>2095</v>
      </c>
      <c r="AF96" t="s">
        <v>74</v>
      </c>
      <c r="AG96">
        <v>15</v>
      </c>
      <c r="AH96">
        <v>1</v>
      </c>
      <c r="AI96">
        <v>1</v>
      </c>
      <c r="AJ96">
        <v>1</v>
      </c>
      <c r="AK96">
        <v>12</v>
      </c>
      <c r="AL96" t="s">
        <v>2096</v>
      </c>
      <c r="AM96" t="s">
        <v>2097</v>
      </c>
      <c r="AN96" t="s">
        <v>2098</v>
      </c>
      <c r="AO96" t="s">
        <v>2099</v>
      </c>
      <c r="AP96" t="s">
        <v>2100</v>
      </c>
      <c r="AQ96" t="s">
        <v>74</v>
      </c>
      <c r="AR96" t="s">
        <v>2101</v>
      </c>
      <c r="AS96" t="s">
        <v>2102</v>
      </c>
      <c r="AT96" t="s">
        <v>1309</v>
      </c>
      <c r="AU96">
        <v>2015</v>
      </c>
      <c r="AV96">
        <v>40</v>
      </c>
      <c r="AW96">
        <v>5</v>
      </c>
      <c r="AX96" t="s">
        <v>74</v>
      </c>
      <c r="AY96" t="s">
        <v>74</v>
      </c>
      <c r="AZ96" t="s">
        <v>74</v>
      </c>
      <c r="BA96" t="s">
        <v>74</v>
      </c>
      <c r="BB96">
        <v>305</v>
      </c>
      <c r="BC96">
        <v>312</v>
      </c>
      <c r="BD96" t="s">
        <v>74</v>
      </c>
      <c r="BE96" t="s">
        <v>2103</v>
      </c>
      <c r="BF96" t="str">
        <f>HYPERLINK("http://dx.doi.org/10.3103/S1068373915050039","http://dx.doi.org/10.3103/S1068373915050039")</f>
        <v>http://dx.doi.org/10.3103/S1068373915050039</v>
      </c>
      <c r="BG96" t="s">
        <v>74</v>
      </c>
      <c r="BH96" t="s">
        <v>74</v>
      </c>
      <c r="BI96">
        <v>8</v>
      </c>
      <c r="BJ96" t="s">
        <v>406</v>
      </c>
      <c r="BK96" t="s">
        <v>100</v>
      </c>
      <c r="BL96" t="s">
        <v>406</v>
      </c>
      <c r="BM96" t="s">
        <v>2104</v>
      </c>
      <c r="BN96" t="s">
        <v>74</v>
      </c>
      <c r="BO96" t="s">
        <v>74</v>
      </c>
      <c r="BP96" t="s">
        <v>74</v>
      </c>
      <c r="BQ96" t="s">
        <v>74</v>
      </c>
      <c r="BR96" t="s">
        <v>104</v>
      </c>
      <c r="BS96" t="s">
        <v>2105</v>
      </c>
      <c r="BT96" t="str">
        <f>HYPERLINK("https%3A%2F%2Fwww.webofscience.com%2Fwos%2Fwoscc%2Ffull-record%2FWOS:000355823300003","View Full Record in Web of Science")</f>
        <v>View Full Record in Web of Science</v>
      </c>
    </row>
    <row r="97" spans="1:72" x14ac:dyDescent="0.15">
      <c r="A97" t="s">
        <v>72</v>
      </c>
      <c r="B97" t="s">
        <v>2106</v>
      </c>
      <c r="C97" t="s">
        <v>74</v>
      </c>
      <c r="D97" t="s">
        <v>74</v>
      </c>
      <c r="E97" t="s">
        <v>74</v>
      </c>
      <c r="F97" t="s">
        <v>2107</v>
      </c>
      <c r="G97" t="s">
        <v>74</v>
      </c>
      <c r="H97" t="s">
        <v>74</v>
      </c>
      <c r="I97" t="s">
        <v>2108</v>
      </c>
      <c r="J97" t="s">
        <v>2109</v>
      </c>
      <c r="K97" t="s">
        <v>74</v>
      </c>
      <c r="L97" t="s">
        <v>74</v>
      </c>
      <c r="M97" t="s">
        <v>78</v>
      </c>
      <c r="N97" t="s">
        <v>79</v>
      </c>
      <c r="O97" t="s">
        <v>74</v>
      </c>
      <c r="P97" t="s">
        <v>74</v>
      </c>
      <c r="Q97" t="s">
        <v>74</v>
      </c>
      <c r="R97" t="s">
        <v>74</v>
      </c>
      <c r="S97" t="s">
        <v>74</v>
      </c>
      <c r="T97" t="s">
        <v>2110</v>
      </c>
      <c r="U97" t="s">
        <v>2111</v>
      </c>
      <c r="V97" t="s">
        <v>2112</v>
      </c>
      <c r="W97" t="s">
        <v>2113</v>
      </c>
      <c r="X97" t="s">
        <v>2114</v>
      </c>
      <c r="Y97" t="s">
        <v>2115</v>
      </c>
      <c r="Z97" t="s">
        <v>2116</v>
      </c>
      <c r="AA97" t="s">
        <v>2117</v>
      </c>
      <c r="AB97" t="s">
        <v>2118</v>
      </c>
      <c r="AC97" t="s">
        <v>2119</v>
      </c>
      <c r="AD97" t="s">
        <v>2119</v>
      </c>
      <c r="AE97" t="s">
        <v>2120</v>
      </c>
      <c r="AF97" t="s">
        <v>74</v>
      </c>
      <c r="AG97">
        <v>80</v>
      </c>
      <c r="AH97">
        <v>22</v>
      </c>
      <c r="AI97">
        <v>23</v>
      </c>
      <c r="AJ97">
        <v>0</v>
      </c>
      <c r="AK97">
        <v>59</v>
      </c>
      <c r="AL97" t="s">
        <v>1411</v>
      </c>
      <c r="AM97" t="s">
        <v>1412</v>
      </c>
      <c r="AN97" t="s">
        <v>1413</v>
      </c>
      <c r="AO97" t="s">
        <v>74</v>
      </c>
      <c r="AP97" t="s">
        <v>2121</v>
      </c>
      <c r="AQ97" t="s">
        <v>74</v>
      </c>
      <c r="AR97" t="s">
        <v>2109</v>
      </c>
      <c r="AS97" t="s">
        <v>2122</v>
      </c>
      <c r="AT97" t="s">
        <v>1309</v>
      </c>
      <c r="AU97">
        <v>2015</v>
      </c>
      <c r="AV97">
        <v>117</v>
      </c>
      <c r="AW97">
        <v>2</v>
      </c>
      <c r="AX97" t="s">
        <v>74</v>
      </c>
      <c r="AY97" t="s">
        <v>74</v>
      </c>
      <c r="AZ97" t="s">
        <v>74</v>
      </c>
      <c r="BA97" t="s">
        <v>74</v>
      </c>
      <c r="BB97">
        <v>147</v>
      </c>
      <c r="BC97">
        <v>164</v>
      </c>
      <c r="BD97" t="s">
        <v>74</v>
      </c>
      <c r="BE97" t="s">
        <v>2123</v>
      </c>
      <c r="BF97" t="str">
        <f>HYPERLINK("http://dx.doi.org/10.1650/CONDOR-14-141.1","http://dx.doi.org/10.1650/CONDOR-14-141.1")</f>
        <v>http://dx.doi.org/10.1650/CONDOR-14-141.1</v>
      </c>
      <c r="BG97" t="s">
        <v>74</v>
      </c>
      <c r="BH97" t="s">
        <v>74</v>
      </c>
      <c r="BI97">
        <v>18</v>
      </c>
      <c r="BJ97" t="s">
        <v>2124</v>
      </c>
      <c r="BK97" t="s">
        <v>100</v>
      </c>
      <c r="BL97" t="s">
        <v>509</v>
      </c>
      <c r="BM97" t="s">
        <v>2125</v>
      </c>
      <c r="BN97" t="s">
        <v>74</v>
      </c>
      <c r="BO97" t="s">
        <v>2126</v>
      </c>
      <c r="BP97" t="s">
        <v>74</v>
      </c>
      <c r="BQ97" t="s">
        <v>74</v>
      </c>
      <c r="BR97" t="s">
        <v>104</v>
      </c>
      <c r="BS97" t="s">
        <v>2127</v>
      </c>
      <c r="BT97" t="str">
        <f>HYPERLINK("https%3A%2F%2Fwww.webofscience.com%2Fwos%2Fwoscc%2Ffull-record%2FWOS:000355315500002","View Full Record in Web of Science")</f>
        <v>View Full Record in Web of Science</v>
      </c>
    </row>
    <row r="98" spans="1:72" x14ac:dyDescent="0.15">
      <c r="A98" t="s">
        <v>72</v>
      </c>
      <c r="B98" t="s">
        <v>2128</v>
      </c>
      <c r="C98" t="s">
        <v>74</v>
      </c>
      <c r="D98" t="s">
        <v>74</v>
      </c>
      <c r="E98" t="s">
        <v>74</v>
      </c>
      <c r="F98" t="s">
        <v>2129</v>
      </c>
      <c r="G98" t="s">
        <v>74</v>
      </c>
      <c r="H98" t="s">
        <v>74</v>
      </c>
      <c r="I98" t="s">
        <v>2130</v>
      </c>
      <c r="J98" t="s">
        <v>2131</v>
      </c>
      <c r="K98" t="s">
        <v>74</v>
      </c>
      <c r="L98" t="s">
        <v>74</v>
      </c>
      <c r="M98" t="s">
        <v>78</v>
      </c>
      <c r="N98" t="s">
        <v>79</v>
      </c>
      <c r="O98" t="s">
        <v>74</v>
      </c>
      <c r="P98" t="s">
        <v>74</v>
      </c>
      <c r="Q98" t="s">
        <v>74</v>
      </c>
      <c r="R98" t="s">
        <v>74</v>
      </c>
      <c r="S98" t="s">
        <v>74</v>
      </c>
      <c r="T98" t="s">
        <v>2132</v>
      </c>
      <c r="U98" t="s">
        <v>2133</v>
      </c>
      <c r="V98" t="s">
        <v>2134</v>
      </c>
      <c r="W98" t="s">
        <v>2135</v>
      </c>
      <c r="X98" t="s">
        <v>2136</v>
      </c>
      <c r="Y98" t="s">
        <v>2137</v>
      </c>
      <c r="Z98" t="s">
        <v>2138</v>
      </c>
      <c r="AA98" t="s">
        <v>2139</v>
      </c>
      <c r="AB98" t="s">
        <v>2140</v>
      </c>
      <c r="AC98" t="s">
        <v>2141</v>
      </c>
      <c r="AD98" t="s">
        <v>2142</v>
      </c>
      <c r="AE98" t="s">
        <v>2143</v>
      </c>
      <c r="AF98" t="s">
        <v>74</v>
      </c>
      <c r="AG98">
        <v>25</v>
      </c>
      <c r="AH98">
        <v>6</v>
      </c>
      <c r="AI98">
        <v>9</v>
      </c>
      <c r="AJ98">
        <v>1</v>
      </c>
      <c r="AK98">
        <v>8</v>
      </c>
      <c r="AL98" t="s">
        <v>786</v>
      </c>
      <c r="AM98" t="s">
        <v>787</v>
      </c>
      <c r="AN98" t="s">
        <v>788</v>
      </c>
      <c r="AO98" t="s">
        <v>2144</v>
      </c>
      <c r="AP98" t="s">
        <v>2145</v>
      </c>
      <c r="AQ98" t="s">
        <v>74</v>
      </c>
      <c r="AR98" t="s">
        <v>2146</v>
      </c>
      <c r="AS98" t="s">
        <v>2147</v>
      </c>
      <c r="AT98" t="s">
        <v>1309</v>
      </c>
      <c r="AU98">
        <v>2015</v>
      </c>
      <c r="AV98">
        <v>115</v>
      </c>
      <c r="AW98" t="s">
        <v>74</v>
      </c>
      <c r="AX98" t="s">
        <v>74</v>
      </c>
      <c r="AY98" t="s">
        <v>74</v>
      </c>
      <c r="AZ98" t="s">
        <v>454</v>
      </c>
      <c r="BA98" t="s">
        <v>74</v>
      </c>
      <c r="BB98">
        <v>11</v>
      </c>
      <c r="BC98">
        <v>17</v>
      </c>
      <c r="BD98" t="s">
        <v>74</v>
      </c>
      <c r="BE98" t="s">
        <v>2148</v>
      </c>
      <c r="BF98" t="str">
        <f>HYPERLINK("http://dx.doi.org/10.1016/j.dsr2.2014.04.004","http://dx.doi.org/10.1016/j.dsr2.2014.04.004")</f>
        <v>http://dx.doi.org/10.1016/j.dsr2.2014.04.004</v>
      </c>
      <c r="BG98" t="s">
        <v>74</v>
      </c>
      <c r="BH98" t="s">
        <v>74</v>
      </c>
      <c r="BI98">
        <v>7</v>
      </c>
      <c r="BJ98" t="s">
        <v>1540</v>
      </c>
      <c r="BK98" t="s">
        <v>100</v>
      </c>
      <c r="BL98" t="s">
        <v>1540</v>
      </c>
      <c r="BM98" t="s">
        <v>2149</v>
      </c>
      <c r="BN98" t="s">
        <v>74</v>
      </c>
      <c r="BO98" t="s">
        <v>74</v>
      </c>
      <c r="BP98" t="s">
        <v>74</v>
      </c>
      <c r="BQ98" t="s">
        <v>74</v>
      </c>
      <c r="BR98" t="s">
        <v>104</v>
      </c>
      <c r="BS98" t="s">
        <v>2150</v>
      </c>
      <c r="BT98" t="str">
        <f>HYPERLINK("https%3A%2F%2Fwww.webofscience.com%2Fwos%2Fwoscc%2Ffull-record%2FWOS:000355055400002","View Full Record in Web of Science")</f>
        <v>View Full Record in Web of Science</v>
      </c>
    </row>
    <row r="99" spans="1:72" x14ac:dyDescent="0.15">
      <c r="A99" t="s">
        <v>72</v>
      </c>
      <c r="B99" t="s">
        <v>2151</v>
      </c>
      <c r="C99" t="s">
        <v>74</v>
      </c>
      <c r="D99" t="s">
        <v>74</v>
      </c>
      <c r="E99" t="s">
        <v>74</v>
      </c>
      <c r="F99" t="s">
        <v>2152</v>
      </c>
      <c r="G99" t="s">
        <v>74</v>
      </c>
      <c r="H99" t="s">
        <v>74</v>
      </c>
      <c r="I99" t="s">
        <v>2153</v>
      </c>
      <c r="J99" t="s">
        <v>2154</v>
      </c>
      <c r="K99" t="s">
        <v>74</v>
      </c>
      <c r="L99" t="s">
        <v>74</v>
      </c>
      <c r="M99" t="s">
        <v>78</v>
      </c>
      <c r="N99" t="s">
        <v>79</v>
      </c>
      <c r="O99" t="s">
        <v>74</v>
      </c>
      <c r="P99" t="s">
        <v>74</v>
      </c>
      <c r="Q99" t="s">
        <v>74</v>
      </c>
      <c r="R99" t="s">
        <v>74</v>
      </c>
      <c r="S99" t="s">
        <v>74</v>
      </c>
      <c r="T99" t="s">
        <v>2155</v>
      </c>
      <c r="U99" t="s">
        <v>2156</v>
      </c>
      <c r="V99" t="s">
        <v>2157</v>
      </c>
      <c r="W99" t="s">
        <v>2158</v>
      </c>
      <c r="X99" t="s">
        <v>2159</v>
      </c>
      <c r="Y99" t="s">
        <v>2160</v>
      </c>
      <c r="Z99" t="s">
        <v>2161</v>
      </c>
      <c r="AA99" t="s">
        <v>2162</v>
      </c>
      <c r="AB99" t="s">
        <v>2163</v>
      </c>
      <c r="AC99" t="s">
        <v>2164</v>
      </c>
      <c r="AD99" t="s">
        <v>2165</v>
      </c>
      <c r="AE99" t="s">
        <v>2166</v>
      </c>
      <c r="AF99" t="s">
        <v>74</v>
      </c>
      <c r="AG99">
        <v>51</v>
      </c>
      <c r="AH99">
        <v>9</v>
      </c>
      <c r="AI99">
        <v>9</v>
      </c>
      <c r="AJ99">
        <v>0</v>
      </c>
      <c r="AK99">
        <v>11</v>
      </c>
      <c r="AL99" t="s">
        <v>2167</v>
      </c>
      <c r="AM99" t="s">
        <v>2168</v>
      </c>
      <c r="AN99" t="s">
        <v>2169</v>
      </c>
      <c r="AO99" t="s">
        <v>2170</v>
      </c>
      <c r="AP99" t="s">
        <v>2171</v>
      </c>
      <c r="AQ99" t="s">
        <v>74</v>
      </c>
      <c r="AR99" t="s">
        <v>2154</v>
      </c>
      <c r="AS99" t="s">
        <v>2172</v>
      </c>
      <c r="AT99" t="s">
        <v>1309</v>
      </c>
      <c r="AU99">
        <v>2015</v>
      </c>
      <c r="AV99">
        <v>47</v>
      </c>
      <c r="AW99">
        <v>3</v>
      </c>
      <c r="AX99" t="s">
        <v>74</v>
      </c>
      <c r="AY99" t="s">
        <v>74</v>
      </c>
      <c r="AZ99" t="s">
        <v>74</v>
      </c>
      <c r="BA99" t="s">
        <v>74</v>
      </c>
      <c r="BB99">
        <v>143</v>
      </c>
      <c r="BC99">
        <v>156</v>
      </c>
      <c r="BD99" t="s">
        <v>74</v>
      </c>
      <c r="BE99" t="s">
        <v>2173</v>
      </c>
      <c r="BF99" t="str">
        <f>HYPERLINK("http://dx.doi.org/10.1017/S0024282915000031","http://dx.doi.org/10.1017/S0024282915000031")</f>
        <v>http://dx.doi.org/10.1017/S0024282915000031</v>
      </c>
      <c r="BG99" t="s">
        <v>74</v>
      </c>
      <c r="BH99" t="s">
        <v>74</v>
      </c>
      <c r="BI99">
        <v>14</v>
      </c>
      <c r="BJ99" t="s">
        <v>2174</v>
      </c>
      <c r="BK99" t="s">
        <v>100</v>
      </c>
      <c r="BL99" t="s">
        <v>2174</v>
      </c>
      <c r="BM99" t="s">
        <v>2175</v>
      </c>
      <c r="BN99" t="s">
        <v>74</v>
      </c>
      <c r="BO99" t="s">
        <v>74</v>
      </c>
      <c r="BP99" t="s">
        <v>74</v>
      </c>
      <c r="BQ99" t="s">
        <v>74</v>
      </c>
      <c r="BR99" t="s">
        <v>104</v>
      </c>
      <c r="BS99" t="s">
        <v>2176</v>
      </c>
      <c r="BT99" t="str">
        <f>HYPERLINK("https%3A%2F%2Fwww.webofscience.com%2Fwos%2Fwoscc%2Ffull-record%2FWOS:000355313600001","View Full Record in Web of Science")</f>
        <v>View Full Record in Web of Science</v>
      </c>
    </row>
    <row r="100" spans="1:72" x14ac:dyDescent="0.15">
      <c r="A100" t="s">
        <v>72</v>
      </c>
      <c r="B100" t="s">
        <v>2177</v>
      </c>
      <c r="C100" t="s">
        <v>74</v>
      </c>
      <c r="D100" t="s">
        <v>74</v>
      </c>
      <c r="E100" t="s">
        <v>74</v>
      </c>
      <c r="F100" t="s">
        <v>2178</v>
      </c>
      <c r="G100" t="s">
        <v>74</v>
      </c>
      <c r="H100" t="s">
        <v>74</v>
      </c>
      <c r="I100" t="s">
        <v>2179</v>
      </c>
      <c r="J100" t="s">
        <v>2180</v>
      </c>
      <c r="K100" t="s">
        <v>74</v>
      </c>
      <c r="L100" t="s">
        <v>74</v>
      </c>
      <c r="M100" t="s">
        <v>78</v>
      </c>
      <c r="N100" t="s">
        <v>79</v>
      </c>
      <c r="O100" t="s">
        <v>74</v>
      </c>
      <c r="P100" t="s">
        <v>74</v>
      </c>
      <c r="Q100" t="s">
        <v>74</v>
      </c>
      <c r="R100" t="s">
        <v>74</v>
      </c>
      <c r="S100" t="s">
        <v>74</v>
      </c>
      <c r="T100" t="s">
        <v>74</v>
      </c>
      <c r="U100" t="s">
        <v>2181</v>
      </c>
      <c r="V100" t="s">
        <v>2182</v>
      </c>
      <c r="W100" t="s">
        <v>2183</v>
      </c>
      <c r="X100" t="s">
        <v>2184</v>
      </c>
      <c r="Y100" t="s">
        <v>2185</v>
      </c>
      <c r="Z100" t="s">
        <v>2186</v>
      </c>
      <c r="AA100" t="s">
        <v>2187</v>
      </c>
      <c r="AB100" t="s">
        <v>2188</v>
      </c>
      <c r="AC100" t="s">
        <v>2189</v>
      </c>
      <c r="AD100" t="s">
        <v>2190</v>
      </c>
      <c r="AE100" t="s">
        <v>2191</v>
      </c>
      <c r="AF100" t="s">
        <v>74</v>
      </c>
      <c r="AG100">
        <v>32</v>
      </c>
      <c r="AH100">
        <v>20</v>
      </c>
      <c r="AI100">
        <v>23</v>
      </c>
      <c r="AJ100">
        <v>1</v>
      </c>
      <c r="AK100">
        <v>15</v>
      </c>
      <c r="AL100" t="s">
        <v>2192</v>
      </c>
      <c r="AM100" t="s">
        <v>2193</v>
      </c>
      <c r="AN100" t="s">
        <v>2194</v>
      </c>
      <c r="AO100" t="s">
        <v>2195</v>
      </c>
      <c r="AP100" t="s">
        <v>2196</v>
      </c>
      <c r="AQ100" t="s">
        <v>74</v>
      </c>
      <c r="AR100" t="s">
        <v>2197</v>
      </c>
      <c r="AS100" t="s">
        <v>2198</v>
      </c>
      <c r="AT100" t="s">
        <v>1309</v>
      </c>
      <c r="AU100">
        <v>2015</v>
      </c>
      <c r="AV100">
        <v>28</v>
      </c>
      <c r="AW100">
        <v>10</v>
      </c>
      <c r="AX100" t="s">
        <v>74</v>
      </c>
      <c r="AY100" t="s">
        <v>74</v>
      </c>
      <c r="AZ100" t="s">
        <v>74</v>
      </c>
      <c r="BA100" t="s">
        <v>74</v>
      </c>
      <c r="BB100">
        <v>4263</v>
      </c>
      <c r="BC100">
        <v>4278</v>
      </c>
      <c r="BD100" t="s">
        <v>74</v>
      </c>
      <c r="BE100" t="s">
        <v>2199</v>
      </c>
      <c r="BF100" t="str">
        <f>HYPERLINK("http://dx.doi.org/10.1175/JCLI-D-14-00110.1","http://dx.doi.org/10.1175/JCLI-D-14-00110.1")</f>
        <v>http://dx.doi.org/10.1175/JCLI-D-14-00110.1</v>
      </c>
      <c r="BG100" t="s">
        <v>74</v>
      </c>
      <c r="BH100" t="s">
        <v>74</v>
      </c>
      <c r="BI100">
        <v>16</v>
      </c>
      <c r="BJ100" t="s">
        <v>406</v>
      </c>
      <c r="BK100" t="s">
        <v>100</v>
      </c>
      <c r="BL100" t="s">
        <v>406</v>
      </c>
      <c r="BM100" t="s">
        <v>2200</v>
      </c>
      <c r="BN100" t="s">
        <v>74</v>
      </c>
      <c r="BO100" t="s">
        <v>2201</v>
      </c>
      <c r="BP100" t="s">
        <v>74</v>
      </c>
      <c r="BQ100" t="s">
        <v>74</v>
      </c>
      <c r="BR100" t="s">
        <v>104</v>
      </c>
      <c r="BS100" t="s">
        <v>2202</v>
      </c>
      <c r="BT100" t="str">
        <f>HYPERLINK("https%3A%2F%2Fwww.webofscience.com%2Fwos%2Fwoscc%2Ffull-record%2FWOS:000354370100022","View Full Record in Web of Science")</f>
        <v>View Full Record in Web of Science</v>
      </c>
    </row>
    <row r="101" spans="1:72" x14ac:dyDescent="0.15">
      <c r="A101" t="s">
        <v>72</v>
      </c>
      <c r="B101" t="s">
        <v>2203</v>
      </c>
      <c r="C101" t="s">
        <v>74</v>
      </c>
      <c r="D101" t="s">
        <v>74</v>
      </c>
      <c r="E101" t="s">
        <v>74</v>
      </c>
      <c r="F101" t="s">
        <v>2204</v>
      </c>
      <c r="G101" t="s">
        <v>74</v>
      </c>
      <c r="H101" t="s">
        <v>74</v>
      </c>
      <c r="I101" t="s">
        <v>2205</v>
      </c>
      <c r="J101" t="s">
        <v>2206</v>
      </c>
      <c r="K101" t="s">
        <v>74</v>
      </c>
      <c r="L101" t="s">
        <v>74</v>
      </c>
      <c r="M101" t="s">
        <v>78</v>
      </c>
      <c r="N101" t="s">
        <v>79</v>
      </c>
      <c r="O101" t="s">
        <v>74</v>
      </c>
      <c r="P101" t="s">
        <v>74</v>
      </c>
      <c r="Q101" t="s">
        <v>74</v>
      </c>
      <c r="R101" t="s">
        <v>74</v>
      </c>
      <c r="S101" t="s">
        <v>74</v>
      </c>
      <c r="T101" t="s">
        <v>74</v>
      </c>
      <c r="U101" t="s">
        <v>2207</v>
      </c>
      <c r="V101" t="s">
        <v>2208</v>
      </c>
      <c r="W101" t="s">
        <v>2209</v>
      </c>
      <c r="X101" t="s">
        <v>2210</v>
      </c>
      <c r="Y101" t="s">
        <v>2211</v>
      </c>
      <c r="Z101" t="s">
        <v>2212</v>
      </c>
      <c r="AA101" t="s">
        <v>2213</v>
      </c>
      <c r="AB101" t="s">
        <v>2214</v>
      </c>
      <c r="AC101" t="s">
        <v>2215</v>
      </c>
      <c r="AD101" t="s">
        <v>2216</v>
      </c>
      <c r="AE101" t="s">
        <v>2217</v>
      </c>
      <c r="AF101" t="s">
        <v>74</v>
      </c>
      <c r="AG101">
        <v>71</v>
      </c>
      <c r="AH101">
        <v>31</v>
      </c>
      <c r="AI101">
        <v>35</v>
      </c>
      <c r="AJ101">
        <v>1</v>
      </c>
      <c r="AK101">
        <v>68</v>
      </c>
      <c r="AL101" t="s">
        <v>91</v>
      </c>
      <c r="AM101" t="s">
        <v>92</v>
      </c>
      <c r="AN101" t="s">
        <v>93</v>
      </c>
      <c r="AO101" t="s">
        <v>2218</v>
      </c>
      <c r="AP101" t="s">
        <v>2219</v>
      </c>
      <c r="AQ101" t="s">
        <v>74</v>
      </c>
      <c r="AR101" t="s">
        <v>2220</v>
      </c>
      <c r="AS101" t="s">
        <v>2221</v>
      </c>
      <c r="AT101" t="s">
        <v>1309</v>
      </c>
      <c r="AU101">
        <v>2015</v>
      </c>
      <c r="AV101">
        <v>60</v>
      </c>
      <c r="AW101">
        <v>3</v>
      </c>
      <c r="AX101" t="s">
        <v>74</v>
      </c>
      <c r="AY101" t="s">
        <v>74</v>
      </c>
      <c r="AZ101" t="s">
        <v>74</v>
      </c>
      <c r="BA101" t="s">
        <v>74</v>
      </c>
      <c r="BB101">
        <v>977</v>
      </c>
      <c r="BC101">
        <v>991</v>
      </c>
      <c r="BD101" t="s">
        <v>74</v>
      </c>
      <c r="BE101" t="s">
        <v>2222</v>
      </c>
      <c r="BF101" t="str">
        <f>HYPERLINK("http://dx.doi.org/10.1002/lno.10071","http://dx.doi.org/10.1002/lno.10071")</f>
        <v>http://dx.doi.org/10.1002/lno.10071</v>
      </c>
      <c r="BG101" t="s">
        <v>74</v>
      </c>
      <c r="BH101" t="s">
        <v>74</v>
      </c>
      <c r="BI101">
        <v>15</v>
      </c>
      <c r="BJ101" t="s">
        <v>2223</v>
      </c>
      <c r="BK101" t="s">
        <v>100</v>
      </c>
      <c r="BL101" t="s">
        <v>1766</v>
      </c>
      <c r="BM101" t="s">
        <v>2224</v>
      </c>
      <c r="BN101" t="s">
        <v>74</v>
      </c>
      <c r="BO101" t="s">
        <v>156</v>
      </c>
      <c r="BP101" t="s">
        <v>74</v>
      </c>
      <c r="BQ101" t="s">
        <v>74</v>
      </c>
      <c r="BR101" t="s">
        <v>104</v>
      </c>
      <c r="BS101" t="s">
        <v>2225</v>
      </c>
      <c r="BT101" t="str">
        <f>HYPERLINK("https%3A%2F%2Fwww.webofscience.com%2Fwos%2Fwoscc%2Ffull-record%2FWOS:000354490100020","View Full Record in Web of Science")</f>
        <v>View Full Record in Web of Science</v>
      </c>
    </row>
    <row r="102" spans="1:72" x14ac:dyDescent="0.15">
      <c r="A102" t="s">
        <v>72</v>
      </c>
      <c r="B102" t="s">
        <v>2226</v>
      </c>
      <c r="C102" t="s">
        <v>74</v>
      </c>
      <c r="D102" t="s">
        <v>74</v>
      </c>
      <c r="E102" t="s">
        <v>74</v>
      </c>
      <c r="F102" t="s">
        <v>2227</v>
      </c>
      <c r="G102" t="s">
        <v>74</v>
      </c>
      <c r="H102" t="s">
        <v>74</v>
      </c>
      <c r="I102" t="s">
        <v>2228</v>
      </c>
      <c r="J102" t="s">
        <v>2229</v>
      </c>
      <c r="K102" t="s">
        <v>74</v>
      </c>
      <c r="L102" t="s">
        <v>74</v>
      </c>
      <c r="M102" t="s">
        <v>78</v>
      </c>
      <c r="N102" t="s">
        <v>79</v>
      </c>
      <c r="O102" t="s">
        <v>74</v>
      </c>
      <c r="P102" t="s">
        <v>74</v>
      </c>
      <c r="Q102" t="s">
        <v>74</v>
      </c>
      <c r="R102" t="s">
        <v>74</v>
      </c>
      <c r="S102" t="s">
        <v>74</v>
      </c>
      <c r="T102" t="s">
        <v>2230</v>
      </c>
      <c r="U102" t="s">
        <v>2231</v>
      </c>
      <c r="V102" t="s">
        <v>2232</v>
      </c>
      <c r="W102" t="s">
        <v>2233</v>
      </c>
      <c r="X102" t="s">
        <v>2234</v>
      </c>
      <c r="Y102" t="s">
        <v>2235</v>
      </c>
      <c r="Z102" t="s">
        <v>2236</v>
      </c>
      <c r="AA102" t="s">
        <v>2237</v>
      </c>
      <c r="AB102" t="s">
        <v>2238</v>
      </c>
      <c r="AC102" t="s">
        <v>2239</v>
      </c>
      <c r="AD102" t="s">
        <v>2240</v>
      </c>
      <c r="AE102" t="s">
        <v>2241</v>
      </c>
      <c r="AF102" t="s">
        <v>74</v>
      </c>
      <c r="AG102">
        <v>44</v>
      </c>
      <c r="AH102">
        <v>23</v>
      </c>
      <c r="AI102">
        <v>24</v>
      </c>
      <c r="AJ102">
        <v>0</v>
      </c>
      <c r="AK102">
        <v>21</v>
      </c>
      <c r="AL102" t="s">
        <v>2242</v>
      </c>
      <c r="AM102" t="s">
        <v>2243</v>
      </c>
      <c r="AN102" t="s">
        <v>2244</v>
      </c>
      <c r="AO102" t="s">
        <v>2245</v>
      </c>
      <c r="AP102" t="s">
        <v>74</v>
      </c>
      <c r="AQ102" t="s">
        <v>74</v>
      </c>
      <c r="AR102" t="s">
        <v>2229</v>
      </c>
      <c r="AS102" t="s">
        <v>2246</v>
      </c>
      <c r="AT102" t="s">
        <v>1309</v>
      </c>
      <c r="AU102">
        <v>2015</v>
      </c>
      <c r="AV102">
        <v>166</v>
      </c>
      <c r="AW102">
        <v>2</v>
      </c>
      <c r="AX102" t="s">
        <v>74</v>
      </c>
      <c r="AY102" t="s">
        <v>74</v>
      </c>
      <c r="AZ102" t="s">
        <v>74</v>
      </c>
      <c r="BA102" t="s">
        <v>74</v>
      </c>
      <c r="BB102">
        <v>177</v>
      </c>
      <c r="BC102">
        <v>195</v>
      </c>
      <c r="BD102" t="s">
        <v>74</v>
      </c>
      <c r="BE102" t="s">
        <v>2247</v>
      </c>
      <c r="BF102" t="str">
        <f>HYPERLINK("http://dx.doi.org/10.1016/j.protis.2015.01.004","http://dx.doi.org/10.1016/j.protis.2015.01.004")</f>
        <v>http://dx.doi.org/10.1016/j.protis.2015.01.004</v>
      </c>
      <c r="BG102" t="s">
        <v>74</v>
      </c>
      <c r="BH102" t="s">
        <v>74</v>
      </c>
      <c r="BI102">
        <v>19</v>
      </c>
      <c r="BJ102" t="s">
        <v>483</v>
      </c>
      <c r="BK102" t="s">
        <v>100</v>
      </c>
      <c r="BL102" t="s">
        <v>483</v>
      </c>
      <c r="BM102" t="s">
        <v>2248</v>
      </c>
      <c r="BN102">
        <v>25771111</v>
      </c>
      <c r="BO102" t="s">
        <v>559</v>
      </c>
      <c r="BP102" t="s">
        <v>74</v>
      </c>
      <c r="BQ102" t="s">
        <v>74</v>
      </c>
      <c r="BR102" t="s">
        <v>104</v>
      </c>
      <c r="BS102" t="s">
        <v>2249</v>
      </c>
      <c r="BT102" t="str">
        <f>HYPERLINK("https%3A%2F%2Fwww.webofscience.com%2Fwos%2Fwoscc%2Ffull-record%2FWOS:000355018300002","View Full Record in Web of Science")</f>
        <v>View Full Record in Web of Science</v>
      </c>
    </row>
    <row r="103" spans="1:72" x14ac:dyDescent="0.15">
      <c r="A103" t="s">
        <v>72</v>
      </c>
      <c r="B103" t="s">
        <v>2250</v>
      </c>
      <c r="C103" t="s">
        <v>74</v>
      </c>
      <c r="D103" t="s">
        <v>74</v>
      </c>
      <c r="E103" t="s">
        <v>74</v>
      </c>
      <c r="F103" t="s">
        <v>2251</v>
      </c>
      <c r="G103" t="s">
        <v>74</v>
      </c>
      <c r="H103" t="s">
        <v>74</v>
      </c>
      <c r="I103" t="s">
        <v>2252</v>
      </c>
      <c r="J103" t="s">
        <v>2253</v>
      </c>
      <c r="K103" t="s">
        <v>74</v>
      </c>
      <c r="L103" t="s">
        <v>74</v>
      </c>
      <c r="M103" t="s">
        <v>78</v>
      </c>
      <c r="N103" t="s">
        <v>52</v>
      </c>
      <c r="O103" t="s">
        <v>74</v>
      </c>
      <c r="P103" t="s">
        <v>74</v>
      </c>
      <c r="Q103" t="s">
        <v>74</v>
      </c>
      <c r="R103" t="s">
        <v>74</v>
      </c>
      <c r="S103" t="s">
        <v>74</v>
      </c>
      <c r="T103" t="s">
        <v>74</v>
      </c>
      <c r="U103" t="s">
        <v>74</v>
      </c>
      <c r="V103" t="s">
        <v>74</v>
      </c>
      <c r="W103" t="s">
        <v>2254</v>
      </c>
      <c r="X103" t="s">
        <v>2255</v>
      </c>
      <c r="Y103" t="s">
        <v>74</v>
      </c>
      <c r="Z103" t="s">
        <v>74</v>
      </c>
      <c r="AA103" t="s">
        <v>74</v>
      </c>
      <c r="AB103" t="s">
        <v>74</v>
      </c>
      <c r="AC103" t="s">
        <v>74</v>
      </c>
      <c r="AD103" t="s">
        <v>74</v>
      </c>
      <c r="AE103" t="s">
        <v>74</v>
      </c>
      <c r="AF103" t="s">
        <v>74</v>
      </c>
      <c r="AG103">
        <v>0</v>
      </c>
      <c r="AH103">
        <v>0</v>
      </c>
      <c r="AI103">
        <v>0</v>
      </c>
      <c r="AJ103">
        <v>0</v>
      </c>
      <c r="AK103">
        <v>5</v>
      </c>
      <c r="AL103" t="s">
        <v>1508</v>
      </c>
      <c r="AM103" t="s">
        <v>92</v>
      </c>
      <c r="AN103" t="s">
        <v>93</v>
      </c>
      <c r="AO103" t="s">
        <v>2256</v>
      </c>
      <c r="AP103" t="s">
        <v>2257</v>
      </c>
      <c r="AQ103" t="s">
        <v>74</v>
      </c>
      <c r="AR103" t="s">
        <v>2258</v>
      </c>
      <c r="AS103" t="s">
        <v>2259</v>
      </c>
      <c r="AT103" t="s">
        <v>1309</v>
      </c>
      <c r="AU103">
        <v>2015</v>
      </c>
      <c r="AV103">
        <v>214</v>
      </c>
      <c r="AW103" t="s">
        <v>74</v>
      </c>
      <c r="AX103" t="s">
        <v>74</v>
      </c>
      <c r="AY103">
        <v>700</v>
      </c>
      <c r="AZ103" t="s">
        <v>454</v>
      </c>
      <c r="BA103" t="s">
        <v>74</v>
      </c>
      <c r="BB103">
        <v>2</v>
      </c>
      <c r="BC103">
        <v>2</v>
      </c>
      <c r="BD103" t="s">
        <v>74</v>
      </c>
      <c r="BE103" t="s">
        <v>74</v>
      </c>
      <c r="BF103" t="s">
        <v>74</v>
      </c>
      <c r="BG103" t="s">
        <v>74</v>
      </c>
      <c r="BH103" t="s">
        <v>74</v>
      </c>
      <c r="BI103">
        <v>1</v>
      </c>
      <c r="BJ103" t="s">
        <v>2260</v>
      </c>
      <c r="BK103" t="s">
        <v>100</v>
      </c>
      <c r="BL103" t="s">
        <v>2260</v>
      </c>
      <c r="BM103" t="s">
        <v>2261</v>
      </c>
      <c r="BN103" t="s">
        <v>74</v>
      </c>
      <c r="BO103" t="s">
        <v>74</v>
      </c>
      <c r="BP103" t="s">
        <v>74</v>
      </c>
      <c r="BQ103" t="s">
        <v>74</v>
      </c>
      <c r="BR103" t="s">
        <v>104</v>
      </c>
      <c r="BS103" t="s">
        <v>2262</v>
      </c>
      <c r="BT103" t="str">
        <f>HYPERLINK("https%3A%2F%2Fwww.webofscience.com%2Fwos%2Fwoscc%2Ffull-record%2FWOS:000354528800002","View Full Record in Web of Science")</f>
        <v>View Full Record in Web of Science</v>
      </c>
    </row>
    <row r="104" spans="1:72" x14ac:dyDescent="0.15">
      <c r="A104" t="s">
        <v>72</v>
      </c>
      <c r="B104" t="s">
        <v>2263</v>
      </c>
      <c r="C104" t="s">
        <v>74</v>
      </c>
      <c r="D104" t="s">
        <v>74</v>
      </c>
      <c r="E104" t="s">
        <v>74</v>
      </c>
      <c r="F104" t="s">
        <v>2264</v>
      </c>
      <c r="G104" t="s">
        <v>74</v>
      </c>
      <c r="H104" t="s">
        <v>74</v>
      </c>
      <c r="I104" t="s">
        <v>2265</v>
      </c>
      <c r="J104" t="s">
        <v>2266</v>
      </c>
      <c r="K104" t="s">
        <v>74</v>
      </c>
      <c r="L104" t="s">
        <v>74</v>
      </c>
      <c r="M104" t="s">
        <v>78</v>
      </c>
      <c r="N104" t="s">
        <v>79</v>
      </c>
      <c r="O104" t="s">
        <v>74</v>
      </c>
      <c r="P104" t="s">
        <v>74</v>
      </c>
      <c r="Q104" t="s">
        <v>74</v>
      </c>
      <c r="R104" t="s">
        <v>74</v>
      </c>
      <c r="S104" t="s">
        <v>74</v>
      </c>
      <c r="T104" t="s">
        <v>2267</v>
      </c>
      <c r="U104" t="s">
        <v>74</v>
      </c>
      <c r="V104" t="s">
        <v>2268</v>
      </c>
      <c r="W104" t="s">
        <v>2269</v>
      </c>
      <c r="X104" t="s">
        <v>2270</v>
      </c>
      <c r="Y104" t="s">
        <v>2271</v>
      </c>
      <c r="Z104" t="s">
        <v>2272</v>
      </c>
      <c r="AA104" t="s">
        <v>2273</v>
      </c>
      <c r="AB104" t="s">
        <v>2274</v>
      </c>
      <c r="AC104" t="s">
        <v>74</v>
      </c>
      <c r="AD104" t="s">
        <v>74</v>
      </c>
      <c r="AE104" t="s">
        <v>74</v>
      </c>
      <c r="AF104" t="s">
        <v>74</v>
      </c>
      <c r="AG104">
        <v>5</v>
      </c>
      <c r="AH104">
        <v>6</v>
      </c>
      <c r="AI104">
        <v>6</v>
      </c>
      <c r="AJ104">
        <v>0</v>
      </c>
      <c r="AK104">
        <v>2</v>
      </c>
      <c r="AL104" t="s">
        <v>2275</v>
      </c>
      <c r="AM104" t="s">
        <v>2276</v>
      </c>
      <c r="AN104" t="s">
        <v>2277</v>
      </c>
      <c r="AO104" t="s">
        <v>2278</v>
      </c>
      <c r="AP104" t="s">
        <v>2279</v>
      </c>
      <c r="AQ104" t="s">
        <v>74</v>
      </c>
      <c r="AR104" t="s">
        <v>2266</v>
      </c>
      <c r="AS104" t="s">
        <v>2280</v>
      </c>
      <c r="AT104" t="s">
        <v>1309</v>
      </c>
      <c r="AU104">
        <v>2015</v>
      </c>
      <c r="AV104">
        <v>86</v>
      </c>
      <c r="AW104" t="s">
        <v>2281</v>
      </c>
      <c r="AX104" t="s">
        <v>74</v>
      </c>
      <c r="AY104" t="s">
        <v>74</v>
      </c>
      <c r="AZ104" t="s">
        <v>454</v>
      </c>
      <c r="BA104" t="s">
        <v>74</v>
      </c>
      <c r="BB104">
        <v>193</v>
      </c>
      <c r="BC104">
        <v>194</v>
      </c>
      <c r="BD104" t="s">
        <v>74</v>
      </c>
      <c r="BE104" t="s">
        <v>2282</v>
      </c>
      <c r="BF104" t="str">
        <f>HYPERLINK("http://dx.doi.org/10.2989/00306525.2015.1005558","http://dx.doi.org/10.2989/00306525.2015.1005558")</f>
        <v>http://dx.doi.org/10.2989/00306525.2015.1005558</v>
      </c>
      <c r="BG104" t="s">
        <v>74</v>
      </c>
      <c r="BH104" t="s">
        <v>74</v>
      </c>
      <c r="BI104">
        <v>2</v>
      </c>
      <c r="BJ104" t="s">
        <v>2124</v>
      </c>
      <c r="BK104" t="s">
        <v>100</v>
      </c>
      <c r="BL104" t="s">
        <v>509</v>
      </c>
      <c r="BM104" t="s">
        <v>2283</v>
      </c>
      <c r="BN104" t="s">
        <v>74</v>
      </c>
      <c r="BO104" t="s">
        <v>74</v>
      </c>
      <c r="BP104" t="s">
        <v>74</v>
      </c>
      <c r="BQ104" t="s">
        <v>74</v>
      </c>
      <c r="BR104" t="s">
        <v>104</v>
      </c>
      <c r="BS104" t="s">
        <v>2284</v>
      </c>
      <c r="BT104" t="str">
        <f>HYPERLINK("https%3A%2F%2Fwww.webofscience.com%2Fwos%2Fwoscc%2Ffull-record%2FWOS:000354571500021","View Full Record in Web of Science")</f>
        <v>View Full Record in Web of Science</v>
      </c>
    </row>
    <row r="105" spans="1:72" x14ac:dyDescent="0.15">
      <c r="A105" t="s">
        <v>72</v>
      </c>
      <c r="B105" t="s">
        <v>2285</v>
      </c>
      <c r="C105" t="s">
        <v>74</v>
      </c>
      <c r="D105" t="s">
        <v>74</v>
      </c>
      <c r="E105" t="s">
        <v>74</v>
      </c>
      <c r="F105" t="s">
        <v>2286</v>
      </c>
      <c r="G105" t="s">
        <v>74</v>
      </c>
      <c r="H105" t="s">
        <v>74</v>
      </c>
      <c r="I105" t="s">
        <v>2287</v>
      </c>
      <c r="J105" t="s">
        <v>2288</v>
      </c>
      <c r="K105" t="s">
        <v>74</v>
      </c>
      <c r="L105" t="s">
        <v>74</v>
      </c>
      <c r="M105" t="s">
        <v>78</v>
      </c>
      <c r="N105" t="s">
        <v>79</v>
      </c>
      <c r="O105" t="s">
        <v>74</v>
      </c>
      <c r="P105" t="s">
        <v>74</v>
      </c>
      <c r="Q105" t="s">
        <v>74</v>
      </c>
      <c r="R105" t="s">
        <v>74</v>
      </c>
      <c r="S105" t="s">
        <v>74</v>
      </c>
      <c r="T105" t="s">
        <v>2289</v>
      </c>
      <c r="U105" t="s">
        <v>2290</v>
      </c>
      <c r="V105" t="s">
        <v>2291</v>
      </c>
      <c r="W105" t="s">
        <v>2292</v>
      </c>
      <c r="X105" t="s">
        <v>2293</v>
      </c>
      <c r="Y105" t="s">
        <v>2294</v>
      </c>
      <c r="Z105" t="s">
        <v>2295</v>
      </c>
      <c r="AA105" t="s">
        <v>2296</v>
      </c>
      <c r="AB105" t="s">
        <v>2297</v>
      </c>
      <c r="AC105" t="s">
        <v>2298</v>
      </c>
      <c r="AD105" t="s">
        <v>2299</v>
      </c>
      <c r="AE105" t="s">
        <v>2300</v>
      </c>
      <c r="AF105" t="s">
        <v>74</v>
      </c>
      <c r="AG105">
        <v>64</v>
      </c>
      <c r="AH105">
        <v>16</v>
      </c>
      <c r="AI105">
        <v>18</v>
      </c>
      <c r="AJ105">
        <v>0</v>
      </c>
      <c r="AK105">
        <v>7</v>
      </c>
      <c r="AL105" t="s">
        <v>621</v>
      </c>
      <c r="AM105" t="s">
        <v>622</v>
      </c>
      <c r="AN105" t="s">
        <v>623</v>
      </c>
      <c r="AO105" t="s">
        <v>2301</v>
      </c>
      <c r="AP105" t="s">
        <v>2302</v>
      </c>
      <c r="AQ105" t="s">
        <v>74</v>
      </c>
      <c r="AR105" t="s">
        <v>2303</v>
      </c>
      <c r="AS105" t="s">
        <v>2304</v>
      </c>
      <c r="AT105" t="s">
        <v>1309</v>
      </c>
      <c r="AU105">
        <v>2015</v>
      </c>
      <c r="AV105">
        <v>149</v>
      </c>
      <c r="AW105">
        <v>5</v>
      </c>
      <c r="AX105" t="s">
        <v>74</v>
      </c>
      <c r="AY105" t="s">
        <v>74</v>
      </c>
      <c r="AZ105" t="s">
        <v>74</v>
      </c>
      <c r="BA105" t="s">
        <v>74</v>
      </c>
      <c r="BB105" t="s">
        <v>74</v>
      </c>
      <c r="BC105" t="s">
        <v>74</v>
      </c>
      <c r="BD105">
        <v>165</v>
      </c>
      <c r="BE105" t="s">
        <v>2305</v>
      </c>
      <c r="BF105" t="str">
        <f>HYPERLINK("http://dx.doi.org/10.1088/0004-6256/149/5/165","http://dx.doi.org/10.1088/0004-6256/149/5/165")</f>
        <v>http://dx.doi.org/10.1088/0004-6256/149/5/165</v>
      </c>
      <c r="BG105" t="s">
        <v>74</v>
      </c>
      <c r="BH105" t="s">
        <v>74</v>
      </c>
      <c r="BI105">
        <v>11</v>
      </c>
      <c r="BJ105" t="s">
        <v>246</v>
      </c>
      <c r="BK105" t="s">
        <v>100</v>
      </c>
      <c r="BL105" t="s">
        <v>246</v>
      </c>
      <c r="BM105" t="s">
        <v>2306</v>
      </c>
      <c r="BN105" t="s">
        <v>74</v>
      </c>
      <c r="BO105" t="s">
        <v>2307</v>
      </c>
      <c r="BP105" t="s">
        <v>74</v>
      </c>
      <c r="BQ105" t="s">
        <v>74</v>
      </c>
      <c r="BR105" t="s">
        <v>104</v>
      </c>
      <c r="BS105" t="s">
        <v>2308</v>
      </c>
      <c r="BT105" t="str">
        <f>HYPERLINK("https%3A%2F%2Fwww.webofscience.com%2Fwos%2Fwoscc%2Ffull-record%2FWOS:000354065200016","View Full Record in Web of Science")</f>
        <v>View Full Record in Web of Science</v>
      </c>
    </row>
    <row r="106" spans="1:72" x14ac:dyDescent="0.15">
      <c r="A106" t="s">
        <v>72</v>
      </c>
      <c r="B106" t="s">
        <v>2309</v>
      </c>
      <c r="C106" t="s">
        <v>74</v>
      </c>
      <c r="D106" t="s">
        <v>74</v>
      </c>
      <c r="E106" t="s">
        <v>74</v>
      </c>
      <c r="F106" t="s">
        <v>2310</v>
      </c>
      <c r="G106" t="s">
        <v>74</v>
      </c>
      <c r="H106" t="s">
        <v>74</v>
      </c>
      <c r="I106" t="s">
        <v>2311</v>
      </c>
      <c r="J106" t="s">
        <v>2312</v>
      </c>
      <c r="K106" t="s">
        <v>74</v>
      </c>
      <c r="L106" t="s">
        <v>74</v>
      </c>
      <c r="M106" t="s">
        <v>78</v>
      </c>
      <c r="N106" t="s">
        <v>79</v>
      </c>
      <c r="O106" t="s">
        <v>74</v>
      </c>
      <c r="P106" t="s">
        <v>74</v>
      </c>
      <c r="Q106" t="s">
        <v>74</v>
      </c>
      <c r="R106" t="s">
        <v>74</v>
      </c>
      <c r="S106" t="s">
        <v>74</v>
      </c>
      <c r="T106" t="s">
        <v>2313</v>
      </c>
      <c r="U106" t="s">
        <v>2314</v>
      </c>
      <c r="V106" t="s">
        <v>2315</v>
      </c>
      <c r="W106" t="s">
        <v>2316</v>
      </c>
      <c r="X106" t="s">
        <v>2317</v>
      </c>
      <c r="Y106" t="s">
        <v>2318</v>
      </c>
      <c r="Z106" t="s">
        <v>2319</v>
      </c>
      <c r="AA106" t="s">
        <v>2320</v>
      </c>
      <c r="AB106" t="s">
        <v>2321</v>
      </c>
      <c r="AC106" t="s">
        <v>2322</v>
      </c>
      <c r="AD106" t="s">
        <v>2323</v>
      </c>
      <c r="AE106" t="s">
        <v>2324</v>
      </c>
      <c r="AF106" t="s">
        <v>74</v>
      </c>
      <c r="AG106">
        <v>64</v>
      </c>
      <c r="AH106">
        <v>20</v>
      </c>
      <c r="AI106">
        <v>20</v>
      </c>
      <c r="AJ106">
        <v>0</v>
      </c>
      <c r="AK106">
        <v>22</v>
      </c>
      <c r="AL106" t="s">
        <v>120</v>
      </c>
      <c r="AM106" t="s">
        <v>121</v>
      </c>
      <c r="AN106" t="s">
        <v>1304</v>
      </c>
      <c r="AO106" t="s">
        <v>2325</v>
      </c>
      <c r="AP106" t="s">
        <v>2326</v>
      </c>
      <c r="AQ106" t="s">
        <v>74</v>
      </c>
      <c r="AR106" t="s">
        <v>2327</v>
      </c>
      <c r="AS106" t="s">
        <v>2328</v>
      </c>
      <c r="AT106" t="s">
        <v>1309</v>
      </c>
      <c r="AU106">
        <v>2015</v>
      </c>
      <c r="AV106">
        <v>77</v>
      </c>
      <c r="AW106">
        <v>5</v>
      </c>
      <c r="AX106" t="s">
        <v>74</v>
      </c>
      <c r="AY106" t="s">
        <v>74</v>
      </c>
      <c r="AZ106" t="s">
        <v>74</v>
      </c>
      <c r="BA106" t="s">
        <v>74</v>
      </c>
      <c r="BB106" t="s">
        <v>74</v>
      </c>
      <c r="BC106" t="s">
        <v>74</v>
      </c>
      <c r="BD106">
        <v>36</v>
      </c>
      <c r="BE106" t="s">
        <v>2329</v>
      </c>
      <c r="BF106" t="str">
        <f>HYPERLINK("http://dx.doi.org/10.1007/s00445-015-0924-0","http://dx.doi.org/10.1007/s00445-015-0924-0")</f>
        <v>http://dx.doi.org/10.1007/s00445-015-0924-0</v>
      </c>
      <c r="BG106" t="s">
        <v>74</v>
      </c>
      <c r="BH106" t="s">
        <v>74</v>
      </c>
      <c r="BI106">
        <v>17</v>
      </c>
      <c r="BJ106" t="s">
        <v>219</v>
      </c>
      <c r="BK106" t="s">
        <v>100</v>
      </c>
      <c r="BL106" t="s">
        <v>220</v>
      </c>
      <c r="BM106" t="s">
        <v>2330</v>
      </c>
      <c r="BN106" t="s">
        <v>74</v>
      </c>
      <c r="BO106" t="s">
        <v>248</v>
      </c>
      <c r="BP106" t="s">
        <v>74</v>
      </c>
      <c r="BQ106" t="s">
        <v>74</v>
      </c>
      <c r="BR106" t="s">
        <v>104</v>
      </c>
      <c r="BS106" t="s">
        <v>2331</v>
      </c>
      <c r="BT106" t="str">
        <f>HYPERLINK("https%3A%2F%2Fwww.webofscience.com%2Fwos%2Fwoscc%2Ffull-record%2FWOS:000354191900003","View Full Record in Web of Science")</f>
        <v>View Full Record in Web of Science</v>
      </c>
    </row>
    <row r="107" spans="1:72" x14ac:dyDescent="0.15">
      <c r="A107" t="s">
        <v>72</v>
      </c>
      <c r="B107" t="s">
        <v>2332</v>
      </c>
      <c r="C107" t="s">
        <v>74</v>
      </c>
      <c r="D107" t="s">
        <v>74</v>
      </c>
      <c r="E107" t="s">
        <v>74</v>
      </c>
      <c r="F107" t="s">
        <v>2333</v>
      </c>
      <c r="G107" t="s">
        <v>74</v>
      </c>
      <c r="H107" t="s">
        <v>74</v>
      </c>
      <c r="I107" t="s">
        <v>2334</v>
      </c>
      <c r="J107" t="s">
        <v>2335</v>
      </c>
      <c r="K107" t="s">
        <v>74</v>
      </c>
      <c r="L107" t="s">
        <v>74</v>
      </c>
      <c r="M107" t="s">
        <v>78</v>
      </c>
      <c r="N107" t="s">
        <v>79</v>
      </c>
      <c r="O107" t="s">
        <v>74</v>
      </c>
      <c r="P107" t="s">
        <v>74</v>
      </c>
      <c r="Q107" t="s">
        <v>74</v>
      </c>
      <c r="R107" t="s">
        <v>74</v>
      </c>
      <c r="S107" t="s">
        <v>74</v>
      </c>
      <c r="T107" t="s">
        <v>2336</v>
      </c>
      <c r="U107" t="s">
        <v>2337</v>
      </c>
      <c r="V107" t="s">
        <v>2338</v>
      </c>
      <c r="W107" t="s">
        <v>2339</v>
      </c>
      <c r="X107" t="s">
        <v>2340</v>
      </c>
      <c r="Y107" t="s">
        <v>2341</v>
      </c>
      <c r="Z107" t="s">
        <v>2342</v>
      </c>
      <c r="AA107" t="s">
        <v>74</v>
      </c>
      <c r="AB107" t="s">
        <v>2343</v>
      </c>
      <c r="AC107" t="s">
        <v>2344</v>
      </c>
      <c r="AD107" t="s">
        <v>2345</v>
      </c>
      <c r="AE107" t="s">
        <v>2346</v>
      </c>
      <c r="AF107" t="s">
        <v>74</v>
      </c>
      <c r="AG107">
        <v>31</v>
      </c>
      <c r="AH107">
        <v>7</v>
      </c>
      <c r="AI107">
        <v>9</v>
      </c>
      <c r="AJ107">
        <v>1</v>
      </c>
      <c r="AK107">
        <v>14</v>
      </c>
      <c r="AL107" t="s">
        <v>2028</v>
      </c>
      <c r="AM107" t="s">
        <v>2029</v>
      </c>
      <c r="AN107" t="s">
        <v>2347</v>
      </c>
      <c r="AO107" t="s">
        <v>2348</v>
      </c>
      <c r="AP107" t="s">
        <v>2349</v>
      </c>
      <c r="AQ107" t="s">
        <v>74</v>
      </c>
      <c r="AR107" t="s">
        <v>2350</v>
      </c>
      <c r="AS107" t="s">
        <v>2351</v>
      </c>
      <c r="AT107" t="s">
        <v>1309</v>
      </c>
      <c r="AU107">
        <v>2015</v>
      </c>
      <c r="AV107">
        <v>33</v>
      </c>
      <c r="AW107">
        <v>3</v>
      </c>
      <c r="AX107" t="s">
        <v>74</v>
      </c>
      <c r="AY107" t="s">
        <v>74</v>
      </c>
      <c r="AZ107" t="s">
        <v>74</v>
      </c>
      <c r="BA107" t="s">
        <v>74</v>
      </c>
      <c r="BB107">
        <v>802</v>
      </c>
      <c r="BC107">
        <v>808</v>
      </c>
      <c r="BD107" t="s">
        <v>74</v>
      </c>
      <c r="BE107" t="s">
        <v>2352</v>
      </c>
      <c r="BF107" t="str">
        <f>HYPERLINK("http://dx.doi.org/10.1007/s00343-015-4064-3","http://dx.doi.org/10.1007/s00343-015-4064-3")</f>
        <v>http://dx.doi.org/10.1007/s00343-015-4064-3</v>
      </c>
      <c r="BG107" t="s">
        <v>74</v>
      </c>
      <c r="BH107" t="s">
        <v>74</v>
      </c>
      <c r="BI107">
        <v>7</v>
      </c>
      <c r="BJ107" t="s">
        <v>2223</v>
      </c>
      <c r="BK107" t="s">
        <v>100</v>
      </c>
      <c r="BL107" t="s">
        <v>1766</v>
      </c>
      <c r="BM107" t="s">
        <v>2353</v>
      </c>
      <c r="BN107" t="s">
        <v>74</v>
      </c>
      <c r="BO107" t="s">
        <v>74</v>
      </c>
      <c r="BP107" t="s">
        <v>74</v>
      </c>
      <c r="BQ107" t="s">
        <v>74</v>
      </c>
      <c r="BR107" t="s">
        <v>104</v>
      </c>
      <c r="BS107" t="s">
        <v>2354</v>
      </c>
      <c r="BT107" t="str">
        <f>HYPERLINK("https%3A%2F%2Fwww.webofscience.com%2Fwos%2Fwoscc%2Ffull-record%2FWOS:000353891400026","View Full Record in Web of Science")</f>
        <v>View Full Record in Web of Science</v>
      </c>
    </row>
    <row r="108" spans="1:72" x14ac:dyDescent="0.15">
      <c r="A108" t="s">
        <v>72</v>
      </c>
      <c r="B108" t="s">
        <v>2355</v>
      </c>
      <c r="C108" t="s">
        <v>74</v>
      </c>
      <c r="D108" t="s">
        <v>74</v>
      </c>
      <c r="E108" t="s">
        <v>74</v>
      </c>
      <c r="F108" t="s">
        <v>2356</v>
      </c>
      <c r="G108" t="s">
        <v>74</v>
      </c>
      <c r="H108" t="s">
        <v>74</v>
      </c>
      <c r="I108" t="s">
        <v>2357</v>
      </c>
      <c r="J108" t="s">
        <v>2358</v>
      </c>
      <c r="K108" t="s">
        <v>74</v>
      </c>
      <c r="L108" t="s">
        <v>74</v>
      </c>
      <c r="M108" t="s">
        <v>78</v>
      </c>
      <c r="N108" t="s">
        <v>79</v>
      </c>
      <c r="O108" t="s">
        <v>74</v>
      </c>
      <c r="P108" t="s">
        <v>74</v>
      </c>
      <c r="Q108" t="s">
        <v>74</v>
      </c>
      <c r="R108" t="s">
        <v>74</v>
      </c>
      <c r="S108" t="s">
        <v>74</v>
      </c>
      <c r="T108" t="s">
        <v>74</v>
      </c>
      <c r="U108" t="s">
        <v>2359</v>
      </c>
      <c r="V108" t="s">
        <v>2360</v>
      </c>
      <c r="W108" t="s">
        <v>2361</v>
      </c>
      <c r="X108" t="s">
        <v>2362</v>
      </c>
      <c r="Y108" t="s">
        <v>2363</v>
      </c>
      <c r="Z108" t="s">
        <v>2364</v>
      </c>
      <c r="AA108" t="s">
        <v>2365</v>
      </c>
      <c r="AB108" t="s">
        <v>2366</v>
      </c>
      <c r="AC108" t="s">
        <v>2367</v>
      </c>
      <c r="AD108" t="s">
        <v>2368</v>
      </c>
      <c r="AE108" t="s">
        <v>2369</v>
      </c>
      <c r="AF108" t="s">
        <v>74</v>
      </c>
      <c r="AG108">
        <v>37</v>
      </c>
      <c r="AH108">
        <v>14</v>
      </c>
      <c r="AI108">
        <v>16</v>
      </c>
      <c r="AJ108">
        <v>1</v>
      </c>
      <c r="AK108">
        <v>28</v>
      </c>
      <c r="AL108" t="s">
        <v>2192</v>
      </c>
      <c r="AM108" t="s">
        <v>2193</v>
      </c>
      <c r="AN108" t="s">
        <v>2194</v>
      </c>
      <c r="AO108" t="s">
        <v>2370</v>
      </c>
      <c r="AP108" t="s">
        <v>2371</v>
      </c>
      <c r="AQ108" t="s">
        <v>74</v>
      </c>
      <c r="AR108" t="s">
        <v>2372</v>
      </c>
      <c r="AS108" t="s">
        <v>2373</v>
      </c>
      <c r="AT108" t="s">
        <v>1309</v>
      </c>
      <c r="AU108">
        <v>2015</v>
      </c>
      <c r="AV108">
        <v>45</v>
      </c>
      <c r="AW108">
        <v>5</v>
      </c>
      <c r="AX108" t="s">
        <v>74</v>
      </c>
      <c r="AY108" t="s">
        <v>74</v>
      </c>
      <c r="AZ108" t="s">
        <v>74</v>
      </c>
      <c r="BA108" t="s">
        <v>74</v>
      </c>
      <c r="BB108">
        <v>1205</v>
      </c>
      <c r="BC108">
        <v>1223</v>
      </c>
      <c r="BD108" t="s">
        <v>74</v>
      </c>
      <c r="BE108" t="s">
        <v>2374</v>
      </c>
      <c r="BF108" t="str">
        <f>HYPERLINK("http://dx.doi.org/10.1175/JPO-D-14-0115.1","http://dx.doi.org/10.1175/JPO-D-14-0115.1")</f>
        <v>http://dx.doi.org/10.1175/JPO-D-14-0115.1</v>
      </c>
      <c r="BG108" t="s">
        <v>74</v>
      </c>
      <c r="BH108" t="s">
        <v>74</v>
      </c>
      <c r="BI108">
        <v>19</v>
      </c>
      <c r="BJ108" t="s">
        <v>1540</v>
      </c>
      <c r="BK108" t="s">
        <v>100</v>
      </c>
      <c r="BL108" t="s">
        <v>1540</v>
      </c>
      <c r="BM108" t="s">
        <v>2375</v>
      </c>
      <c r="BN108" t="s">
        <v>74</v>
      </c>
      <c r="BO108" t="s">
        <v>2376</v>
      </c>
      <c r="BP108" t="s">
        <v>74</v>
      </c>
      <c r="BQ108" t="s">
        <v>74</v>
      </c>
      <c r="BR108" t="s">
        <v>104</v>
      </c>
      <c r="BS108" t="s">
        <v>2377</v>
      </c>
      <c r="BT108" t="str">
        <f>HYPERLINK("https%3A%2F%2Fwww.webofscience.com%2Fwos%2Fwoscc%2Ffull-record%2FWOS:000354370700001","View Full Record in Web of Science")</f>
        <v>View Full Record in Web of Science</v>
      </c>
    </row>
    <row r="109" spans="1:72" x14ac:dyDescent="0.15">
      <c r="A109" t="s">
        <v>72</v>
      </c>
      <c r="B109" t="s">
        <v>2378</v>
      </c>
      <c r="C109" t="s">
        <v>74</v>
      </c>
      <c r="D109" t="s">
        <v>74</v>
      </c>
      <c r="E109" t="s">
        <v>74</v>
      </c>
      <c r="F109" t="s">
        <v>2379</v>
      </c>
      <c r="G109" t="s">
        <v>74</v>
      </c>
      <c r="H109" t="s">
        <v>74</v>
      </c>
      <c r="I109" t="s">
        <v>2380</v>
      </c>
      <c r="J109" t="s">
        <v>2381</v>
      </c>
      <c r="K109" t="s">
        <v>74</v>
      </c>
      <c r="L109" t="s">
        <v>74</v>
      </c>
      <c r="M109" t="s">
        <v>78</v>
      </c>
      <c r="N109" t="s">
        <v>79</v>
      </c>
      <c r="O109" t="s">
        <v>74</v>
      </c>
      <c r="P109" t="s">
        <v>74</v>
      </c>
      <c r="Q109" t="s">
        <v>74</v>
      </c>
      <c r="R109" t="s">
        <v>74</v>
      </c>
      <c r="S109" t="s">
        <v>74</v>
      </c>
      <c r="T109" t="s">
        <v>2382</v>
      </c>
      <c r="U109" t="s">
        <v>2383</v>
      </c>
      <c r="V109" t="s">
        <v>2384</v>
      </c>
      <c r="W109" t="s">
        <v>2385</v>
      </c>
      <c r="X109" t="s">
        <v>2386</v>
      </c>
      <c r="Y109" t="s">
        <v>2387</v>
      </c>
      <c r="Z109" t="s">
        <v>2388</v>
      </c>
      <c r="AA109" t="s">
        <v>2389</v>
      </c>
      <c r="AB109" t="s">
        <v>2390</v>
      </c>
      <c r="AC109" t="s">
        <v>2391</v>
      </c>
      <c r="AD109" t="s">
        <v>2392</v>
      </c>
      <c r="AE109" t="s">
        <v>2393</v>
      </c>
      <c r="AF109" t="s">
        <v>74</v>
      </c>
      <c r="AG109">
        <v>80</v>
      </c>
      <c r="AH109">
        <v>8</v>
      </c>
      <c r="AI109">
        <v>8</v>
      </c>
      <c r="AJ109">
        <v>0</v>
      </c>
      <c r="AK109">
        <v>15</v>
      </c>
      <c r="AL109" t="s">
        <v>239</v>
      </c>
      <c r="AM109" t="s">
        <v>240</v>
      </c>
      <c r="AN109" t="s">
        <v>241</v>
      </c>
      <c r="AO109" t="s">
        <v>2394</v>
      </c>
      <c r="AP109" t="s">
        <v>2395</v>
      </c>
      <c r="AQ109" t="s">
        <v>74</v>
      </c>
      <c r="AR109" t="s">
        <v>2396</v>
      </c>
      <c r="AS109" t="s">
        <v>2397</v>
      </c>
      <c r="AT109" t="s">
        <v>1309</v>
      </c>
      <c r="AU109">
        <v>2015</v>
      </c>
      <c r="AV109">
        <v>115</v>
      </c>
      <c r="AW109" t="s">
        <v>74</v>
      </c>
      <c r="AX109" t="s">
        <v>74</v>
      </c>
      <c r="AY109" t="s">
        <v>74</v>
      </c>
      <c r="AZ109" t="s">
        <v>74</v>
      </c>
      <c r="BA109" t="s">
        <v>74</v>
      </c>
      <c r="BB109">
        <v>1</v>
      </c>
      <c r="BC109">
        <v>6</v>
      </c>
      <c r="BD109" t="s">
        <v>74</v>
      </c>
      <c r="BE109" t="s">
        <v>2398</v>
      </c>
      <c r="BF109" t="str">
        <f>HYPERLINK("http://dx.doi.org/10.1016/j.ecoenv.2015.01.029","http://dx.doi.org/10.1016/j.ecoenv.2015.01.029")</f>
        <v>http://dx.doi.org/10.1016/j.ecoenv.2015.01.029</v>
      </c>
      <c r="BG109" t="s">
        <v>74</v>
      </c>
      <c r="BH109" t="s">
        <v>74</v>
      </c>
      <c r="BI109">
        <v>6</v>
      </c>
      <c r="BJ109" t="s">
        <v>2399</v>
      </c>
      <c r="BK109" t="s">
        <v>100</v>
      </c>
      <c r="BL109" t="s">
        <v>2400</v>
      </c>
      <c r="BM109" t="s">
        <v>2401</v>
      </c>
      <c r="BN109">
        <v>25666730</v>
      </c>
      <c r="BO109" t="s">
        <v>74</v>
      </c>
      <c r="BP109" t="s">
        <v>74</v>
      </c>
      <c r="BQ109" t="s">
        <v>74</v>
      </c>
      <c r="BR109" t="s">
        <v>104</v>
      </c>
      <c r="BS109" t="s">
        <v>2402</v>
      </c>
      <c r="BT109" t="str">
        <f>HYPERLINK("https%3A%2F%2Fwww.webofscience.com%2Fwos%2Fwoscc%2Ffull-record%2FWOS:000353073200001","View Full Record in Web of Science")</f>
        <v>View Full Record in Web of Science</v>
      </c>
    </row>
    <row r="110" spans="1:72" x14ac:dyDescent="0.15">
      <c r="A110" t="s">
        <v>72</v>
      </c>
      <c r="B110" t="s">
        <v>2403</v>
      </c>
      <c r="C110" t="s">
        <v>74</v>
      </c>
      <c r="D110" t="s">
        <v>74</v>
      </c>
      <c r="E110" t="s">
        <v>74</v>
      </c>
      <c r="F110" t="s">
        <v>2404</v>
      </c>
      <c r="G110" t="s">
        <v>74</v>
      </c>
      <c r="H110" t="s">
        <v>74</v>
      </c>
      <c r="I110" t="s">
        <v>2405</v>
      </c>
      <c r="J110" t="s">
        <v>2406</v>
      </c>
      <c r="K110" t="s">
        <v>74</v>
      </c>
      <c r="L110" t="s">
        <v>74</v>
      </c>
      <c r="M110" t="s">
        <v>78</v>
      </c>
      <c r="N110" t="s">
        <v>79</v>
      </c>
      <c r="O110" t="s">
        <v>74</v>
      </c>
      <c r="P110" t="s">
        <v>74</v>
      </c>
      <c r="Q110" t="s">
        <v>74</v>
      </c>
      <c r="R110" t="s">
        <v>74</v>
      </c>
      <c r="S110" t="s">
        <v>74</v>
      </c>
      <c r="T110" t="s">
        <v>2407</v>
      </c>
      <c r="U110" t="s">
        <v>2408</v>
      </c>
      <c r="V110" t="s">
        <v>2409</v>
      </c>
      <c r="W110" t="s">
        <v>2410</v>
      </c>
      <c r="X110" t="s">
        <v>2411</v>
      </c>
      <c r="Y110" t="s">
        <v>2412</v>
      </c>
      <c r="Z110" t="s">
        <v>444</v>
      </c>
      <c r="AA110" t="s">
        <v>2413</v>
      </c>
      <c r="AB110" t="s">
        <v>2414</v>
      </c>
      <c r="AC110" t="s">
        <v>74</v>
      </c>
      <c r="AD110" t="s">
        <v>74</v>
      </c>
      <c r="AE110" t="s">
        <v>74</v>
      </c>
      <c r="AF110" t="s">
        <v>74</v>
      </c>
      <c r="AG110">
        <v>65</v>
      </c>
      <c r="AH110">
        <v>15</v>
      </c>
      <c r="AI110">
        <v>17</v>
      </c>
      <c r="AJ110">
        <v>0</v>
      </c>
      <c r="AK110">
        <v>9</v>
      </c>
      <c r="AL110" t="s">
        <v>447</v>
      </c>
      <c r="AM110" t="s">
        <v>448</v>
      </c>
      <c r="AN110" t="s">
        <v>449</v>
      </c>
      <c r="AO110" t="s">
        <v>2415</v>
      </c>
      <c r="AP110" t="s">
        <v>2416</v>
      </c>
      <c r="AQ110" t="s">
        <v>74</v>
      </c>
      <c r="AR110" t="s">
        <v>2417</v>
      </c>
      <c r="AS110" t="s">
        <v>2418</v>
      </c>
      <c r="AT110" t="s">
        <v>1309</v>
      </c>
      <c r="AU110">
        <v>2015</v>
      </c>
      <c r="AV110">
        <v>20</v>
      </c>
      <c r="AW110">
        <v>2</v>
      </c>
      <c r="AX110" t="s">
        <v>74</v>
      </c>
      <c r="AY110" t="s">
        <v>74</v>
      </c>
      <c r="AZ110" t="s">
        <v>74</v>
      </c>
      <c r="BA110" t="s">
        <v>74</v>
      </c>
      <c r="BB110">
        <v>120</v>
      </c>
      <c r="BC110">
        <v>157</v>
      </c>
      <c r="BD110" t="s">
        <v>74</v>
      </c>
      <c r="BE110" t="s">
        <v>2419</v>
      </c>
      <c r="BF110" t="str">
        <f>HYPERLINK("http://dx.doi.org/10.1179/1749631414Y.0000000040","http://dx.doi.org/10.1179/1749631414Y.0000000040")</f>
        <v>http://dx.doi.org/10.1179/1749631414Y.0000000040</v>
      </c>
      <c r="BG110" t="s">
        <v>74</v>
      </c>
      <c r="BH110" t="s">
        <v>74</v>
      </c>
      <c r="BI110">
        <v>38</v>
      </c>
      <c r="BJ110" t="s">
        <v>2420</v>
      </c>
      <c r="BK110" t="s">
        <v>457</v>
      </c>
      <c r="BL110" t="s">
        <v>2421</v>
      </c>
      <c r="BM110" t="s">
        <v>2422</v>
      </c>
      <c r="BN110" t="s">
        <v>74</v>
      </c>
      <c r="BO110" t="s">
        <v>74</v>
      </c>
      <c r="BP110" t="s">
        <v>74</v>
      </c>
      <c r="BQ110" t="s">
        <v>74</v>
      </c>
      <c r="BR110" t="s">
        <v>104</v>
      </c>
      <c r="BS110" t="s">
        <v>2423</v>
      </c>
      <c r="BT110" t="str">
        <f>HYPERLINK("https%3A%2F%2Fwww.webofscience.com%2Fwos%2Fwoscc%2Ffull-record%2FWOS:000353590200002","View Full Record in Web of Science")</f>
        <v>View Full Record in Web of Science</v>
      </c>
    </row>
    <row r="111" spans="1:72" x14ac:dyDescent="0.15">
      <c r="A111" t="s">
        <v>72</v>
      </c>
      <c r="B111" t="s">
        <v>2424</v>
      </c>
      <c r="C111" t="s">
        <v>74</v>
      </c>
      <c r="D111" t="s">
        <v>74</v>
      </c>
      <c r="E111" t="s">
        <v>74</v>
      </c>
      <c r="F111" t="s">
        <v>2425</v>
      </c>
      <c r="G111" t="s">
        <v>74</v>
      </c>
      <c r="H111" t="s">
        <v>74</v>
      </c>
      <c r="I111" t="s">
        <v>2426</v>
      </c>
      <c r="J111" t="s">
        <v>2427</v>
      </c>
      <c r="K111" t="s">
        <v>74</v>
      </c>
      <c r="L111" t="s">
        <v>74</v>
      </c>
      <c r="M111" t="s">
        <v>78</v>
      </c>
      <c r="N111" t="s">
        <v>79</v>
      </c>
      <c r="O111" t="s">
        <v>74</v>
      </c>
      <c r="P111" t="s">
        <v>74</v>
      </c>
      <c r="Q111" t="s">
        <v>74</v>
      </c>
      <c r="R111" t="s">
        <v>74</v>
      </c>
      <c r="S111" t="s">
        <v>74</v>
      </c>
      <c r="T111" t="s">
        <v>2428</v>
      </c>
      <c r="U111" t="s">
        <v>2429</v>
      </c>
      <c r="V111" t="s">
        <v>2430</v>
      </c>
      <c r="W111" t="s">
        <v>2431</v>
      </c>
      <c r="X111" t="s">
        <v>2432</v>
      </c>
      <c r="Y111" t="s">
        <v>2433</v>
      </c>
      <c r="Z111" t="s">
        <v>2434</v>
      </c>
      <c r="AA111" t="s">
        <v>2435</v>
      </c>
      <c r="AB111" t="s">
        <v>2436</v>
      </c>
      <c r="AC111" t="s">
        <v>2437</v>
      </c>
      <c r="AD111" t="s">
        <v>2438</v>
      </c>
      <c r="AE111" t="s">
        <v>2439</v>
      </c>
      <c r="AF111" t="s">
        <v>74</v>
      </c>
      <c r="AG111">
        <v>31</v>
      </c>
      <c r="AH111">
        <v>5</v>
      </c>
      <c r="AI111">
        <v>6</v>
      </c>
      <c r="AJ111">
        <v>1</v>
      </c>
      <c r="AK111">
        <v>11</v>
      </c>
      <c r="AL111" t="s">
        <v>2440</v>
      </c>
      <c r="AM111" t="s">
        <v>121</v>
      </c>
      <c r="AN111" t="s">
        <v>2441</v>
      </c>
      <c r="AO111" t="s">
        <v>2442</v>
      </c>
      <c r="AP111" t="s">
        <v>2443</v>
      </c>
      <c r="AQ111" t="s">
        <v>74</v>
      </c>
      <c r="AR111" t="s">
        <v>2444</v>
      </c>
      <c r="AS111" t="s">
        <v>2445</v>
      </c>
      <c r="AT111" t="s">
        <v>1309</v>
      </c>
      <c r="AU111">
        <v>2015</v>
      </c>
      <c r="AV111">
        <v>53</v>
      </c>
      <c r="AW111">
        <v>5</v>
      </c>
      <c r="AX111" t="s">
        <v>74</v>
      </c>
      <c r="AY111" t="s">
        <v>74</v>
      </c>
      <c r="AZ111" t="s">
        <v>74</v>
      </c>
      <c r="BA111" t="s">
        <v>74</v>
      </c>
      <c r="BB111">
        <v>430</v>
      </c>
      <c r="BC111">
        <v>440</v>
      </c>
      <c r="BD111" t="s">
        <v>74</v>
      </c>
      <c r="BE111" t="s">
        <v>2446</v>
      </c>
      <c r="BF111" t="str">
        <f>HYPERLINK("http://dx.doi.org/10.1134/S0016702915030106","http://dx.doi.org/10.1134/S0016702915030106")</f>
        <v>http://dx.doi.org/10.1134/S0016702915030106</v>
      </c>
      <c r="BG111" t="s">
        <v>74</v>
      </c>
      <c r="BH111" t="s">
        <v>74</v>
      </c>
      <c r="BI111">
        <v>11</v>
      </c>
      <c r="BJ111" t="s">
        <v>863</v>
      </c>
      <c r="BK111" t="s">
        <v>100</v>
      </c>
      <c r="BL111" t="s">
        <v>863</v>
      </c>
      <c r="BM111" t="s">
        <v>2447</v>
      </c>
      <c r="BN111" t="s">
        <v>74</v>
      </c>
      <c r="BO111" t="s">
        <v>74</v>
      </c>
      <c r="BP111" t="s">
        <v>74</v>
      </c>
      <c r="BQ111" t="s">
        <v>74</v>
      </c>
      <c r="BR111" t="s">
        <v>104</v>
      </c>
      <c r="BS111" t="s">
        <v>2448</v>
      </c>
      <c r="BT111" t="str">
        <f>HYPERLINK("https%3A%2F%2Fwww.webofscience.com%2Fwos%2Fwoscc%2Ffull-record%2FWOS:000354028800003","View Full Record in Web of Science")</f>
        <v>View Full Record in Web of Science</v>
      </c>
    </row>
    <row r="112" spans="1:72" x14ac:dyDescent="0.15">
      <c r="A112" t="s">
        <v>72</v>
      </c>
      <c r="B112" t="s">
        <v>2449</v>
      </c>
      <c r="C112" t="s">
        <v>74</v>
      </c>
      <c r="D112" t="s">
        <v>74</v>
      </c>
      <c r="E112" t="s">
        <v>74</v>
      </c>
      <c r="F112" t="s">
        <v>2450</v>
      </c>
      <c r="G112" t="s">
        <v>74</v>
      </c>
      <c r="H112" t="s">
        <v>74</v>
      </c>
      <c r="I112" t="s">
        <v>2451</v>
      </c>
      <c r="J112" t="s">
        <v>2452</v>
      </c>
      <c r="K112" t="s">
        <v>74</v>
      </c>
      <c r="L112" t="s">
        <v>74</v>
      </c>
      <c r="M112" t="s">
        <v>78</v>
      </c>
      <c r="N112" t="s">
        <v>79</v>
      </c>
      <c r="O112" t="s">
        <v>74</v>
      </c>
      <c r="P112" t="s">
        <v>74</v>
      </c>
      <c r="Q112" t="s">
        <v>74</v>
      </c>
      <c r="R112" t="s">
        <v>74</v>
      </c>
      <c r="S112" t="s">
        <v>74</v>
      </c>
      <c r="T112" t="s">
        <v>2453</v>
      </c>
      <c r="U112" t="s">
        <v>2454</v>
      </c>
      <c r="V112" t="s">
        <v>2455</v>
      </c>
      <c r="W112" t="s">
        <v>2456</v>
      </c>
      <c r="X112" t="s">
        <v>2457</v>
      </c>
      <c r="Y112" t="s">
        <v>2458</v>
      </c>
      <c r="Z112" t="s">
        <v>2459</v>
      </c>
      <c r="AA112" t="s">
        <v>2460</v>
      </c>
      <c r="AB112" t="s">
        <v>2461</v>
      </c>
      <c r="AC112" t="s">
        <v>74</v>
      </c>
      <c r="AD112" t="s">
        <v>74</v>
      </c>
      <c r="AE112" t="s">
        <v>74</v>
      </c>
      <c r="AF112" t="s">
        <v>74</v>
      </c>
      <c r="AG112">
        <v>60</v>
      </c>
      <c r="AH112">
        <v>13</v>
      </c>
      <c r="AI112">
        <v>13</v>
      </c>
      <c r="AJ112">
        <v>0</v>
      </c>
      <c r="AK112">
        <v>28</v>
      </c>
      <c r="AL112" t="s">
        <v>1039</v>
      </c>
      <c r="AM112" t="s">
        <v>816</v>
      </c>
      <c r="AN112" t="s">
        <v>1040</v>
      </c>
      <c r="AO112" t="s">
        <v>2462</v>
      </c>
      <c r="AP112" t="s">
        <v>2463</v>
      </c>
      <c r="AQ112" t="s">
        <v>74</v>
      </c>
      <c r="AR112" t="s">
        <v>2464</v>
      </c>
      <c r="AS112" t="s">
        <v>2465</v>
      </c>
      <c r="AT112" t="s">
        <v>1309</v>
      </c>
      <c r="AU112">
        <v>2015</v>
      </c>
      <c r="AV112">
        <v>128</v>
      </c>
      <c r="AW112" t="s">
        <v>74</v>
      </c>
      <c r="AX112" t="s">
        <v>74</v>
      </c>
      <c r="AY112" t="s">
        <v>74</v>
      </c>
      <c r="AZ112" t="s">
        <v>74</v>
      </c>
      <c r="BA112" t="s">
        <v>74</v>
      </c>
      <c r="BB112">
        <v>72</v>
      </c>
      <c r="BC112">
        <v>82</v>
      </c>
      <c r="BD112" t="s">
        <v>74</v>
      </c>
      <c r="BE112" t="s">
        <v>2466</v>
      </c>
      <c r="BF112" t="str">
        <f>HYPERLINK("http://dx.doi.org/10.1016/j.gloplacha.2015.02.011","http://dx.doi.org/10.1016/j.gloplacha.2015.02.011")</f>
        <v>http://dx.doi.org/10.1016/j.gloplacha.2015.02.011</v>
      </c>
      <c r="BG112" t="s">
        <v>74</v>
      </c>
      <c r="BH112" t="s">
        <v>74</v>
      </c>
      <c r="BI112">
        <v>11</v>
      </c>
      <c r="BJ112" t="s">
        <v>795</v>
      </c>
      <c r="BK112" t="s">
        <v>100</v>
      </c>
      <c r="BL112" t="s">
        <v>796</v>
      </c>
      <c r="BM112" t="s">
        <v>2467</v>
      </c>
      <c r="BN112" t="s">
        <v>74</v>
      </c>
      <c r="BO112" t="s">
        <v>248</v>
      </c>
      <c r="BP112" t="s">
        <v>74</v>
      </c>
      <c r="BQ112" t="s">
        <v>74</v>
      </c>
      <c r="BR112" t="s">
        <v>104</v>
      </c>
      <c r="BS112" t="s">
        <v>2468</v>
      </c>
      <c r="BT112" t="str">
        <f>HYPERLINK("https%3A%2F%2Fwww.webofscience.com%2Fwos%2Fwoscc%2Ffull-record%2FWOS:000353852700007","View Full Record in Web of Science")</f>
        <v>View Full Record in Web of Science</v>
      </c>
    </row>
    <row r="113" spans="1:72" x14ac:dyDescent="0.15">
      <c r="A113" t="s">
        <v>72</v>
      </c>
      <c r="B113" t="s">
        <v>2469</v>
      </c>
      <c r="C113" t="s">
        <v>74</v>
      </c>
      <c r="D113" t="s">
        <v>74</v>
      </c>
      <c r="E113" t="s">
        <v>74</v>
      </c>
      <c r="F113" t="s">
        <v>2470</v>
      </c>
      <c r="G113" t="s">
        <v>74</v>
      </c>
      <c r="H113" t="s">
        <v>74</v>
      </c>
      <c r="I113" t="s">
        <v>2471</v>
      </c>
      <c r="J113" t="s">
        <v>2180</v>
      </c>
      <c r="K113" t="s">
        <v>74</v>
      </c>
      <c r="L113" t="s">
        <v>74</v>
      </c>
      <c r="M113" t="s">
        <v>78</v>
      </c>
      <c r="N113" t="s">
        <v>2472</v>
      </c>
      <c r="O113" t="s">
        <v>74</v>
      </c>
      <c r="P113" t="s">
        <v>74</v>
      </c>
      <c r="Q113" t="s">
        <v>74</v>
      </c>
      <c r="R113" t="s">
        <v>74</v>
      </c>
      <c r="S113" t="s">
        <v>74</v>
      </c>
      <c r="T113" t="s">
        <v>74</v>
      </c>
      <c r="U113" t="s">
        <v>74</v>
      </c>
      <c r="V113" t="s">
        <v>74</v>
      </c>
      <c r="W113" t="s">
        <v>2473</v>
      </c>
      <c r="X113" t="s">
        <v>2474</v>
      </c>
      <c r="Y113" t="s">
        <v>2475</v>
      </c>
      <c r="Z113" t="s">
        <v>2476</v>
      </c>
      <c r="AA113" t="s">
        <v>2477</v>
      </c>
      <c r="AB113" t="s">
        <v>2478</v>
      </c>
      <c r="AC113" t="s">
        <v>74</v>
      </c>
      <c r="AD113" t="s">
        <v>74</v>
      </c>
      <c r="AE113" t="s">
        <v>74</v>
      </c>
      <c r="AF113" t="s">
        <v>74</v>
      </c>
      <c r="AG113">
        <v>1</v>
      </c>
      <c r="AH113">
        <v>0</v>
      </c>
      <c r="AI113">
        <v>0</v>
      </c>
      <c r="AJ113">
        <v>0</v>
      </c>
      <c r="AK113">
        <v>5</v>
      </c>
      <c r="AL113" t="s">
        <v>2192</v>
      </c>
      <c r="AM113" t="s">
        <v>2193</v>
      </c>
      <c r="AN113" t="s">
        <v>2194</v>
      </c>
      <c r="AO113" t="s">
        <v>2195</v>
      </c>
      <c r="AP113" t="s">
        <v>2196</v>
      </c>
      <c r="AQ113" t="s">
        <v>74</v>
      </c>
      <c r="AR113" t="s">
        <v>2197</v>
      </c>
      <c r="AS113" t="s">
        <v>2198</v>
      </c>
      <c r="AT113" t="s">
        <v>2079</v>
      </c>
      <c r="AU113">
        <v>2015</v>
      </c>
      <c r="AV113">
        <v>28</v>
      </c>
      <c r="AW113">
        <v>9</v>
      </c>
      <c r="AX113" t="s">
        <v>74</v>
      </c>
      <c r="AY113" t="s">
        <v>74</v>
      </c>
      <c r="AZ113" t="s">
        <v>74</v>
      </c>
      <c r="BA113" t="s">
        <v>74</v>
      </c>
      <c r="BB113">
        <v>3902</v>
      </c>
      <c r="BC113">
        <v>3903</v>
      </c>
      <c r="BD113" t="s">
        <v>74</v>
      </c>
      <c r="BE113" t="s">
        <v>2479</v>
      </c>
      <c r="BF113" t="str">
        <f>HYPERLINK("http://dx.doi.org/10.1175/JCLI-D-15-0157.1","http://dx.doi.org/10.1175/JCLI-D-15-0157.1")</f>
        <v>http://dx.doi.org/10.1175/JCLI-D-15-0157.1</v>
      </c>
      <c r="BG113" t="s">
        <v>74</v>
      </c>
      <c r="BH113" t="s">
        <v>74</v>
      </c>
      <c r="BI113">
        <v>2</v>
      </c>
      <c r="BJ113" t="s">
        <v>406</v>
      </c>
      <c r="BK113" t="s">
        <v>100</v>
      </c>
      <c r="BL113" t="s">
        <v>406</v>
      </c>
      <c r="BM113" t="s">
        <v>2480</v>
      </c>
      <c r="BN113" t="s">
        <v>74</v>
      </c>
      <c r="BO113" t="s">
        <v>2481</v>
      </c>
      <c r="BP113" t="s">
        <v>74</v>
      </c>
      <c r="BQ113" t="s">
        <v>74</v>
      </c>
      <c r="BR113" t="s">
        <v>104</v>
      </c>
      <c r="BS113" t="s">
        <v>2482</v>
      </c>
      <c r="BT113" t="str">
        <f>HYPERLINK("https%3A%2F%2Fwww.webofscience.com%2Fwos%2Fwoscc%2Ffull-record%2FWOS:000353838200028","View Full Record in Web of Science")</f>
        <v>View Full Record in Web of Science</v>
      </c>
    </row>
    <row r="114" spans="1:72" x14ac:dyDescent="0.15">
      <c r="A114" t="s">
        <v>72</v>
      </c>
      <c r="B114" t="s">
        <v>2483</v>
      </c>
      <c r="C114" t="s">
        <v>74</v>
      </c>
      <c r="D114" t="s">
        <v>74</v>
      </c>
      <c r="E114" t="s">
        <v>74</v>
      </c>
      <c r="F114" t="s">
        <v>2484</v>
      </c>
      <c r="G114" t="s">
        <v>74</v>
      </c>
      <c r="H114" t="s">
        <v>74</v>
      </c>
      <c r="I114" t="s">
        <v>2485</v>
      </c>
      <c r="J114" t="s">
        <v>2486</v>
      </c>
      <c r="K114" t="s">
        <v>74</v>
      </c>
      <c r="L114" t="s">
        <v>74</v>
      </c>
      <c r="M114" t="s">
        <v>78</v>
      </c>
      <c r="N114" t="s">
        <v>79</v>
      </c>
      <c r="O114" t="s">
        <v>74</v>
      </c>
      <c r="P114" t="s">
        <v>74</v>
      </c>
      <c r="Q114" t="s">
        <v>74</v>
      </c>
      <c r="R114" t="s">
        <v>74</v>
      </c>
      <c r="S114" t="s">
        <v>74</v>
      </c>
      <c r="T114" t="s">
        <v>2487</v>
      </c>
      <c r="U114" t="s">
        <v>2488</v>
      </c>
      <c r="V114" t="s">
        <v>2489</v>
      </c>
      <c r="W114" t="s">
        <v>2490</v>
      </c>
      <c r="X114" t="s">
        <v>2491</v>
      </c>
      <c r="Y114" t="s">
        <v>2492</v>
      </c>
      <c r="Z114" t="s">
        <v>2493</v>
      </c>
      <c r="AA114" t="s">
        <v>2494</v>
      </c>
      <c r="AB114" t="s">
        <v>2495</v>
      </c>
      <c r="AC114" t="s">
        <v>2496</v>
      </c>
      <c r="AD114" t="s">
        <v>2497</v>
      </c>
      <c r="AE114" t="s">
        <v>2498</v>
      </c>
      <c r="AF114" t="s">
        <v>74</v>
      </c>
      <c r="AG114">
        <v>45</v>
      </c>
      <c r="AH114">
        <v>23</v>
      </c>
      <c r="AI114">
        <v>24</v>
      </c>
      <c r="AJ114">
        <v>1</v>
      </c>
      <c r="AK114">
        <v>9</v>
      </c>
      <c r="AL114" t="s">
        <v>91</v>
      </c>
      <c r="AM114" t="s">
        <v>92</v>
      </c>
      <c r="AN114" t="s">
        <v>93</v>
      </c>
      <c r="AO114" t="s">
        <v>2499</v>
      </c>
      <c r="AP114" t="s">
        <v>2500</v>
      </c>
      <c r="AQ114" t="s">
        <v>74</v>
      </c>
      <c r="AR114" t="s">
        <v>2501</v>
      </c>
      <c r="AS114" t="s">
        <v>2502</v>
      </c>
      <c r="AT114" t="s">
        <v>1418</v>
      </c>
      <c r="AU114">
        <v>2015</v>
      </c>
      <c r="AV114">
        <v>62</v>
      </c>
      <c r="AW114">
        <v>3</v>
      </c>
      <c r="AX114" t="s">
        <v>74</v>
      </c>
      <c r="AY114" t="s">
        <v>74</v>
      </c>
      <c r="AZ114" t="s">
        <v>74</v>
      </c>
      <c r="BA114" t="s">
        <v>74</v>
      </c>
      <c r="BB114">
        <v>280</v>
      </c>
      <c r="BC114">
        <v>297</v>
      </c>
      <c r="BD114" t="s">
        <v>74</v>
      </c>
      <c r="BE114" t="s">
        <v>2503</v>
      </c>
      <c r="BF114" t="str">
        <f>HYPERLINK("http://dx.doi.org/10.1111/jeu.12179","http://dx.doi.org/10.1111/jeu.12179")</f>
        <v>http://dx.doi.org/10.1111/jeu.12179</v>
      </c>
      <c r="BG114" t="s">
        <v>74</v>
      </c>
      <c r="BH114" t="s">
        <v>74</v>
      </c>
      <c r="BI114">
        <v>18</v>
      </c>
      <c r="BJ114" t="s">
        <v>483</v>
      </c>
      <c r="BK114" t="s">
        <v>100</v>
      </c>
      <c r="BL114" t="s">
        <v>483</v>
      </c>
      <c r="BM114" t="s">
        <v>2504</v>
      </c>
      <c r="BN114">
        <v>25231725</v>
      </c>
      <c r="BO114" t="s">
        <v>74</v>
      </c>
      <c r="BP114" t="s">
        <v>74</v>
      </c>
      <c r="BQ114" t="s">
        <v>74</v>
      </c>
      <c r="BR114" t="s">
        <v>104</v>
      </c>
      <c r="BS114" t="s">
        <v>2505</v>
      </c>
      <c r="BT114" t="str">
        <f>HYPERLINK("https%3A%2F%2Fwww.webofscience.com%2Fwos%2Fwoscc%2Ffull-record%2FWOS:000353551300002","View Full Record in Web of Science")</f>
        <v>View Full Record in Web of Science</v>
      </c>
    </row>
    <row r="115" spans="1:72" x14ac:dyDescent="0.15">
      <c r="A115" t="s">
        <v>72</v>
      </c>
      <c r="B115" t="s">
        <v>2506</v>
      </c>
      <c r="C115" t="s">
        <v>74</v>
      </c>
      <c r="D115" t="s">
        <v>74</v>
      </c>
      <c r="E115" t="s">
        <v>74</v>
      </c>
      <c r="F115" t="s">
        <v>2507</v>
      </c>
      <c r="G115" t="s">
        <v>74</v>
      </c>
      <c r="H115" t="s">
        <v>74</v>
      </c>
      <c r="I115" t="s">
        <v>2508</v>
      </c>
      <c r="J115" t="s">
        <v>2509</v>
      </c>
      <c r="K115" t="s">
        <v>74</v>
      </c>
      <c r="L115" t="s">
        <v>74</v>
      </c>
      <c r="M115" t="s">
        <v>78</v>
      </c>
      <c r="N115" t="s">
        <v>1291</v>
      </c>
      <c r="O115" t="s">
        <v>74</v>
      </c>
      <c r="P115" t="s">
        <v>74</v>
      </c>
      <c r="Q115" t="s">
        <v>74</v>
      </c>
      <c r="R115" t="s">
        <v>74</v>
      </c>
      <c r="S115" t="s">
        <v>74</v>
      </c>
      <c r="T115" t="s">
        <v>2510</v>
      </c>
      <c r="U115" t="s">
        <v>2511</v>
      </c>
      <c r="V115" t="s">
        <v>2512</v>
      </c>
      <c r="W115" t="s">
        <v>2513</v>
      </c>
      <c r="X115" t="s">
        <v>2514</v>
      </c>
      <c r="Y115" t="s">
        <v>2515</v>
      </c>
      <c r="Z115" t="s">
        <v>2516</v>
      </c>
      <c r="AA115" t="s">
        <v>2517</v>
      </c>
      <c r="AB115" t="s">
        <v>2518</v>
      </c>
      <c r="AC115" t="s">
        <v>74</v>
      </c>
      <c r="AD115" t="s">
        <v>74</v>
      </c>
      <c r="AE115" t="s">
        <v>74</v>
      </c>
      <c r="AF115" t="s">
        <v>74</v>
      </c>
      <c r="AG115">
        <v>212</v>
      </c>
      <c r="AH115">
        <v>138</v>
      </c>
      <c r="AI115">
        <v>148</v>
      </c>
      <c r="AJ115">
        <v>2</v>
      </c>
      <c r="AK115">
        <v>41</v>
      </c>
      <c r="AL115" t="s">
        <v>815</v>
      </c>
      <c r="AM115" t="s">
        <v>816</v>
      </c>
      <c r="AN115" t="s">
        <v>817</v>
      </c>
      <c r="AO115" t="s">
        <v>2519</v>
      </c>
      <c r="AP115" t="s">
        <v>2520</v>
      </c>
      <c r="AQ115" t="s">
        <v>74</v>
      </c>
      <c r="AR115" t="s">
        <v>2521</v>
      </c>
      <c r="AS115" t="s">
        <v>2522</v>
      </c>
      <c r="AT115" t="s">
        <v>2079</v>
      </c>
      <c r="AU115">
        <v>2015</v>
      </c>
      <c r="AV115">
        <v>363</v>
      </c>
      <c r="AW115" t="s">
        <v>74</v>
      </c>
      <c r="AX115" t="s">
        <v>74</v>
      </c>
      <c r="AY115" t="s">
        <v>74</v>
      </c>
      <c r="AZ115" t="s">
        <v>74</v>
      </c>
      <c r="BA115" t="s">
        <v>74</v>
      </c>
      <c r="BB115">
        <v>65</v>
      </c>
      <c r="BC115">
        <v>92</v>
      </c>
      <c r="BD115" t="s">
        <v>74</v>
      </c>
      <c r="BE115" t="s">
        <v>2523</v>
      </c>
      <c r="BF115" t="str">
        <f>HYPERLINK("http://dx.doi.org/10.1016/j.margeo.2015.02.001","http://dx.doi.org/10.1016/j.margeo.2015.02.001")</f>
        <v>http://dx.doi.org/10.1016/j.margeo.2015.02.001</v>
      </c>
      <c r="BG115" t="s">
        <v>74</v>
      </c>
      <c r="BH115" t="s">
        <v>74</v>
      </c>
      <c r="BI115">
        <v>28</v>
      </c>
      <c r="BJ115" t="s">
        <v>128</v>
      </c>
      <c r="BK115" t="s">
        <v>100</v>
      </c>
      <c r="BL115" t="s">
        <v>129</v>
      </c>
      <c r="BM115" t="s">
        <v>2524</v>
      </c>
      <c r="BN115" t="s">
        <v>74</v>
      </c>
      <c r="BO115" t="s">
        <v>248</v>
      </c>
      <c r="BP115" t="s">
        <v>74</v>
      </c>
      <c r="BQ115" t="s">
        <v>74</v>
      </c>
      <c r="BR115" t="s">
        <v>104</v>
      </c>
      <c r="BS115" t="s">
        <v>2525</v>
      </c>
      <c r="BT115" t="str">
        <f>HYPERLINK("https%3A%2F%2Fwww.webofscience.com%2Fwos%2Fwoscc%2Ffull-record%2FWOS:000353735400005","View Full Record in Web of Science")</f>
        <v>View Full Record in Web of Science</v>
      </c>
    </row>
    <row r="116" spans="1:72" x14ac:dyDescent="0.15">
      <c r="A116" t="s">
        <v>72</v>
      </c>
      <c r="B116" t="s">
        <v>2526</v>
      </c>
      <c r="C116" t="s">
        <v>74</v>
      </c>
      <c r="D116" t="s">
        <v>74</v>
      </c>
      <c r="E116" t="s">
        <v>74</v>
      </c>
      <c r="F116" t="s">
        <v>2527</v>
      </c>
      <c r="G116" t="s">
        <v>74</v>
      </c>
      <c r="H116" t="s">
        <v>74</v>
      </c>
      <c r="I116" t="s">
        <v>2528</v>
      </c>
      <c r="J116" t="s">
        <v>2529</v>
      </c>
      <c r="K116" t="s">
        <v>74</v>
      </c>
      <c r="L116" t="s">
        <v>74</v>
      </c>
      <c r="M116" t="s">
        <v>78</v>
      </c>
      <c r="N116" t="s">
        <v>79</v>
      </c>
      <c r="O116" t="s">
        <v>74</v>
      </c>
      <c r="P116" t="s">
        <v>74</v>
      </c>
      <c r="Q116" t="s">
        <v>74</v>
      </c>
      <c r="R116" t="s">
        <v>74</v>
      </c>
      <c r="S116" t="s">
        <v>74</v>
      </c>
      <c r="T116" t="s">
        <v>74</v>
      </c>
      <c r="U116" t="s">
        <v>2530</v>
      </c>
      <c r="V116" t="s">
        <v>2531</v>
      </c>
      <c r="W116" t="s">
        <v>2532</v>
      </c>
      <c r="X116" t="s">
        <v>2533</v>
      </c>
      <c r="Y116" t="s">
        <v>2534</v>
      </c>
      <c r="Z116" t="s">
        <v>2535</v>
      </c>
      <c r="AA116" t="s">
        <v>74</v>
      </c>
      <c r="AB116" t="s">
        <v>74</v>
      </c>
      <c r="AC116" t="s">
        <v>2536</v>
      </c>
      <c r="AD116" t="s">
        <v>2537</v>
      </c>
      <c r="AE116" t="s">
        <v>2538</v>
      </c>
      <c r="AF116" t="s">
        <v>74</v>
      </c>
      <c r="AG116">
        <v>30</v>
      </c>
      <c r="AH116">
        <v>42</v>
      </c>
      <c r="AI116">
        <v>45</v>
      </c>
      <c r="AJ116">
        <v>0</v>
      </c>
      <c r="AK116">
        <v>16</v>
      </c>
      <c r="AL116" t="s">
        <v>2539</v>
      </c>
      <c r="AM116" t="s">
        <v>121</v>
      </c>
      <c r="AN116" t="s">
        <v>2540</v>
      </c>
      <c r="AO116" t="s">
        <v>2541</v>
      </c>
      <c r="AP116" t="s">
        <v>2542</v>
      </c>
      <c r="AQ116" t="s">
        <v>74</v>
      </c>
      <c r="AR116" t="s">
        <v>2543</v>
      </c>
      <c r="AS116" t="s">
        <v>2544</v>
      </c>
      <c r="AT116" t="s">
        <v>1309</v>
      </c>
      <c r="AU116">
        <v>2015</v>
      </c>
      <c r="AV116">
        <v>8</v>
      </c>
      <c r="AW116">
        <v>5</v>
      </c>
      <c r="AX116" t="s">
        <v>74</v>
      </c>
      <c r="AY116" t="s">
        <v>74</v>
      </c>
      <c r="AZ116" t="s">
        <v>74</v>
      </c>
      <c r="BA116" t="s">
        <v>74</v>
      </c>
      <c r="BB116">
        <v>352</v>
      </c>
      <c r="BC116">
        <v>356</v>
      </c>
      <c r="BD116" t="s">
        <v>74</v>
      </c>
      <c r="BE116" t="s">
        <v>2545</v>
      </c>
      <c r="BF116" t="str">
        <f>HYPERLINK("http://dx.doi.org/10.1038/NGEO2397","http://dx.doi.org/10.1038/NGEO2397")</f>
        <v>http://dx.doi.org/10.1038/NGEO2397</v>
      </c>
      <c r="BG116" t="s">
        <v>74</v>
      </c>
      <c r="BH116" t="s">
        <v>74</v>
      </c>
      <c r="BI116">
        <v>5</v>
      </c>
      <c r="BJ116" t="s">
        <v>219</v>
      </c>
      <c r="BK116" t="s">
        <v>100</v>
      </c>
      <c r="BL116" t="s">
        <v>220</v>
      </c>
      <c r="BM116" t="s">
        <v>2546</v>
      </c>
      <c r="BN116" t="s">
        <v>74</v>
      </c>
      <c r="BO116" t="s">
        <v>74</v>
      </c>
      <c r="BP116" t="s">
        <v>74</v>
      </c>
      <c r="BQ116" t="s">
        <v>74</v>
      </c>
      <c r="BR116" t="s">
        <v>104</v>
      </c>
      <c r="BS116" t="s">
        <v>2547</v>
      </c>
      <c r="BT116" t="str">
        <f>HYPERLINK("https%3A%2F%2Fwww.webofscience.com%2Fwos%2Fwoscc%2Ffull-record%2FWOS:000353640100009","View Full Record in Web of Science")</f>
        <v>View Full Record in Web of Science</v>
      </c>
    </row>
    <row r="117" spans="1:72" x14ac:dyDescent="0.15">
      <c r="A117" t="s">
        <v>72</v>
      </c>
      <c r="B117" t="s">
        <v>2548</v>
      </c>
      <c r="C117" t="s">
        <v>74</v>
      </c>
      <c r="D117" t="s">
        <v>74</v>
      </c>
      <c r="E117" t="s">
        <v>74</v>
      </c>
      <c r="F117" t="s">
        <v>2549</v>
      </c>
      <c r="G117" t="s">
        <v>74</v>
      </c>
      <c r="H117" t="s">
        <v>74</v>
      </c>
      <c r="I117" t="s">
        <v>2550</v>
      </c>
      <c r="J117" t="s">
        <v>2551</v>
      </c>
      <c r="K117" t="s">
        <v>74</v>
      </c>
      <c r="L117" t="s">
        <v>74</v>
      </c>
      <c r="M117" t="s">
        <v>78</v>
      </c>
      <c r="N117" t="s">
        <v>79</v>
      </c>
      <c r="O117" t="s">
        <v>74</v>
      </c>
      <c r="P117" t="s">
        <v>74</v>
      </c>
      <c r="Q117" t="s">
        <v>74</v>
      </c>
      <c r="R117" t="s">
        <v>74</v>
      </c>
      <c r="S117" t="s">
        <v>74</v>
      </c>
      <c r="T117" t="s">
        <v>74</v>
      </c>
      <c r="U117" t="s">
        <v>2552</v>
      </c>
      <c r="V117" t="s">
        <v>2553</v>
      </c>
      <c r="W117" t="s">
        <v>2554</v>
      </c>
      <c r="X117" t="s">
        <v>2555</v>
      </c>
      <c r="Y117" t="s">
        <v>2556</v>
      </c>
      <c r="Z117" t="s">
        <v>2557</v>
      </c>
      <c r="AA117" t="s">
        <v>2558</v>
      </c>
      <c r="AB117" t="s">
        <v>2559</v>
      </c>
      <c r="AC117" t="s">
        <v>74</v>
      </c>
      <c r="AD117" t="s">
        <v>74</v>
      </c>
      <c r="AE117" t="s">
        <v>74</v>
      </c>
      <c r="AF117" t="s">
        <v>74</v>
      </c>
      <c r="AG117">
        <v>22</v>
      </c>
      <c r="AH117">
        <v>13</v>
      </c>
      <c r="AI117">
        <v>13</v>
      </c>
      <c r="AJ117">
        <v>1</v>
      </c>
      <c r="AK117">
        <v>22</v>
      </c>
      <c r="AL117" t="s">
        <v>120</v>
      </c>
      <c r="AM117" t="s">
        <v>2560</v>
      </c>
      <c r="AN117" t="s">
        <v>2561</v>
      </c>
      <c r="AO117" t="s">
        <v>2562</v>
      </c>
      <c r="AP117" t="s">
        <v>2563</v>
      </c>
      <c r="AQ117" t="s">
        <v>74</v>
      </c>
      <c r="AR117" t="s">
        <v>2551</v>
      </c>
      <c r="AS117" t="s">
        <v>2564</v>
      </c>
      <c r="AT117" t="s">
        <v>1309</v>
      </c>
      <c r="AU117">
        <v>2015</v>
      </c>
      <c r="AV117">
        <v>130</v>
      </c>
      <c r="AW117">
        <v>2</v>
      </c>
      <c r="AX117" t="s">
        <v>74</v>
      </c>
      <c r="AY117" t="s">
        <v>74</v>
      </c>
      <c r="AZ117" t="s">
        <v>74</v>
      </c>
      <c r="BA117" t="s">
        <v>74</v>
      </c>
      <c r="BB117">
        <v>87</v>
      </c>
      <c r="BC117">
        <v>100</v>
      </c>
      <c r="BD117" t="s">
        <v>74</v>
      </c>
      <c r="BE117" t="s">
        <v>2565</v>
      </c>
      <c r="BF117" t="str">
        <f>HYPERLINK("http://dx.doi.org/10.1007/s10584-015-1346-x","http://dx.doi.org/10.1007/s10584-015-1346-x")</f>
        <v>http://dx.doi.org/10.1007/s10584-015-1346-x</v>
      </c>
      <c r="BG117" t="s">
        <v>74</v>
      </c>
      <c r="BH117" t="s">
        <v>74</v>
      </c>
      <c r="BI117">
        <v>14</v>
      </c>
      <c r="BJ117" t="s">
        <v>1741</v>
      </c>
      <c r="BK117" t="s">
        <v>100</v>
      </c>
      <c r="BL117" t="s">
        <v>1742</v>
      </c>
      <c r="BM117" t="s">
        <v>2566</v>
      </c>
      <c r="BN117" t="s">
        <v>74</v>
      </c>
      <c r="BO117" t="s">
        <v>248</v>
      </c>
      <c r="BP117" t="s">
        <v>74</v>
      </c>
      <c r="BQ117" t="s">
        <v>74</v>
      </c>
      <c r="BR117" t="s">
        <v>104</v>
      </c>
      <c r="BS117" t="s">
        <v>2567</v>
      </c>
      <c r="BT117" t="str">
        <f>HYPERLINK("https%3A%2F%2Fwww.webofscience.com%2Fwos%2Fwoscc%2Ffull-record%2FWOS:000353465100003","View Full Record in Web of Science")</f>
        <v>View Full Record in Web of Science</v>
      </c>
    </row>
    <row r="118" spans="1:72" x14ac:dyDescent="0.15">
      <c r="A118" t="s">
        <v>72</v>
      </c>
      <c r="B118" t="s">
        <v>2568</v>
      </c>
      <c r="C118" t="s">
        <v>74</v>
      </c>
      <c r="D118" t="s">
        <v>74</v>
      </c>
      <c r="E118" t="s">
        <v>74</v>
      </c>
      <c r="F118" t="s">
        <v>2569</v>
      </c>
      <c r="G118" t="s">
        <v>74</v>
      </c>
      <c r="H118" t="s">
        <v>74</v>
      </c>
      <c r="I118" t="s">
        <v>2570</v>
      </c>
      <c r="J118" t="s">
        <v>2571</v>
      </c>
      <c r="K118" t="s">
        <v>74</v>
      </c>
      <c r="L118" t="s">
        <v>74</v>
      </c>
      <c r="M118" t="s">
        <v>78</v>
      </c>
      <c r="N118" t="s">
        <v>79</v>
      </c>
      <c r="O118" t="s">
        <v>74</v>
      </c>
      <c r="P118" t="s">
        <v>74</v>
      </c>
      <c r="Q118" t="s">
        <v>74</v>
      </c>
      <c r="R118" t="s">
        <v>74</v>
      </c>
      <c r="S118" t="s">
        <v>74</v>
      </c>
      <c r="T118" t="s">
        <v>2572</v>
      </c>
      <c r="U118" t="s">
        <v>2573</v>
      </c>
      <c r="V118" t="s">
        <v>2574</v>
      </c>
      <c r="W118" t="s">
        <v>2575</v>
      </c>
      <c r="X118" t="s">
        <v>2576</v>
      </c>
      <c r="Y118" t="s">
        <v>2577</v>
      </c>
      <c r="Z118" t="s">
        <v>2578</v>
      </c>
      <c r="AA118" t="s">
        <v>74</v>
      </c>
      <c r="AB118" t="s">
        <v>2579</v>
      </c>
      <c r="AC118" t="s">
        <v>2580</v>
      </c>
      <c r="AD118" t="s">
        <v>2581</v>
      </c>
      <c r="AE118" t="s">
        <v>2582</v>
      </c>
      <c r="AF118" t="s">
        <v>74</v>
      </c>
      <c r="AG118">
        <v>38</v>
      </c>
      <c r="AH118">
        <v>24</v>
      </c>
      <c r="AI118">
        <v>25</v>
      </c>
      <c r="AJ118">
        <v>0</v>
      </c>
      <c r="AK118">
        <v>31</v>
      </c>
      <c r="AL118" t="s">
        <v>786</v>
      </c>
      <c r="AM118" t="s">
        <v>787</v>
      </c>
      <c r="AN118" t="s">
        <v>788</v>
      </c>
      <c r="AO118" t="s">
        <v>2583</v>
      </c>
      <c r="AP118" t="s">
        <v>2584</v>
      </c>
      <c r="AQ118" t="s">
        <v>74</v>
      </c>
      <c r="AR118" t="s">
        <v>2585</v>
      </c>
      <c r="AS118" t="s">
        <v>2586</v>
      </c>
      <c r="AT118" t="s">
        <v>1309</v>
      </c>
      <c r="AU118">
        <v>2015</v>
      </c>
      <c r="AV118">
        <v>99</v>
      </c>
      <c r="AW118" t="s">
        <v>74</v>
      </c>
      <c r="AX118" t="s">
        <v>74</v>
      </c>
      <c r="AY118" t="s">
        <v>74</v>
      </c>
      <c r="AZ118" t="s">
        <v>74</v>
      </c>
      <c r="BA118" t="s">
        <v>74</v>
      </c>
      <c r="BB118">
        <v>1</v>
      </c>
      <c r="BC118">
        <v>9</v>
      </c>
      <c r="BD118" t="s">
        <v>74</v>
      </c>
      <c r="BE118" t="s">
        <v>2587</v>
      </c>
      <c r="BF118" t="str">
        <f>HYPERLINK("http://dx.doi.org/10.1016/j.dsr.2015.01.004","http://dx.doi.org/10.1016/j.dsr.2015.01.004")</f>
        <v>http://dx.doi.org/10.1016/j.dsr.2015.01.004</v>
      </c>
      <c r="BG118" t="s">
        <v>74</v>
      </c>
      <c r="BH118" t="s">
        <v>74</v>
      </c>
      <c r="BI118">
        <v>9</v>
      </c>
      <c r="BJ118" t="s">
        <v>1540</v>
      </c>
      <c r="BK118" t="s">
        <v>100</v>
      </c>
      <c r="BL118" t="s">
        <v>1540</v>
      </c>
      <c r="BM118" t="s">
        <v>2588</v>
      </c>
      <c r="BN118" t="s">
        <v>74</v>
      </c>
      <c r="BO118" t="s">
        <v>559</v>
      </c>
      <c r="BP118" t="s">
        <v>74</v>
      </c>
      <c r="BQ118" t="s">
        <v>74</v>
      </c>
      <c r="BR118" t="s">
        <v>104</v>
      </c>
      <c r="BS118" t="s">
        <v>2589</v>
      </c>
      <c r="BT118" t="str">
        <f>HYPERLINK("https%3A%2F%2Fwww.webofscience.com%2Fwos%2Fwoscc%2Ffull-record%2FWOS:000353008500001","View Full Record in Web of Science")</f>
        <v>View Full Record in Web of Science</v>
      </c>
    </row>
    <row r="119" spans="1:72" x14ac:dyDescent="0.15">
      <c r="A119" t="s">
        <v>72</v>
      </c>
      <c r="B119" t="s">
        <v>2590</v>
      </c>
      <c r="C119" t="s">
        <v>74</v>
      </c>
      <c r="D119" t="s">
        <v>74</v>
      </c>
      <c r="E119" t="s">
        <v>74</v>
      </c>
      <c r="F119" t="s">
        <v>2591</v>
      </c>
      <c r="G119" t="s">
        <v>74</v>
      </c>
      <c r="H119" t="s">
        <v>74</v>
      </c>
      <c r="I119" t="s">
        <v>2592</v>
      </c>
      <c r="J119" t="s">
        <v>2065</v>
      </c>
      <c r="K119" t="s">
        <v>74</v>
      </c>
      <c r="L119" t="s">
        <v>74</v>
      </c>
      <c r="M119" t="s">
        <v>78</v>
      </c>
      <c r="N119" t="s">
        <v>79</v>
      </c>
      <c r="O119" t="s">
        <v>74</v>
      </c>
      <c r="P119" t="s">
        <v>74</v>
      </c>
      <c r="Q119" t="s">
        <v>74</v>
      </c>
      <c r="R119" t="s">
        <v>74</v>
      </c>
      <c r="S119" t="s">
        <v>74</v>
      </c>
      <c r="T119" t="s">
        <v>2593</v>
      </c>
      <c r="U119" t="s">
        <v>2594</v>
      </c>
      <c r="V119" t="s">
        <v>2595</v>
      </c>
      <c r="W119" t="s">
        <v>2596</v>
      </c>
      <c r="X119" t="s">
        <v>2597</v>
      </c>
      <c r="Y119" t="s">
        <v>2598</v>
      </c>
      <c r="Z119" t="s">
        <v>2599</v>
      </c>
      <c r="AA119" t="s">
        <v>74</v>
      </c>
      <c r="AB119" t="s">
        <v>74</v>
      </c>
      <c r="AC119" t="s">
        <v>2600</v>
      </c>
      <c r="AD119" t="s">
        <v>2165</v>
      </c>
      <c r="AE119" t="s">
        <v>2601</v>
      </c>
      <c r="AF119" t="s">
        <v>74</v>
      </c>
      <c r="AG119">
        <v>35</v>
      </c>
      <c r="AH119">
        <v>1</v>
      </c>
      <c r="AI119">
        <v>1</v>
      </c>
      <c r="AJ119">
        <v>1</v>
      </c>
      <c r="AK119">
        <v>8</v>
      </c>
      <c r="AL119" t="s">
        <v>1621</v>
      </c>
      <c r="AM119" t="s">
        <v>787</v>
      </c>
      <c r="AN119" t="s">
        <v>1622</v>
      </c>
      <c r="AO119" t="s">
        <v>2075</v>
      </c>
      <c r="AP119" t="s">
        <v>2076</v>
      </c>
      <c r="AQ119" t="s">
        <v>74</v>
      </c>
      <c r="AR119" t="s">
        <v>2077</v>
      </c>
      <c r="AS119" t="s">
        <v>2078</v>
      </c>
      <c r="AT119" t="s">
        <v>2079</v>
      </c>
      <c r="AU119">
        <v>2015</v>
      </c>
      <c r="AV119">
        <v>449</v>
      </c>
      <c r="AW119">
        <v>1</v>
      </c>
      <c r="AX119" t="s">
        <v>74</v>
      </c>
      <c r="AY119" t="s">
        <v>74</v>
      </c>
      <c r="AZ119" t="s">
        <v>74</v>
      </c>
      <c r="BA119" t="s">
        <v>74</v>
      </c>
      <c r="BB119" t="s">
        <v>2602</v>
      </c>
      <c r="BC119" t="s">
        <v>2603</v>
      </c>
      <c r="BD119" t="s">
        <v>74</v>
      </c>
      <c r="BE119" t="s">
        <v>2604</v>
      </c>
      <c r="BF119" t="str">
        <f>HYPERLINK("http://dx.doi.org/10.1093/mnrasl/slv014","http://dx.doi.org/10.1093/mnrasl/slv014")</f>
        <v>http://dx.doi.org/10.1093/mnrasl/slv014</v>
      </c>
      <c r="BG119" t="s">
        <v>74</v>
      </c>
      <c r="BH119" t="s">
        <v>74</v>
      </c>
      <c r="BI119">
        <v>5</v>
      </c>
      <c r="BJ119" t="s">
        <v>246</v>
      </c>
      <c r="BK119" t="s">
        <v>100</v>
      </c>
      <c r="BL119" t="s">
        <v>246</v>
      </c>
      <c r="BM119" t="s">
        <v>2605</v>
      </c>
      <c r="BN119" t="s">
        <v>74</v>
      </c>
      <c r="BO119" t="s">
        <v>2201</v>
      </c>
      <c r="BP119" t="s">
        <v>74</v>
      </c>
      <c r="BQ119" t="s">
        <v>74</v>
      </c>
      <c r="BR119" t="s">
        <v>104</v>
      </c>
      <c r="BS119" t="s">
        <v>2606</v>
      </c>
      <c r="BT119" t="str">
        <f>HYPERLINK("https%3A%2F%2Fwww.webofscience.com%2Fwos%2Fwoscc%2Ffull-record%2FWOS:000353555000007","View Full Record in Web of Science")</f>
        <v>View Full Record in Web of Science</v>
      </c>
    </row>
    <row r="120" spans="1:72" x14ac:dyDescent="0.15">
      <c r="A120" t="s">
        <v>72</v>
      </c>
      <c r="B120" t="s">
        <v>2607</v>
      </c>
      <c r="C120" t="s">
        <v>74</v>
      </c>
      <c r="D120" t="s">
        <v>74</v>
      </c>
      <c r="E120" t="s">
        <v>74</v>
      </c>
      <c r="F120" t="s">
        <v>2608</v>
      </c>
      <c r="G120" t="s">
        <v>74</v>
      </c>
      <c r="H120" t="s">
        <v>74</v>
      </c>
      <c r="I120" t="s">
        <v>2609</v>
      </c>
      <c r="J120" t="s">
        <v>2610</v>
      </c>
      <c r="K120" t="s">
        <v>74</v>
      </c>
      <c r="L120" t="s">
        <v>74</v>
      </c>
      <c r="M120" t="s">
        <v>78</v>
      </c>
      <c r="N120" t="s">
        <v>2611</v>
      </c>
      <c r="O120" t="s">
        <v>74</v>
      </c>
      <c r="P120" t="s">
        <v>74</v>
      </c>
      <c r="Q120" t="s">
        <v>74</v>
      </c>
      <c r="R120" t="s">
        <v>74</v>
      </c>
      <c r="S120" t="s">
        <v>74</v>
      </c>
      <c r="T120" t="s">
        <v>74</v>
      </c>
      <c r="U120" t="s">
        <v>74</v>
      </c>
      <c r="V120" t="s">
        <v>74</v>
      </c>
      <c r="W120" t="s">
        <v>2612</v>
      </c>
      <c r="X120" t="s">
        <v>2613</v>
      </c>
      <c r="Y120" t="s">
        <v>2614</v>
      </c>
      <c r="Z120" t="s">
        <v>2615</v>
      </c>
      <c r="AA120" t="s">
        <v>74</v>
      </c>
      <c r="AB120" t="s">
        <v>2616</v>
      </c>
      <c r="AC120" t="s">
        <v>74</v>
      </c>
      <c r="AD120" t="s">
        <v>74</v>
      </c>
      <c r="AE120" t="s">
        <v>74</v>
      </c>
      <c r="AF120" t="s">
        <v>74</v>
      </c>
      <c r="AG120">
        <v>15</v>
      </c>
      <c r="AH120">
        <v>2</v>
      </c>
      <c r="AI120">
        <v>2</v>
      </c>
      <c r="AJ120">
        <v>0</v>
      </c>
      <c r="AK120">
        <v>9</v>
      </c>
      <c r="AL120" t="s">
        <v>815</v>
      </c>
      <c r="AM120" t="s">
        <v>816</v>
      </c>
      <c r="AN120" t="s">
        <v>817</v>
      </c>
      <c r="AO120" t="s">
        <v>2617</v>
      </c>
      <c r="AP120" t="s">
        <v>2618</v>
      </c>
      <c r="AQ120" t="s">
        <v>74</v>
      </c>
      <c r="AR120" t="s">
        <v>2619</v>
      </c>
      <c r="AS120" t="s">
        <v>2620</v>
      </c>
      <c r="AT120" t="s">
        <v>1309</v>
      </c>
      <c r="AU120">
        <v>2015</v>
      </c>
      <c r="AV120">
        <v>165</v>
      </c>
      <c r="AW120" t="s">
        <v>74</v>
      </c>
      <c r="AX120" t="s">
        <v>74</v>
      </c>
      <c r="AY120" t="s">
        <v>74</v>
      </c>
      <c r="AZ120" t="s">
        <v>74</v>
      </c>
      <c r="BA120" t="s">
        <v>74</v>
      </c>
      <c r="BB120">
        <v>130</v>
      </c>
      <c r="BC120">
        <v>132</v>
      </c>
      <c r="BD120" t="s">
        <v>74</v>
      </c>
      <c r="BE120" t="s">
        <v>2621</v>
      </c>
      <c r="BF120" t="str">
        <f>HYPERLINK("http://dx.doi.org/10.1016/j.fishres.2014.12.002","http://dx.doi.org/10.1016/j.fishres.2014.12.002")</f>
        <v>http://dx.doi.org/10.1016/j.fishres.2014.12.002</v>
      </c>
      <c r="BG120" t="s">
        <v>74</v>
      </c>
      <c r="BH120" t="s">
        <v>74</v>
      </c>
      <c r="BI120">
        <v>3</v>
      </c>
      <c r="BJ120" t="s">
        <v>2622</v>
      </c>
      <c r="BK120" t="s">
        <v>100</v>
      </c>
      <c r="BL120" t="s">
        <v>2622</v>
      </c>
      <c r="BM120" t="s">
        <v>2623</v>
      </c>
      <c r="BN120" t="s">
        <v>74</v>
      </c>
      <c r="BO120" t="s">
        <v>74</v>
      </c>
      <c r="BP120" t="s">
        <v>74</v>
      </c>
      <c r="BQ120" t="s">
        <v>74</v>
      </c>
      <c r="BR120" t="s">
        <v>104</v>
      </c>
      <c r="BS120" t="s">
        <v>2624</v>
      </c>
      <c r="BT120" t="str">
        <f>HYPERLINK("https%3A%2F%2Fwww.webofscience.com%2Fwos%2Fwoscc%2Ffull-record%2FWOS:000352748800017","View Full Record in Web of Science")</f>
        <v>View Full Record in Web of Science</v>
      </c>
    </row>
    <row r="121" spans="1:72" x14ac:dyDescent="0.15">
      <c r="A121" t="s">
        <v>72</v>
      </c>
      <c r="B121" t="s">
        <v>2625</v>
      </c>
      <c r="C121" t="s">
        <v>74</v>
      </c>
      <c r="D121" t="s">
        <v>74</v>
      </c>
      <c r="E121" t="s">
        <v>74</v>
      </c>
      <c r="F121" t="s">
        <v>2626</v>
      </c>
      <c r="G121" t="s">
        <v>74</v>
      </c>
      <c r="H121" t="s">
        <v>74</v>
      </c>
      <c r="I121" t="s">
        <v>2627</v>
      </c>
      <c r="J121" t="s">
        <v>2628</v>
      </c>
      <c r="K121" t="s">
        <v>74</v>
      </c>
      <c r="L121" t="s">
        <v>74</v>
      </c>
      <c r="M121" t="s">
        <v>78</v>
      </c>
      <c r="N121" t="s">
        <v>79</v>
      </c>
      <c r="O121" t="s">
        <v>74</v>
      </c>
      <c r="P121" t="s">
        <v>74</v>
      </c>
      <c r="Q121" t="s">
        <v>74</v>
      </c>
      <c r="R121" t="s">
        <v>74</v>
      </c>
      <c r="S121" t="s">
        <v>74</v>
      </c>
      <c r="T121" t="s">
        <v>74</v>
      </c>
      <c r="U121" t="s">
        <v>2629</v>
      </c>
      <c r="V121" t="s">
        <v>2630</v>
      </c>
      <c r="W121" t="s">
        <v>2631</v>
      </c>
      <c r="X121" t="s">
        <v>2632</v>
      </c>
      <c r="Y121" t="s">
        <v>2633</v>
      </c>
      <c r="Z121" t="s">
        <v>2634</v>
      </c>
      <c r="AA121" t="s">
        <v>74</v>
      </c>
      <c r="AB121" t="s">
        <v>2635</v>
      </c>
      <c r="AC121" t="s">
        <v>74</v>
      </c>
      <c r="AD121" t="s">
        <v>74</v>
      </c>
      <c r="AE121" t="s">
        <v>74</v>
      </c>
      <c r="AF121" t="s">
        <v>74</v>
      </c>
      <c r="AG121">
        <v>41</v>
      </c>
      <c r="AH121">
        <v>6</v>
      </c>
      <c r="AI121">
        <v>7</v>
      </c>
      <c r="AJ121">
        <v>1</v>
      </c>
      <c r="AK121">
        <v>26</v>
      </c>
      <c r="AL121" t="s">
        <v>120</v>
      </c>
      <c r="AM121" t="s">
        <v>2560</v>
      </c>
      <c r="AN121" t="s">
        <v>2561</v>
      </c>
      <c r="AO121" t="s">
        <v>2636</v>
      </c>
      <c r="AP121" t="s">
        <v>2637</v>
      </c>
      <c r="AQ121" t="s">
        <v>74</v>
      </c>
      <c r="AR121" t="s">
        <v>2638</v>
      </c>
      <c r="AS121" t="s">
        <v>2639</v>
      </c>
      <c r="AT121" t="s">
        <v>1309</v>
      </c>
      <c r="AU121">
        <v>2015</v>
      </c>
      <c r="AV121">
        <v>60</v>
      </c>
      <c r="AW121">
        <v>3</v>
      </c>
      <c r="AX121" t="s">
        <v>74</v>
      </c>
      <c r="AY121" t="s">
        <v>74</v>
      </c>
      <c r="AZ121" t="s">
        <v>74</v>
      </c>
      <c r="BA121" t="s">
        <v>74</v>
      </c>
      <c r="BB121">
        <v>183</v>
      </c>
      <c r="BC121">
        <v>198</v>
      </c>
      <c r="BD121" t="s">
        <v>74</v>
      </c>
      <c r="BE121" t="s">
        <v>2640</v>
      </c>
      <c r="BF121" t="str">
        <f>HYPERLINK("http://dx.doi.org/10.1007/s12223-014-0351-1","http://dx.doi.org/10.1007/s12223-014-0351-1")</f>
        <v>http://dx.doi.org/10.1007/s12223-014-0351-1</v>
      </c>
      <c r="BG121" t="s">
        <v>74</v>
      </c>
      <c r="BH121" t="s">
        <v>74</v>
      </c>
      <c r="BI121">
        <v>16</v>
      </c>
      <c r="BJ121" t="s">
        <v>2641</v>
      </c>
      <c r="BK121" t="s">
        <v>100</v>
      </c>
      <c r="BL121" t="s">
        <v>2641</v>
      </c>
      <c r="BM121" t="s">
        <v>2642</v>
      </c>
      <c r="BN121">
        <v>25344742</v>
      </c>
      <c r="BO121" t="s">
        <v>559</v>
      </c>
      <c r="BP121" t="s">
        <v>74</v>
      </c>
      <c r="BQ121" t="s">
        <v>74</v>
      </c>
      <c r="BR121" t="s">
        <v>104</v>
      </c>
      <c r="BS121" t="s">
        <v>2643</v>
      </c>
      <c r="BT121" t="str">
        <f>HYPERLINK("https%3A%2F%2Fwww.webofscience.com%2Fwos%2Fwoscc%2Ffull-record%2FWOS:000352897000001","View Full Record in Web of Science")</f>
        <v>View Full Record in Web of Science</v>
      </c>
    </row>
    <row r="122" spans="1:72" x14ac:dyDescent="0.15">
      <c r="A122" t="s">
        <v>72</v>
      </c>
      <c r="B122" t="s">
        <v>2644</v>
      </c>
      <c r="C122" t="s">
        <v>74</v>
      </c>
      <c r="D122" t="s">
        <v>74</v>
      </c>
      <c r="E122" t="s">
        <v>74</v>
      </c>
      <c r="F122" t="s">
        <v>2645</v>
      </c>
      <c r="G122" t="s">
        <v>74</v>
      </c>
      <c r="H122" t="s">
        <v>74</v>
      </c>
      <c r="I122" t="s">
        <v>2646</v>
      </c>
      <c r="J122" t="s">
        <v>2647</v>
      </c>
      <c r="K122" t="s">
        <v>74</v>
      </c>
      <c r="L122" t="s">
        <v>74</v>
      </c>
      <c r="M122" t="s">
        <v>78</v>
      </c>
      <c r="N122" t="s">
        <v>79</v>
      </c>
      <c r="O122" t="s">
        <v>74</v>
      </c>
      <c r="P122" t="s">
        <v>74</v>
      </c>
      <c r="Q122" t="s">
        <v>74</v>
      </c>
      <c r="R122" t="s">
        <v>74</v>
      </c>
      <c r="S122" t="s">
        <v>74</v>
      </c>
      <c r="T122" t="s">
        <v>74</v>
      </c>
      <c r="U122" t="s">
        <v>2648</v>
      </c>
      <c r="V122" t="s">
        <v>2649</v>
      </c>
      <c r="W122" t="s">
        <v>2650</v>
      </c>
      <c r="X122" t="s">
        <v>2651</v>
      </c>
      <c r="Y122" t="s">
        <v>2652</v>
      </c>
      <c r="Z122" t="s">
        <v>2653</v>
      </c>
      <c r="AA122" t="s">
        <v>2654</v>
      </c>
      <c r="AB122" t="s">
        <v>2655</v>
      </c>
      <c r="AC122" t="s">
        <v>2656</v>
      </c>
      <c r="AD122" t="s">
        <v>2657</v>
      </c>
      <c r="AE122" t="s">
        <v>2658</v>
      </c>
      <c r="AF122" t="s">
        <v>74</v>
      </c>
      <c r="AG122">
        <v>50</v>
      </c>
      <c r="AH122">
        <v>31</v>
      </c>
      <c r="AI122">
        <v>35</v>
      </c>
      <c r="AJ122">
        <v>2</v>
      </c>
      <c r="AK122">
        <v>49</v>
      </c>
      <c r="AL122" t="s">
        <v>2659</v>
      </c>
      <c r="AM122" t="s">
        <v>2660</v>
      </c>
      <c r="AN122" t="s">
        <v>2661</v>
      </c>
      <c r="AO122" t="s">
        <v>2662</v>
      </c>
      <c r="AP122" t="s">
        <v>2663</v>
      </c>
      <c r="AQ122" t="s">
        <v>74</v>
      </c>
      <c r="AR122" t="s">
        <v>2664</v>
      </c>
      <c r="AS122" t="s">
        <v>2665</v>
      </c>
      <c r="AT122" t="s">
        <v>1309</v>
      </c>
      <c r="AU122">
        <v>2015</v>
      </c>
      <c r="AV122">
        <v>162</v>
      </c>
      <c r="AW122">
        <v>5</v>
      </c>
      <c r="AX122" t="s">
        <v>74</v>
      </c>
      <c r="AY122" t="s">
        <v>74</v>
      </c>
      <c r="AZ122" t="s">
        <v>74</v>
      </c>
      <c r="BA122" t="s">
        <v>74</v>
      </c>
      <c r="BB122">
        <v>1087</v>
      </c>
      <c r="BC122">
        <v>1097</v>
      </c>
      <c r="BD122" t="s">
        <v>74</v>
      </c>
      <c r="BE122" t="s">
        <v>2666</v>
      </c>
      <c r="BF122" t="str">
        <f>HYPERLINK("http://dx.doi.org/10.1007/s00227-015-2651-7","http://dx.doi.org/10.1007/s00227-015-2651-7")</f>
        <v>http://dx.doi.org/10.1007/s00227-015-2651-7</v>
      </c>
      <c r="BG122" t="s">
        <v>74</v>
      </c>
      <c r="BH122" t="s">
        <v>74</v>
      </c>
      <c r="BI122">
        <v>11</v>
      </c>
      <c r="BJ122" t="s">
        <v>2667</v>
      </c>
      <c r="BK122" t="s">
        <v>100</v>
      </c>
      <c r="BL122" t="s">
        <v>2667</v>
      </c>
      <c r="BM122" t="s">
        <v>2668</v>
      </c>
      <c r="BN122" t="s">
        <v>74</v>
      </c>
      <c r="BO122" t="s">
        <v>74</v>
      </c>
      <c r="BP122" t="s">
        <v>74</v>
      </c>
      <c r="BQ122" t="s">
        <v>74</v>
      </c>
      <c r="BR122" t="s">
        <v>104</v>
      </c>
      <c r="BS122" t="s">
        <v>2669</v>
      </c>
      <c r="BT122" t="str">
        <f>HYPERLINK("https%3A%2F%2Fwww.webofscience.com%2Fwos%2Fwoscc%2Ffull-record%2FWOS:000352798800015","View Full Record in Web of Science")</f>
        <v>View Full Record in Web of Science</v>
      </c>
    </row>
    <row r="123" spans="1:72" x14ac:dyDescent="0.15">
      <c r="A123" t="s">
        <v>72</v>
      </c>
      <c r="B123" t="s">
        <v>2670</v>
      </c>
      <c r="C123" t="s">
        <v>74</v>
      </c>
      <c r="D123" t="s">
        <v>74</v>
      </c>
      <c r="E123" t="s">
        <v>74</v>
      </c>
      <c r="F123" t="s">
        <v>2671</v>
      </c>
      <c r="G123" t="s">
        <v>74</v>
      </c>
      <c r="H123" t="s">
        <v>74</v>
      </c>
      <c r="I123" t="s">
        <v>2672</v>
      </c>
      <c r="J123" t="s">
        <v>2673</v>
      </c>
      <c r="K123" t="s">
        <v>74</v>
      </c>
      <c r="L123" t="s">
        <v>74</v>
      </c>
      <c r="M123" t="s">
        <v>78</v>
      </c>
      <c r="N123" t="s">
        <v>79</v>
      </c>
      <c r="O123" t="s">
        <v>74</v>
      </c>
      <c r="P123" t="s">
        <v>74</v>
      </c>
      <c r="Q123" t="s">
        <v>74</v>
      </c>
      <c r="R123" t="s">
        <v>74</v>
      </c>
      <c r="S123" t="s">
        <v>74</v>
      </c>
      <c r="T123" t="s">
        <v>2674</v>
      </c>
      <c r="U123" t="s">
        <v>2675</v>
      </c>
      <c r="V123" t="s">
        <v>2676</v>
      </c>
      <c r="W123" t="s">
        <v>2677</v>
      </c>
      <c r="X123" t="s">
        <v>2678</v>
      </c>
      <c r="Y123" t="s">
        <v>2679</v>
      </c>
      <c r="Z123" t="s">
        <v>2680</v>
      </c>
      <c r="AA123" t="s">
        <v>74</v>
      </c>
      <c r="AB123" t="s">
        <v>2681</v>
      </c>
      <c r="AC123" t="s">
        <v>2682</v>
      </c>
      <c r="AD123" t="s">
        <v>2682</v>
      </c>
      <c r="AE123" t="s">
        <v>2683</v>
      </c>
      <c r="AF123" t="s">
        <v>74</v>
      </c>
      <c r="AG123">
        <v>30</v>
      </c>
      <c r="AH123">
        <v>5</v>
      </c>
      <c r="AI123">
        <v>5</v>
      </c>
      <c r="AJ123">
        <v>0</v>
      </c>
      <c r="AK123">
        <v>20</v>
      </c>
      <c r="AL123" t="s">
        <v>2659</v>
      </c>
      <c r="AM123" t="s">
        <v>2660</v>
      </c>
      <c r="AN123" t="s">
        <v>2661</v>
      </c>
      <c r="AO123" t="s">
        <v>2684</v>
      </c>
      <c r="AP123" t="s">
        <v>2685</v>
      </c>
      <c r="AQ123" t="s">
        <v>74</v>
      </c>
      <c r="AR123" t="s">
        <v>2686</v>
      </c>
      <c r="AS123" t="s">
        <v>2687</v>
      </c>
      <c r="AT123" t="s">
        <v>1309</v>
      </c>
      <c r="AU123">
        <v>2015</v>
      </c>
      <c r="AV123">
        <v>65</v>
      </c>
      <c r="AW123">
        <v>5</v>
      </c>
      <c r="AX123" t="s">
        <v>74</v>
      </c>
      <c r="AY123" t="s">
        <v>74</v>
      </c>
      <c r="AZ123" t="s">
        <v>74</v>
      </c>
      <c r="BA123" t="s">
        <v>74</v>
      </c>
      <c r="BB123">
        <v>751</v>
      </c>
      <c r="BC123">
        <v>760</v>
      </c>
      <c r="BD123" t="s">
        <v>74</v>
      </c>
      <c r="BE123" t="s">
        <v>2688</v>
      </c>
      <c r="BF123" t="str">
        <f>HYPERLINK("http://dx.doi.org/10.1007/s10236-015-0830-1","http://dx.doi.org/10.1007/s10236-015-0830-1")</f>
        <v>http://dx.doi.org/10.1007/s10236-015-0830-1</v>
      </c>
      <c r="BG123" t="s">
        <v>74</v>
      </c>
      <c r="BH123" t="s">
        <v>74</v>
      </c>
      <c r="BI123">
        <v>10</v>
      </c>
      <c r="BJ123" t="s">
        <v>1540</v>
      </c>
      <c r="BK123" t="s">
        <v>100</v>
      </c>
      <c r="BL123" t="s">
        <v>1540</v>
      </c>
      <c r="BM123" t="s">
        <v>2689</v>
      </c>
      <c r="BN123" t="s">
        <v>74</v>
      </c>
      <c r="BO123" t="s">
        <v>74</v>
      </c>
      <c r="BP123" t="s">
        <v>74</v>
      </c>
      <c r="BQ123" t="s">
        <v>74</v>
      </c>
      <c r="BR123" t="s">
        <v>104</v>
      </c>
      <c r="BS123" t="s">
        <v>2690</v>
      </c>
      <c r="BT123" t="str">
        <f>HYPERLINK("https%3A%2F%2Fwww.webofscience.com%2Fwos%2Fwoscc%2Ffull-record%2FWOS:000352902600009","View Full Record in Web of Science")</f>
        <v>View Full Record in Web of Science</v>
      </c>
    </row>
    <row r="124" spans="1:72" x14ac:dyDescent="0.15">
      <c r="A124" t="s">
        <v>72</v>
      </c>
      <c r="B124" t="s">
        <v>2691</v>
      </c>
      <c r="C124" t="s">
        <v>74</v>
      </c>
      <c r="D124" t="s">
        <v>74</v>
      </c>
      <c r="E124" t="s">
        <v>74</v>
      </c>
      <c r="F124" t="s">
        <v>2692</v>
      </c>
      <c r="G124" t="s">
        <v>74</v>
      </c>
      <c r="H124" t="s">
        <v>74</v>
      </c>
      <c r="I124" t="s">
        <v>2693</v>
      </c>
      <c r="J124" t="s">
        <v>2694</v>
      </c>
      <c r="K124" t="s">
        <v>74</v>
      </c>
      <c r="L124" t="s">
        <v>74</v>
      </c>
      <c r="M124" t="s">
        <v>78</v>
      </c>
      <c r="N124" t="s">
        <v>79</v>
      </c>
      <c r="O124" t="s">
        <v>74</v>
      </c>
      <c r="P124" t="s">
        <v>74</v>
      </c>
      <c r="Q124" t="s">
        <v>74</v>
      </c>
      <c r="R124" t="s">
        <v>74</v>
      </c>
      <c r="S124" t="s">
        <v>74</v>
      </c>
      <c r="T124" t="s">
        <v>2695</v>
      </c>
      <c r="U124" t="s">
        <v>2696</v>
      </c>
      <c r="V124" t="s">
        <v>2697</v>
      </c>
      <c r="W124" t="s">
        <v>2698</v>
      </c>
      <c r="X124" t="s">
        <v>2699</v>
      </c>
      <c r="Y124" t="s">
        <v>2700</v>
      </c>
      <c r="Z124" t="s">
        <v>2701</v>
      </c>
      <c r="AA124" t="s">
        <v>2702</v>
      </c>
      <c r="AB124" t="s">
        <v>2703</v>
      </c>
      <c r="AC124" t="s">
        <v>2704</v>
      </c>
      <c r="AD124" t="s">
        <v>2705</v>
      </c>
      <c r="AE124" t="s">
        <v>2706</v>
      </c>
      <c r="AF124" t="s">
        <v>74</v>
      </c>
      <c r="AG124">
        <v>91</v>
      </c>
      <c r="AH124">
        <v>6</v>
      </c>
      <c r="AI124">
        <v>6</v>
      </c>
      <c r="AJ124">
        <v>0</v>
      </c>
      <c r="AK124">
        <v>10</v>
      </c>
      <c r="AL124" t="s">
        <v>1039</v>
      </c>
      <c r="AM124" t="s">
        <v>816</v>
      </c>
      <c r="AN124" t="s">
        <v>1040</v>
      </c>
      <c r="AO124" t="s">
        <v>2707</v>
      </c>
      <c r="AP124" t="s">
        <v>2708</v>
      </c>
      <c r="AQ124" t="s">
        <v>74</v>
      </c>
      <c r="AR124" t="s">
        <v>2709</v>
      </c>
      <c r="AS124" t="s">
        <v>2710</v>
      </c>
      <c r="AT124" t="s">
        <v>2079</v>
      </c>
      <c r="AU124">
        <v>2015</v>
      </c>
      <c r="AV124">
        <v>425</v>
      </c>
      <c r="AW124" t="s">
        <v>74</v>
      </c>
      <c r="AX124" t="s">
        <v>74</v>
      </c>
      <c r="AY124" t="s">
        <v>74</v>
      </c>
      <c r="AZ124" t="s">
        <v>74</v>
      </c>
      <c r="BA124" t="s">
        <v>74</v>
      </c>
      <c r="BB124">
        <v>67</v>
      </c>
      <c r="BC124">
        <v>75</v>
      </c>
      <c r="BD124" t="s">
        <v>74</v>
      </c>
      <c r="BE124" t="s">
        <v>2711</v>
      </c>
      <c r="BF124" t="str">
        <f>HYPERLINK("http://dx.doi.org/10.1016/j.palaeo.2015.02.027","http://dx.doi.org/10.1016/j.palaeo.2015.02.027")</f>
        <v>http://dx.doi.org/10.1016/j.palaeo.2015.02.027</v>
      </c>
      <c r="BG124" t="s">
        <v>74</v>
      </c>
      <c r="BH124" t="s">
        <v>74</v>
      </c>
      <c r="BI124">
        <v>9</v>
      </c>
      <c r="BJ124" t="s">
        <v>2712</v>
      </c>
      <c r="BK124" t="s">
        <v>100</v>
      </c>
      <c r="BL124" t="s">
        <v>2713</v>
      </c>
      <c r="BM124" t="s">
        <v>2714</v>
      </c>
      <c r="BN124" t="s">
        <v>74</v>
      </c>
      <c r="BO124" t="s">
        <v>559</v>
      </c>
      <c r="BP124" t="s">
        <v>74</v>
      </c>
      <c r="BQ124" t="s">
        <v>74</v>
      </c>
      <c r="BR124" t="s">
        <v>104</v>
      </c>
      <c r="BS124" t="s">
        <v>2715</v>
      </c>
      <c r="BT124" t="str">
        <f>HYPERLINK("https%3A%2F%2Fwww.webofscience.com%2Fwos%2Fwoscc%2Ffull-record%2FWOS:000352664500005","View Full Record in Web of Science")</f>
        <v>View Full Record in Web of Science</v>
      </c>
    </row>
    <row r="125" spans="1:72" x14ac:dyDescent="0.15">
      <c r="A125" t="s">
        <v>72</v>
      </c>
      <c r="B125" t="s">
        <v>2716</v>
      </c>
      <c r="C125" t="s">
        <v>74</v>
      </c>
      <c r="D125" t="s">
        <v>74</v>
      </c>
      <c r="E125" t="s">
        <v>74</v>
      </c>
      <c r="F125" t="s">
        <v>2717</v>
      </c>
      <c r="G125" t="s">
        <v>74</v>
      </c>
      <c r="H125" t="s">
        <v>74</v>
      </c>
      <c r="I125" t="s">
        <v>2718</v>
      </c>
      <c r="J125" t="s">
        <v>2719</v>
      </c>
      <c r="K125" t="s">
        <v>74</v>
      </c>
      <c r="L125" t="s">
        <v>74</v>
      </c>
      <c r="M125" t="s">
        <v>78</v>
      </c>
      <c r="N125" t="s">
        <v>79</v>
      </c>
      <c r="O125" t="s">
        <v>74</v>
      </c>
      <c r="P125" t="s">
        <v>74</v>
      </c>
      <c r="Q125" t="s">
        <v>74</v>
      </c>
      <c r="R125" t="s">
        <v>74</v>
      </c>
      <c r="S125" t="s">
        <v>74</v>
      </c>
      <c r="T125" t="s">
        <v>74</v>
      </c>
      <c r="U125" t="s">
        <v>2720</v>
      </c>
      <c r="V125" t="s">
        <v>2721</v>
      </c>
      <c r="W125" t="s">
        <v>2722</v>
      </c>
      <c r="X125" t="s">
        <v>2613</v>
      </c>
      <c r="Y125" t="s">
        <v>2723</v>
      </c>
      <c r="Z125" t="s">
        <v>2724</v>
      </c>
      <c r="AA125" t="s">
        <v>2725</v>
      </c>
      <c r="AB125" t="s">
        <v>2726</v>
      </c>
      <c r="AC125" t="s">
        <v>2727</v>
      </c>
      <c r="AD125" t="s">
        <v>2728</v>
      </c>
      <c r="AE125" t="s">
        <v>2729</v>
      </c>
      <c r="AF125" t="s">
        <v>74</v>
      </c>
      <c r="AG125">
        <v>85</v>
      </c>
      <c r="AH125">
        <v>50</v>
      </c>
      <c r="AI125">
        <v>51</v>
      </c>
      <c r="AJ125">
        <v>0</v>
      </c>
      <c r="AK125">
        <v>45</v>
      </c>
      <c r="AL125" t="s">
        <v>2730</v>
      </c>
      <c r="AM125" t="s">
        <v>2731</v>
      </c>
      <c r="AN125" t="s">
        <v>2732</v>
      </c>
      <c r="AO125" t="s">
        <v>2733</v>
      </c>
      <c r="AP125" t="s">
        <v>2734</v>
      </c>
      <c r="AQ125" t="s">
        <v>74</v>
      </c>
      <c r="AR125" t="s">
        <v>2735</v>
      </c>
      <c r="AS125" t="s">
        <v>2736</v>
      </c>
      <c r="AT125" t="s">
        <v>1418</v>
      </c>
      <c r="AU125">
        <v>2015</v>
      </c>
      <c r="AV125">
        <v>88</v>
      </c>
      <c r="AW125">
        <v>3</v>
      </c>
      <c r="AX125" t="s">
        <v>74</v>
      </c>
      <c r="AY125" t="s">
        <v>74</v>
      </c>
      <c r="AZ125" t="s">
        <v>74</v>
      </c>
      <c r="BA125" t="s">
        <v>74</v>
      </c>
      <c r="BB125">
        <v>266</v>
      </c>
      <c r="BC125">
        <v>283</v>
      </c>
      <c r="BD125" t="s">
        <v>74</v>
      </c>
      <c r="BE125" t="s">
        <v>2737</v>
      </c>
      <c r="BF125" t="str">
        <f>HYPERLINK("http://dx.doi.org/10.1086/681000","http://dx.doi.org/10.1086/681000")</f>
        <v>http://dx.doi.org/10.1086/681000</v>
      </c>
      <c r="BG125" t="s">
        <v>74</v>
      </c>
      <c r="BH125" t="s">
        <v>74</v>
      </c>
      <c r="BI125">
        <v>18</v>
      </c>
      <c r="BJ125" t="s">
        <v>2738</v>
      </c>
      <c r="BK125" t="s">
        <v>100</v>
      </c>
      <c r="BL125" t="s">
        <v>2738</v>
      </c>
      <c r="BM125" t="s">
        <v>2739</v>
      </c>
      <c r="BN125">
        <v>25860826</v>
      </c>
      <c r="BO125" t="s">
        <v>74</v>
      </c>
      <c r="BP125" t="s">
        <v>74</v>
      </c>
      <c r="BQ125" t="s">
        <v>74</v>
      </c>
      <c r="BR125" t="s">
        <v>104</v>
      </c>
      <c r="BS125" t="s">
        <v>2740</v>
      </c>
      <c r="BT125" t="str">
        <f>HYPERLINK("https%3A%2F%2Fwww.webofscience.com%2Fwos%2Fwoscc%2Ffull-record%2FWOS:000352794300004","View Full Record in Web of Science")</f>
        <v>View Full Record in Web of Science</v>
      </c>
    </row>
    <row r="126" spans="1:72" x14ac:dyDescent="0.15">
      <c r="A126" t="s">
        <v>72</v>
      </c>
      <c r="B126" t="s">
        <v>2741</v>
      </c>
      <c r="C126" t="s">
        <v>74</v>
      </c>
      <c r="D126" t="s">
        <v>74</v>
      </c>
      <c r="E126" t="s">
        <v>74</v>
      </c>
      <c r="F126" t="s">
        <v>2742</v>
      </c>
      <c r="G126" t="s">
        <v>74</v>
      </c>
      <c r="H126" t="s">
        <v>74</v>
      </c>
      <c r="I126" t="s">
        <v>2743</v>
      </c>
      <c r="J126" t="s">
        <v>2744</v>
      </c>
      <c r="K126" t="s">
        <v>74</v>
      </c>
      <c r="L126" t="s">
        <v>74</v>
      </c>
      <c r="M126" t="s">
        <v>78</v>
      </c>
      <c r="N126" t="s">
        <v>79</v>
      </c>
      <c r="O126" t="s">
        <v>74</v>
      </c>
      <c r="P126" t="s">
        <v>74</v>
      </c>
      <c r="Q126" t="s">
        <v>74</v>
      </c>
      <c r="R126" t="s">
        <v>74</v>
      </c>
      <c r="S126" t="s">
        <v>74</v>
      </c>
      <c r="T126" t="s">
        <v>2745</v>
      </c>
      <c r="U126" t="s">
        <v>2746</v>
      </c>
      <c r="V126" t="s">
        <v>2747</v>
      </c>
      <c r="W126" t="s">
        <v>2748</v>
      </c>
      <c r="X126" t="s">
        <v>2749</v>
      </c>
      <c r="Y126" t="s">
        <v>2750</v>
      </c>
      <c r="Z126" t="s">
        <v>2751</v>
      </c>
      <c r="AA126" t="s">
        <v>74</v>
      </c>
      <c r="AB126" t="s">
        <v>74</v>
      </c>
      <c r="AC126" t="s">
        <v>74</v>
      </c>
      <c r="AD126" t="s">
        <v>74</v>
      </c>
      <c r="AE126" t="s">
        <v>74</v>
      </c>
      <c r="AF126" t="s">
        <v>74</v>
      </c>
      <c r="AG126">
        <v>15</v>
      </c>
      <c r="AH126">
        <v>6</v>
      </c>
      <c r="AI126">
        <v>10</v>
      </c>
      <c r="AJ126">
        <v>0</v>
      </c>
      <c r="AK126">
        <v>4</v>
      </c>
      <c r="AL126" t="s">
        <v>1039</v>
      </c>
      <c r="AM126" t="s">
        <v>816</v>
      </c>
      <c r="AN126" t="s">
        <v>1040</v>
      </c>
      <c r="AO126" t="s">
        <v>2752</v>
      </c>
      <c r="AP126" t="s">
        <v>2753</v>
      </c>
      <c r="AQ126" t="s">
        <v>74</v>
      </c>
      <c r="AR126" t="s">
        <v>2754</v>
      </c>
      <c r="AS126" t="s">
        <v>2755</v>
      </c>
      <c r="AT126" t="s">
        <v>1309</v>
      </c>
      <c r="AU126">
        <v>2015</v>
      </c>
      <c r="AV126">
        <v>210</v>
      </c>
      <c r="AW126" t="s">
        <v>74</v>
      </c>
      <c r="AX126" t="s">
        <v>74</v>
      </c>
      <c r="AY126" t="s">
        <v>74</v>
      </c>
      <c r="AZ126" t="s">
        <v>74</v>
      </c>
      <c r="BA126" t="s">
        <v>74</v>
      </c>
      <c r="BB126">
        <v>38</v>
      </c>
      <c r="BC126">
        <v>43</v>
      </c>
      <c r="BD126" t="s">
        <v>74</v>
      </c>
      <c r="BE126" t="s">
        <v>2756</v>
      </c>
      <c r="BF126" t="str">
        <f>HYPERLINK("http://dx.doi.org/10.1016/j.resp.2015.01.012","http://dx.doi.org/10.1016/j.resp.2015.01.012")</f>
        <v>http://dx.doi.org/10.1016/j.resp.2015.01.012</v>
      </c>
      <c r="BG126" t="s">
        <v>74</v>
      </c>
      <c r="BH126" t="s">
        <v>74</v>
      </c>
      <c r="BI126">
        <v>6</v>
      </c>
      <c r="BJ126" t="s">
        <v>2757</v>
      </c>
      <c r="BK126" t="s">
        <v>100</v>
      </c>
      <c r="BL126" t="s">
        <v>2757</v>
      </c>
      <c r="BM126" t="s">
        <v>2758</v>
      </c>
      <c r="BN126">
        <v>25655218</v>
      </c>
      <c r="BO126" t="s">
        <v>74</v>
      </c>
      <c r="BP126" t="s">
        <v>74</v>
      </c>
      <c r="BQ126" t="s">
        <v>74</v>
      </c>
      <c r="BR126" t="s">
        <v>104</v>
      </c>
      <c r="BS126" t="s">
        <v>2759</v>
      </c>
      <c r="BT126" t="str">
        <f>HYPERLINK("https%3A%2F%2Fwww.webofscience.com%2Fwos%2Fwoscc%2Ffull-record%2FWOS:000353007900007","View Full Record in Web of Science")</f>
        <v>View Full Record in Web of Science</v>
      </c>
    </row>
    <row r="127" spans="1:72" x14ac:dyDescent="0.15">
      <c r="A127" t="s">
        <v>72</v>
      </c>
      <c r="B127" t="s">
        <v>2760</v>
      </c>
      <c r="C127" t="s">
        <v>74</v>
      </c>
      <c r="D127" t="s">
        <v>74</v>
      </c>
      <c r="E127" t="s">
        <v>74</v>
      </c>
      <c r="F127" t="s">
        <v>2761</v>
      </c>
      <c r="G127" t="s">
        <v>74</v>
      </c>
      <c r="H127" t="s">
        <v>74</v>
      </c>
      <c r="I127" t="s">
        <v>2762</v>
      </c>
      <c r="J127" t="s">
        <v>1690</v>
      </c>
      <c r="K127" t="s">
        <v>74</v>
      </c>
      <c r="L127" t="s">
        <v>74</v>
      </c>
      <c r="M127" t="s">
        <v>78</v>
      </c>
      <c r="N127" t="s">
        <v>79</v>
      </c>
      <c r="O127" t="s">
        <v>74</v>
      </c>
      <c r="P127" t="s">
        <v>74</v>
      </c>
      <c r="Q127" t="s">
        <v>74</v>
      </c>
      <c r="R127" t="s">
        <v>74</v>
      </c>
      <c r="S127" t="s">
        <v>74</v>
      </c>
      <c r="T127" t="s">
        <v>2763</v>
      </c>
      <c r="U127" t="s">
        <v>2764</v>
      </c>
      <c r="V127" t="s">
        <v>2765</v>
      </c>
      <c r="W127" t="s">
        <v>2766</v>
      </c>
      <c r="X127" t="s">
        <v>2767</v>
      </c>
      <c r="Y127" t="s">
        <v>2768</v>
      </c>
      <c r="Z127" t="s">
        <v>2769</v>
      </c>
      <c r="AA127" t="s">
        <v>2770</v>
      </c>
      <c r="AB127" t="s">
        <v>2771</v>
      </c>
      <c r="AC127" t="s">
        <v>2772</v>
      </c>
      <c r="AD127" t="s">
        <v>2773</v>
      </c>
      <c r="AE127" t="s">
        <v>2774</v>
      </c>
      <c r="AF127" t="s">
        <v>74</v>
      </c>
      <c r="AG127">
        <v>45</v>
      </c>
      <c r="AH127">
        <v>13</v>
      </c>
      <c r="AI127">
        <v>13</v>
      </c>
      <c r="AJ127">
        <v>1</v>
      </c>
      <c r="AK127">
        <v>24</v>
      </c>
      <c r="AL127" t="s">
        <v>1701</v>
      </c>
      <c r="AM127" t="s">
        <v>1702</v>
      </c>
      <c r="AN127" t="s">
        <v>1703</v>
      </c>
      <c r="AO127" t="s">
        <v>1704</v>
      </c>
      <c r="AP127" t="s">
        <v>74</v>
      </c>
      <c r="AQ127" t="s">
        <v>74</v>
      </c>
      <c r="AR127" t="s">
        <v>1705</v>
      </c>
      <c r="AS127" t="s">
        <v>1706</v>
      </c>
      <c r="AT127" t="s">
        <v>1309</v>
      </c>
      <c r="AU127">
        <v>2015</v>
      </c>
      <c r="AV127">
        <v>42</v>
      </c>
      <c r="AW127">
        <v>2</v>
      </c>
      <c r="AX127" t="s">
        <v>74</v>
      </c>
      <c r="AY127" t="s">
        <v>74</v>
      </c>
      <c r="AZ127" t="s">
        <v>74</v>
      </c>
      <c r="BA127" t="s">
        <v>74</v>
      </c>
      <c r="BB127">
        <v>190</v>
      </c>
      <c r="BC127">
        <v>212</v>
      </c>
      <c r="BD127" t="s">
        <v>74</v>
      </c>
      <c r="BE127" t="s">
        <v>2775</v>
      </c>
      <c r="BF127" t="str">
        <f>HYPERLINK("http://dx.doi.org/10.5027/andgeoV42n2-a03","http://dx.doi.org/10.5027/andgeoV42n2-a03")</f>
        <v>http://dx.doi.org/10.5027/andgeoV42n2-a03</v>
      </c>
      <c r="BG127" t="s">
        <v>74</v>
      </c>
      <c r="BH127" t="s">
        <v>74</v>
      </c>
      <c r="BI127">
        <v>23</v>
      </c>
      <c r="BJ127" t="s">
        <v>220</v>
      </c>
      <c r="BK127" t="s">
        <v>100</v>
      </c>
      <c r="BL127" t="s">
        <v>220</v>
      </c>
      <c r="BM127" t="s">
        <v>1708</v>
      </c>
      <c r="BN127" t="s">
        <v>74</v>
      </c>
      <c r="BO127" t="s">
        <v>485</v>
      </c>
      <c r="BP127" t="s">
        <v>74</v>
      </c>
      <c r="BQ127" t="s">
        <v>74</v>
      </c>
      <c r="BR127" t="s">
        <v>104</v>
      </c>
      <c r="BS127" t="s">
        <v>2776</v>
      </c>
      <c r="BT127" t="str">
        <f>HYPERLINK("https%3A%2F%2Fwww.webofscience.com%2Fwos%2Fwoscc%2Ffull-record%2FWOS:000356084000003","View Full Record in Web of Science")</f>
        <v>View Full Record in Web of Science</v>
      </c>
    </row>
    <row r="128" spans="1:72" x14ac:dyDescent="0.15">
      <c r="A128" t="s">
        <v>72</v>
      </c>
      <c r="B128" t="s">
        <v>2777</v>
      </c>
      <c r="C128" t="s">
        <v>74</v>
      </c>
      <c r="D128" t="s">
        <v>74</v>
      </c>
      <c r="E128" t="s">
        <v>74</v>
      </c>
      <c r="F128" t="s">
        <v>2778</v>
      </c>
      <c r="G128" t="s">
        <v>74</v>
      </c>
      <c r="H128" t="s">
        <v>74</v>
      </c>
      <c r="I128" t="s">
        <v>2779</v>
      </c>
      <c r="J128" t="s">
        <v>2780</v>
      </c>
      <c r="K128" t="s">
        <v>74</v>
      </c>
      <c r="L128" t="s">
        <v>74</v>
      </c>
      <c r="M128" t="s">
        <v>78</v>
      </c>
      <c r="N128" t="s">
        <v>79</v>
      </c>
      <c r="O128" t="s">
        <v>74</v>
      </c>
      <c r="P128" t="s">
        <v>74</v>
      </c>
      <c r="Q128" t="s">
        <v>74</v>
      </c>
      <c r="R128" t="s">
        <v>74</v>
      </c>
      <c r="S128" t="s">
        <v>74</v>
      </c>
      <c r="T128" t="s">
        <v>2781</v>
      </c>
      <c r="U128" t="s">
        <v>2782</v>
      </c>
      <c r="V128" t="s">
        <v>2783</v>
      </c>
      <c r="W128" t="s">
        <v>2784</v>
      </c>
      <c r="X128" t="s">
        <v>2785</v>
      </c>
      <c r="Y128" t="s">
        <v>2786</v>
      </c>
      <c r="Z128" t="s">
        <v>2787</v>
      </c>
      <c r="AA128" t="s">
        <v>2788</v>
      </c>
      <c r="AB128" t="s">
        <v>2789</v>
      </c>
      <c r="AC128" t="s">
        <v>2790</v>
      </c>
      <c r="AD128" t="s">
        <v>2791</v>
      </c>
      <c r="AE128" t="s">
        <v>2792</v>
      </c>
      <c r="AF128" t="s">
        <v>74</v>
      </c>
      <c r="AG128">
        <v>31</v>
      </c>
      <c r="AH128">
        <v>32</v>
      </c>
      <c r="AI128">
        <v>33</v>
      </c>
      <c r="AJ128">
        <v>1</v>
      </c>
      <c r="AK128">
        <v>33</v>
      </c>
      <c r="AL128" t="s">
        <v>1085</v>
      </c>
      <c r="AM128" t="s">
        <v>1086</v>
      </c>
      <c r="AN128" t="s">
        <v>1087</v>
      </c>
      <c r="AO128" t="s">
        <v>2793</v>
      </c>
      <c r="AP128" t="s">
        <v>2794</v>
      </c>
      <c r="AQ128" t="s">
        <v>74</v>
      </c>
      <c r="AR128" t="s">
        <v>2795</v>
      </c>
      <c r="AS128" t="s">
        <v>2796</v>
      </c>
      <c r="AT128" t="s">
        <v>1309</v>
      </c>
      <c r="AU128">
        <v>2015</v>
      </c>
      <c r="AV128">
        <v>6</v>
      </c>
      <c r="AW128">
        <v>3</v>
      </c>
      <c r="AX128" t="s">
        <v>74</v>
      </c>
      <c r="AY128" t="s">
        <v>74</v>
      </c>
      <c r="AZ128" t="s">
        <v>74</v>
      </c>
      <c r="BA128" t="s">
        <v>74</v>
      </c>
      <c r="BB128">
        <v>273</v>
      </c>
      <c r="BC128">
        <v>284</v>
      </c>
      <c r="BD128" t="s">
        <v>74</v>
      </c>
      <c r="BE128" t="s">
        <v>2797</v>
      </c>
      <c r="BF128" t="str">
        <f>HYPERLINK("http://dx.doi.org/10.3354/aei00133","http://dx.doi.org/10.3354/aei00133")</f>
        <v>http://dx.doi.org/10.3354/aei00133</v>
      </c>
      <c r="BG128" t="s">
        <v>74</v>
      </c>
      <c r="BH128" t="s">
        <v>74</v>
      </c>
      <c r="BI128">
        <v>12</v>
      </c>
      <c r="BJ128" t="s">
        <v>2798</v>
      </c>
      <c r="BK128" t="s">
        <v>100</v>
      </c>
      <c r="BL128" t="s">
        <v>2798</v>
      </c>
      <c r="BM128" t="s">
        <v>2799</v>
      </c>
      <c r="BN128" t="s">
        <v>74</v>
      </c>
      <c r="BO128" t="s">
        <v>2800</v>
      </c>
      <c r="BP128" t="s">
        <v>74</v>
      </c>
      <c r="BQ128" t="s">
        <v>74</v>
      </c>
      <c r="BR128" t="s">
        <v>104</v>
      </c>
      <c r="BS128" t="s">
        <v>2801</v>
      </c>
      <c r="BT128" t="str">
        <f>HYPERLINK("https%3A%2F%2Fwww.webofscience.com%2Fwos%2Fwoscc%2Ffull-record%2FWOS:000355884400006","View Full Record in Web of Science")</f>
        <v>View Full Record in Web of Science</v>
      </c>
    </row>
    <row r="129" spans="1:72" x14ac:dyDescent="0.15">
      <c r="A129" t="s">
        <v>72</v>
      </c>
      <c r="B129" t="s">
        <v>2802</v>
      </c>
      <c r="C129" t="s">
        <v>74</v>
      </c>
      <c r="D129" t="s">
        <v>74</v>
      </c>
      <c r="E129" t="s">
        <v>74</v>
      </c>
      <c r="F129" t="s">
        <v>2803</v>
      </c>
      <c r="G129" t="s">
        <v>74</v>
      </c>
      <c r="H129" t="s">
        <v>74</v>
      </c>
      <c r="I129" t="s">
        <v>2804</v>
      </c>
      <c r="J129" t="s">
        <v>1792</v>
      </c>
      <c r="K129" t="s">
        <v>74</v>
      </c>
      <c r="L129" t="s">
        <v>74</v>
      </c>
      <c r="M129" t="s">
        <v>78</v>
      </c>
      <c r="N129" t="s">
        <v>2805</v>
      </c>
      <c r="O129" t="s">
        <v>74</v>
      </c>
      <c r="P129" t="s">
        <v>74</v>
      </c>
      <c r="Q129" t="s">
        <v>74</v>
      </c>
      <c r="R129" t="s">
        <v>74</v>
      </c>
      <c r="S129" t="s">
        <v>74</v>
      </c>
      <c r="T129" t="s">
        <v>74</v>
      </c>
      <c r="U129" t="s">
        <v>2806</v>
      </c>
      <c r="V129" t="s">
        <v>74</v>
      </c>
      <c r="W129" t="s">
        <v>2807</v>
      </c>
      <c r="X129" t="s">
        <v>2808</v>
      </c>
      <c r="Y129" t="s">
        <v>1841</v>
      </c>
      <c r="Z129" t="s">
        <v>1823</v>
      </c>
      <c r="AA129" t="s">
        <v>2809</v>
      </c>
      <c r="AB129" t="s">
        <v>2810</v>
      </c>
      <c r="AC129" t="s">
        <v>74</v>
      </c>
      <c r="AD129" t="s">
        <v>74</v>
      </c>
      <c r="AE129" t="s">
        <v>74</v>
      </c>
      <c r="AF129" t="s">
        <v>74</v>
      </c>
      <c r="AG129">
        <v>15</v>
      </c>
      <c r="AH129">
        <v>1</v>
      </c>
      <c r="AI129">
        <v>2</v>
      </c>
      <c r="AJ129">
        <v>1</v>
      </c>
      <c r="AK129">
        <v>24</v>
      </c>
      <c r="AL129" t="s">
        <v>1829</v>
      </c>
      <c r="AM129" t="s">
        <v>1458</v>
      </c>
      <c r="AN129" t="s">
        <v>1830</v>
      </c>
      <c r="AO129" t="s">
        <v>1807</v>
      </c>
      <c r="AP129" t="s">
        <v>1808</v>
      </c>
      <c r="AQ129" t="s">
        <v>74</v>
      </c>
      <c r="AR129" t="s">
        <v>1809</v>
      </c>
      <c r="AS129" t="s">
        <v>1810</v>
      </c>
      <c r="AT129" t="s">
        <v>1309</v>
      </c>
      <c r="AU129">
        <v>2015</v>
      </c>
      <c r="AV129">
        <v>47</v>
      </c>
      <c r="AW129">
        <v>2</v>
      </c>
      <c r="AX129" t="s">
        <v>74</v>
      </c>
      <c r="AY129" t="s">
        <v>74</v>
      </c>
      <c r="AZ129" t="s">
        <v>74</v>
      </c>
      <c r="BA129" t="s">
        <v>74</v>
      </c>
      <c r="BB129">
        <v>191</v>
      </c>
      <c r="BC129">
        <v>193</v>
      </c>
      <c r="BD129" t="s">
        <v>74</v>
      </c>
      <c r="BE129" t="s">
        <v>2811</v>
      </c>
      <c r="BF129" t="str">
        <f>HYPERLINK("http://dx.doi.org/10.1657/AAAR0047-2-introduction","http://dx.doi.org/10.1657/AAAR0047-2-introduction")</f>
        <v>http://dx.doi.org/10.1657/AAAR0047-2-introduction</v>
      </c>
      <c r="BG129" t="s">
        <v>74</v>
      </c>
      <c r="BH129" t="s">
        <v>74</v>
      </c>
      <c r="BI129">
        <v>3</v>
      </c>
      <c r="BJ129" t="s">
        <v>1812</v>
      </c>
      <c r="BK129" t="s">
        <v>100</v>
      </c>
      <c r="BL129" t="s">
        <v>197</v>
      </c>
      <c r="BM129" t="s">
        <v>1813</v>
      </c>
      <c r="BN129" t="s">
        <v>74</v>
      </c>
      <c r="BO129" t="s">
        <v>293</v>
      </c>
      <c r="BP129" t="s">
        <v>74</v>
      </c>
      <c r="BQ129" t="s">
        <v>74</v>
      </c>
      <c r="BR129" t="s">
        <v>104</v>
      </c>
      <c r="BS129" t="s">
        <v>2812</v>
      </c>
      <c r="BT129" t="str">
        <f>HYPERLINK("https%3A%2F%2Fwww.webofscience.com%2Fwos%2Fwoscc%2Ffull-record%2FWOS:000355627500001","View Full Record in Web of Science")</f>
        <v>View Full Record in Web of Science</v>
      </c>
    </row>
    <row r="130" spans="1:72" x14ac:dyDescent="0.15">
      <c r="A130" t="s">
        <v>72</v>
      </c>
      <c r="B130" t="s">
        <v>2813</v>
      </c>
      <c r="C130" t="s">
        <v>74</v>
      </c>
      <c r="D130" t="s">
        <v>74</v>
      </c>
      <c r="E130" t="s">
        <v>74</v>
      </c>
      <c r="F130" t="s">
        <v>2814</v>
      </c>
      <c r="G130" t="s">
        <v>74</v>
      </c>
      <c r="H130" t="s">
        <v>74</v>
      </c>
      <c r="I130" t="s">
        <v>2815</v>
      </c>
      <c r="J130" t="s">
        <v>1792</v>
      </c>
      <c r="K130" t="s">
        <v>74</v>
      </c>
      <c r="L130" t="s">
        <v>74</v>
      </c>
      <c r="M130" t="s">
        <v>78</v>
      </c>
      <c r="N130" t="s">
        <v>1222</v>
      </c>
      <c r="O130" t="s">
        <v>1793</v>
      </c>
      <c r="P130" t="s">
        <v>1794</v>
      </c>
      <c r="Q130" t="s">
        <v>1795</v>
      </c>
      <c r="R130" t="s">
        <v>74</v>
      </c>
      <c r="S130" t="s">
        <v>74</v>
      </c>
      <c r="T130" t="s">
        <v>74</v>
      </c>
      <c r="U130" t="s">
        <v>2816</v>
      </c>
      <c r="V130" t="s">
        <v>2817</v>
      </c>
      <c r="W130" t="s">
        <v>2818</v>
      </c>
      <c r="X130" t="s">
        <v>2819</v>
      </c>
      <c r="Y130" t="s">
        <v>2820</v>
      </c>
      <c r="Z130" t="s">
        <v>1823</v>
      </c>
      <c r="AA130" t="s">
        <v>2821</v>
      </c>
      <c r="AB130" t="s">
        <v>2822</v>
      </c>
      <c r="AC130" t="s">
        <v>2823</v>
      </c>
      <c r="AD130" t="s">
        <v>2824</v>
      </c>
      <c r="AE130" t="s">
        <v>2825</v>
      </c>
      <c r="AF130" t="s">
        <v>74</v>
      </c>
      <c r="AG130">
        <v>36</v>
      </c>
      <c r="AH130">
        <v>29</v>
      </c>
      <c r="AI130">
        <v>40</v>
      </c>
      <c r="AJ130">
        <v>1</v>
      </c>
      <c r="AK130">
        <v>58</v>
      </c>
      <c r="AL130" t="s">
        <v>1829</v>
      </c>
      <c r="AM130" t="s">
        <v>1458</v>
      </c>
      <c r="AN130" t="s">
        <v>1830</v>
      </c>
      <c r="AO130" t="s">
        <v>1807</v>
      </c>
      <c r="AP130" t="s">
        <v>1808</v>
      </c>
      <c r="AQ130" t="s">
        <v>74</v>
      </c>
      <c r="AR130" t="s">
        <v>1809</v>
      </c>
      <c r="AS130" t="s">
        <v>1810</v>
      </c>
      <c r="AT130" t="s">
        <v>1309</v>
      </c>
      <c r="AU130">
        <v>2015</v>
      </c>
      <c r="AV130">
        <v>47</v>
      </c>
      <c r="AW130">
        <v>2</v>
      </c>
      <c r="AX130" t="s">
        <v>74</v>
      </c>
      <c r="AY130" t="s">
        <v>74</v>
      </c>
      <c r="AZ130" t="s">
        <v>74</v>
      </c>
      <c r="BA130" t="s">
        <v>74</v>
      </c>
      <c r="BB130">
        <v>213</v>
      </c>
      <c r="BC130">
        <v>229</v>
      </c>
      <c r="BD130" t="s">
        <v>74</v>
      </c>
      <c r="BE130" t="s">
        <v>2826</v>
      </c>
      <c r="BF130" t="str">
        <f>HYPERLINK("http://dx.doi.org/10.1657/AAAR00C-13-304","http://dx.doi.org/10.1657/AAAR00C-13-304")</f>
        <v>http://dx.doi.org/10.1657/AAAR00C-13-304</v>
      </c>
      <c r="BG130" t="s">
        <v>74</v>
      </c>
      <c r="BH130" t="s">
        <v>74</v>
      </c>
      <c r="BI130">
        <v>17</v>
      </c>
      <c r="BJ130" t="s">
        <v>1812</v>
      </c>
      <c r="BK130" t="s">
        <v>1247</v>
      </c>
      <c r="BL130" t="s">
        <v>197</v>
      </c>
      <c r="BM130" t="s">
        <v>1813</v>
      </c>
      <c r="BN130" t="s">
        <v>74</v>
      </c>
      <c r="BO130" t="s">
        <v>293</v>
      </c>
      <c r="BP130" t="s">
        <v>74</v>
      </c>
      <c r="BQ130" t="s">
        <v>74</v>
      </c>
      <c r="BR130" t="s">
        <v>104</v>
      </c>
      <c r="BS130" t="s">
        <v>2827</v>
      </c>
      <c r="BT130" t="str">
        <f>HYPERLINK("https%3A%2F%2Fwww.webofscience.com%2Fwos%2Fwoscc%2Ffull-record%2FWOS:000355627500004","View Full Record in Web of Science")</f>
        <v>View Full Record in Web of Science</v>
      </c>
    </row>
    <row r="131" spans="1:72" x14ac:dyDescent="0.15">
      <c r="A131" t="s">
        <v>72</v>
      </c>
      <c r="B131" t="s">
        <v>2828</v>
      </c>
      <c r="C131" t="s">
        <v>74</v>
      </c>
      <c r="D131" t="s">
        <v>74</v>
      </c>
      <c r="E131" t="s">
        <v>74</v>
      </c>
      <c r="F131" t="s">
        <v>2829</v>
      </c>
      <c r="G131" t="s">
        <v>74</v>
      </c>
      <c r="H131" t="s">
        <v>74</v>
      </c>
      <c r="I131" t="s">
        <v>2830</v>
      </c>
      <c r="J131" t="s">
        <v>1792</v>
      </c>
      <c r="K131" t="s">
        <v>74</v>
      </c>
      <c r="L131" t="s">
        <v>74</v>
      </c>
      <c r="M131" t="s">
        <v>78</v>
      </c>
      <c r="N131" t="s">
        <v>1222</v>
      </c>
      <c r="O131" t="s">
        <v>1793</v>
      </c>
      <c r="P131" t="s">
        <v>1794</v>
      </c>
      <c r="Q131" t="s">
        <v>1795</v>
      </c>
      <c r="R131" t="s">
        <v>74</v>
      </c>
      <c r="S131" t="s">
        <v>74</v>
      </c>
      <c r="T131" t="s">
        <v>74</v>
      </c>
      <c r="U131" t="s">
        <v>2831</v>
      </c>
      <c r="V131" t="s">
        <v>2832</v>
      </c>
      <c r="W131" t="s">
        <v>2833</v>
      </c>
      <c r="X131" t="s">
        <v>2834</v>
      </c>
      <c r="Y131" t="s">
        <v>2835</v>
      </c>
      <c r="Z131" t="s">
        <v>1904</v>
      </c>
      <c r="AA131" t="s">
        <v>2836</v>
      </c>
      <c r="AB131" t="s">
        <v>2837</v>
      </c>
      <c r="AC131" t="s">
        <v>2838</v>
      </c>
      <c r="AD131" t="s">
        <v>2839</v>
      </c>
      <c r="AE131" t="s">
        <v>2840</v>
      </c>
      <c r="AF131" t="s">
        <v>74</v>
      </c>
      <c r="AG131">
        <v>42</v>
      </c>
      <c r="AH131">
        <v>13</v>
      </c>
      <c r="AI131">
        <v>15</v>
      </c>
      <c r="AJ131">
        <v>3</v>
      </c>
      <c r="AK131">
        <v>33</v>
      </c>
      <c r="AL131" t="s">
        <v>1239</v>
      </c>
      <c r="AM131" t="s">
        <v>448</v>
      </c>
      <c r="AN131" t="s">
        <v>1240</v>
      </c>
      <c r="AO131" t="s">
        <v>1807</v>
      </c>
      <c r="AP131" t="s">
        <v>1808</v>
      </c>
      <c r="AQ131" t="s">
        <v>74</v>
      </c>
      <c r="AR131" t="s">
        <v>1809</v>
      </c>
      <c r="AS131" t="s">
        <v>1810</v>
      </c>
      <c r="AT131" t="s">
        <v>1309</v>
      </c>
      <c r="AU131">
        <v>2015</v>
      </c>
      <c r="AV131">
        <v>47</v>
      </c>
      <c r="AW131">
        <v>2</v>
      </c>
      <c r="AX131" t="s">
        <v>74</v>
      </c>
      <c r="AY131" t="s">
        <v>74</v>
      </c>
      <c r="AZ131" t="s">
        <v>74</v>
      </c>
      <c r="BA131" t="s">
        <v>74</v>
      </c>
      <c r="BB131">
        <v>281</v>
      </c>
      <c r="BC131">
        <v>292</v>
      </c>
      <c r="BD131" t="s">
        <v>74</v>
      </c>
      <c r="BE131" t="s">
        <v>2841</v>
      </c>
      <c r="BF131" t="str">
        <f>HYPERLINK("http://dx.doi.org/10.1657/AAAR00C-13-307","http://dx.doi.org/10.1657/AAAR00C-13-307")</f>
        <v>http://dx.doi.org/10.1657/AAAR00C-13-307</v>
      </c>
      <c r="BG131" t="s">
        <v>74</v>
      </c>
      <c r="BH131" t="s">
        <v>74</v>
      </c>
      <c r="BI131">
        <v>12</v>
      </c>
      <c r="BJ131" t="s">
        <v>1812</v>
      </c>
      <c r="BK131" t="s">
        <v>1247</v>
      </c>
      <c r="BL131" t="s">
        <v>197</v>
      </c>
      <c r="BM131" t="s">
        <v>1813</v>
      </c>
      <c r="BN131" t="s">
        <v>74</v>
      </c>
      <c r="BO131" t="s">
        <v>1832</v>
      </c>
      <c r="BP131" t="s">
        <v>74</v>
      </c>
      <c r="BQ131" t="s">
        <v>74</v>
      </c>
      <c r="BR131" t="s">
        <v>104</v>
      </c>
      <c r="BS131" t="s">
        <v>2842</v>
      </c>
      <c r="BT131" t="str">
        <f>HYPERLINK("https%3A%2F%2Fwww.webofscience.com%2Fwos%2Fwoscc%2Ffull-record%2FWOS:000355627500009","View Full Record in Web of Science")</f>
        <v>View Full Record in Web of Science</v>
      </c>
    </row>
    <row r="132" spans="1:72" x14ac:dyDescent="0.15">
      <c r="A132" t="s">
        <v>72</v>
      </c>
      <c r="B132" t="s">
        <v>2843</v>
      </c>
      <c r="C132" t="s">
        <v>74</v>
      </c>
      <c r="D132" t="s">
        <v>74</v>
      </c>
      <c r="E132" t="s">
        <v>74</v>
      </c>
      <c r="F132" t="s">
        <v>2844</v>
      </c>
      <c r="G132" t="s">
        <v>74</v>
      </c>
      <c r="H132" t="s">
        <v>74</v>
      </c>
      <c r="I132" t="s">
        <v>2845</v>
      </c>
      <c r="J132" t="s">
        <v>1792</v>
      </c>
      <c r="K132" t="s">
        <v>74</v>
      </c>
      <c r="L132" t="s">
        <v>74</v>
      </c>
      <c r="M132" t="s">
        <v>78</v>
      </c>
      <c r="N132" t="s">
        <v>79</v>
      </c>
      <c r="O132" t="s">
        <v>74</v>
      </c>
      <c r="P132" t="s">
        <v>74</v>
      </c>
      <c r="Q132" t="s">
        <v>74</v>
      </c>
      <c r="R132" t="s">
        <v>74</v>
      </c>
      <c r="S132" t="s">
        <v>74</v>
      </c>
      <c r="T132" t="s">
        <v>74</v>
      </c>
      <c r="U132" t="s">
        <v>2846</v>
      </c>
      <c r="V132" t="s">
        <v>2847</v>
      </c>
      <c r="W132" t="s">
        <v>2848</v>
      </c>
      <c r="X132" t="s">
        <v>2849</v>
      </c>
      <c r="Y132" t="s">
        <v>2850</v>
      </c>
      <c r="Z132" t="s">
        <v>2851</v>
      </c>
      <c r="AA132" t="s">
        <v>2852</v>
      </c>
      <c r="AB132" t="s">
        <v>2853</v>
      </c>
      <c r="AC132" t="s">
        <v>2854</v>
      </c>
      <c r="AD132" t="s">
        <v>2855</v>
      </c>
      <c r="AE132" t="s">
        <v>2856</v>
      </c>
      <c r="AF132" t="s">
        <v>74</v>
      </c>
      <c r="AG132">
        <v>46</v>
      </c>
      <c r="AH132">
        <v>31</v>
      </c>
      <c r="AI132">
        <v>43</v>
      </c>
      <c r="AJ132">
        <v>16</v>
      </c>
      <c r="AK132">
        <v>180</v>
      </c>
      <c r="AL132" t="s">
        <v>1829</v>
      </c>
      <c r="AM132" t="s">
        <v>1458</v>
      </c>
      <c r="AN132" t="s">
        <v>1830</v>
      </c>
      <c r="AO132" t="s">
        <v>1807</v>
      </c>
      <c r="AP132" t="s">
        <v>1808</v>
      </c>
      <c r="AQ132" t="s">
        <v>74</v>
      </c>
      <c r="AR132" t="s">
        <v>1809</v>
      </c>
      <c r="AS132" t="s">
        <v>1810</v>
      </c>
      <c r="AT132" t="s">
        <v>1309</v>
      </c>
      <c r="AU132">
        <v>2015</v>
      </c>
      <c r="AV132">
        <v>47</v>
      </c>
      <c r="AW132">
        <v>2</v>
      </c>
      <c r="AX132" t="s">
        <v>74</v>
      </c>
      <c r="AY132" t="s">
        <v>74</v>
      </c>
      <c r="AZ132" t="s">
        <v>74</v>
      </c>
      <c r="BA132" t="s">
        <v>74</v>
      </c>
      <c r="BB132">
        <v>359</v>
      </c>
      <c r="BC132">
        <v>368</v>
      </c>
      <c r="BD132" t="s">
        <v>74</v>
      </c>
      <c r="BE132" t="s">
        <v>2857</v>
      </c>
      <c r="BF132" t="str">
        <f>HYPERLINK("http://dx.doi.org/10.1657/AAAR0014-018","http://dx.doi.org/10.1657/AAAR0014-018")</f>
        <v>http://dx.doi.org/10.1657/AAAR0014-018</v>
      </c>
      <c r="BG132" t="s">
        <v>74</v>
      </c>
      <c r="BH132" t="s">
        <v>74</v>
      </c>
      <c r="BI132">
        <v>10</v>
      </c>
      <c r="BJ132" t="s">
        <v>1812</v>
      </c>
      <c r="BK132" t="s">
        <v>100</v>
      </c>
      <c r="BL132" t="s">
        <v>197</v>
      </c>
      <c r="BM132" t="s">
        <v>1813</v>
      </c>
      <c r="BN132" t="s">
        <v>74</v>
      </c>
      <c r="BO132" t="s">
        <v>559</v>
      </c>
      <c r="BP132" t="s">
        <v>74</v>
      </c>
      <c r="BQ132" t="s">
        <v>74</v>
      </c>
      <c r="BR132" t="s">
        <v>104</v>
      </c>
      <c r="BS132" t="s">
        <v>2858</v>
      </c>
      <c r="BT132" t="str">
        <f>HYPERLINK("https%3A%2F%2Fwww.webofscience.com%2Fwos%2Fwoscc%2Ffull-record%2FWOS:000355627500016","View Full Record in Web of Science")</f>
        <v>View Full Record in Web of Science</v>
      </c>
    </row>
    <row r="133" spans="1:72" x14ac:dyDescent="0.15">
      <c r="A133" t="s">
        <v>72</v>
      </c>
      <c r="B133" t="s">
        <v>2859</v>
      </c>
      <c r="C133" t="s">
        <v>74</v>
      </c>
      <c r="D133" t="s">
        <v>74</v>
      </c>
      <c r="E133" t="s">
        <v>74</v>
      </c>
      <c r="F133" t="s">
        <v>2860</v>
      </c>
      <c r="G133" t="s">
        <v>74</v>
      </c>
      <c r="H133" t="s">
        <v>74</v>
      </c>
      <c r="I133" t="s">
        <v>2861</v>
      </c>
      <c r="J133" t="s">
        <v>1792</v>
      </c>
      <c r="K133" t="s">
        <v>74</v>
      </c>
      <c r="L133" t="s">
        <v>74</v>
      </c>
      <c r="M133" t="s">
        <v>78</v>
      </c>
      <c r="N133" t="s">
        <v>79</v>
      </c>
      <c r="O133" t="s">
        <v>74</v>
      </c>
      <c r="P133" t="s">
        <v>74</v>
      </c>
      <c r="Q133" t="s">
        <v>74</v>
      </c>
      <c r="R133" t="s">
        <v>74</v>
      </c>
      <c r="S133" t="s">
        <v>74</v>
      </c>
      <c r="T133" t="s">
        <v>74</v>
      </c>
      <c r="U133" t="s">
        <v>2862</v>
      </c>
      <c r="V133" t="s">
        <v>2863</v>
      </c>
      <c r="W133" t="s">
        <v>2864</v>
      </c>
      <c r="X133" t="s">
        <v>2865</v>
      </c>
      <c r="Y133" t="s">
        <v>2866</v>
      </c>
      <c r="Z133" t="s">
        <v>2867</v>
      </c>
      <c r="AA133" t="s">
        <v>2868</v>
      </c>
      <c r="AB133" t="s">
        <v>2869</v>
      </c>
      <c r="AC133" t="s">
        <v>2870</v>
      </c>
      <c r="AD133" t="s">
        <v>2871</v>
      </c>
      <c r="AE133" t="s">
        <v>2872</v>
      </c>
      <c r="AF133" t="s">
        <v>74</v>
      </c>
      <c r="AG133">
        <v>60</v>
      </c>
      <c r="AH133">
        <v>12</v>
      </c>
      <c r="AI133">
        <v>13</v>
      </c>
      <c r="AJ133">
        <v>0</v>
      </c>
      <c r="AK133">
        <v>20</v>
      </c>
      <c r="AL133" t="s">
        <v>1829</v>
      </c>
      <c r="AM133" t="s">
        <v>1458</v>
      </c>
      <c r="AN133" t="s">
        <v>1830</v>
      </c>
      <c r="AO133" t="s">
        <v>1807</v>
      </c>
      <c r="AP133" t="s">
        <v>1808</v>
      </c>
      <c r="AQ133" t="s">
        <v>74</v>
      </c>
      <c r="AR133" t="s">
        <v>1809</v>
      </c>
      <c r="AS133" t="s">
        <v>1810</v>
      </c>
      <c r="AT133" t="s">
        <v>1309</v>
      </c>
      <c r="AU133">
        <v>2015</v>
      </c>
      <c r="AV133">
        <v>47</v>
      </c>
      <c r="AW133">
        <v>2</v>
      </c>
      <c r="AX133" t="s">
        <v>74</v>
      </c>
      <c r="AY133" t="s">
        <v>74</v>
      </c>
      <c r="AZ133" t="s">
        <v>74</v>
      </c>
      <c r="BA133" t="s">
        <v>74</v>
      </c>
      <c r="BB133">
        <v>389</v>
      </c>
      <c r="BC133">
        <v>399</v>
      </c>
      <c r="BD133" t="s">
        <v>74</v>
      </c>
      <c r="BE133" t="s">
        <v>2873</v>
      </c>
      <c r="BF133" t="str">
        <f>HYPERLINK("http://dx.doi.org/10.1657/AAAR0013-126","http://dx.doi.org/10.1657/AAAR0013-126")</f>
        <v>http://dx.doi.org/10.1657/AAAR0013-126</v>
      </c>
      <c r="BG133" t="s">
        <v>74</v>
      </c>
      <c r="BH133" t="s">
        <v>74</v>
      </c>
      <c r="BI133">
        <v>11</v>
      </c>
      <c r="BJ133" t="s">
        <v>1812</v>
      </c>
      <c r="BK133" t="s">
        <v>100</v>
      </c>
      <c r="BL133" t="s">
        <v>197</v>
      </c>
      <c r="BM133" t="s">
        <v>1813</v>
      </c>
      <c r="BN133" t="s">
        <v>74</v>
      </c>
      <c r="BO133" t="s">
        <v>1832</v>
      </c>
      <c r="BP133" t="s">
        <v>74</v>
      </c>
      <c r="BQ133" t="s">
        <v>74</v>
      </c>
      <c r="BR133" t="s">
        <v>104</v>
      </c>
      <c r="BS133" t="s">
        <v>2874</v>
      </c>
      <c r="BT133" t="str">
        <f>HYPERLINK("https%3A%2F%2Fwww.webofscience.com%2Fwos%2Fwoscc%2Ffull-record%2FWOS:000355627500019","View Full Record in Web of Science")</f>
        <v>View Full Record in Web of Science</v>
      </c>
    </row>
    <row r="134" spans="1:72" x14ac:dyDescent="0.15">
      <c r="A134" t="s">
        <v>72</v>
      </c>
      <c r="B134" t="s">
        <v>2875</v>
      </c>
      <c r="C134" t="s">
        <v>74</v>
      </c>
      <c r="D134" t="s">
        <v>74</v>
      </c>
      <c r="E134" t="s">
        <v>74</v>
      </c>
      <c r="F134" t="s">
        <v>2876</v>
      </c>
      <c r="G134" t="s">
        <v>74</v>
      </c>
      <c r="H134" t="s">
        <v>74</v>
      </c>
      <c r="I134" t="s">
        <v>2877</v>
      </c>
      <c r="J134" t="s">
        <v>2878</v>
      </c>
      <c r="K134" t="s">
        <v>74</v>
      </c>
      <c r="L134" t="s">
        <v>74</v>
      </c>
      <c r="M134" t="s">
        <v>78</v>
      </c>
      <c r="N134" t="s">
        <v>1291</v>
      </c>
      <c r="O134" t="s">
        <v>74</v>
      </c>
      <c r="P134" t="s">
        <v>74</v>
      </c>
      <c r="Q134" t="s">
        <v>74</v>
      </c>
      <c r="R134" t="s">
        <v>74</v>
      </c>
      <c r="S134" t="s">
        <v>74</v>
      </c>
      <c r="T134" t="s">
        <v>2879</v>
      </c>
      <c r="U134" t="s">
        <v>2880</v>
      </c>
      <c r="V134" t="s">
        <v>2881</v>
      </c>
      <c r="W134" t="s">
        <v>2882</v>
      </c>
      <c r="X134" t="s">
        <v>2883</v>
      </c>
      <c r="Y134" t="s">
        <v>2884</v>
      </c>
      <c r="Z134" t="s">
        <v>2885</v>
      </c>
      <c r="AA134" t="s">
        <v>2886</v>
      </c>
      <c r="AB134" t="s">
        <v>2887</v>
      </c>
      <c r="AC134" t="s">
        <v>2888</v>
      </c>
      <c r="AD134" t="s">
        <v>2889</v>
      </c>
      <c r="AE134" t="s">
        <v>2890</v>
      </c>
      <c r="AF134" t="s">
        <v>74</v>
      </c>
      <c r="AG134">
        <v>99</v>
      </c>
      <c r="AH134">
        <v>105</v>
      </c>
      <c r="AI134">
        <v>109</v>
      </c>
      <c r="AJ134">
        <v>2</v>
      </c>
      <c r="AK134">
        <v>90</v>
      </c>
      <c r="AL134" t="s">
        <v>120</v>
      </c>
      <c r="AM134" t="s">
        <v>2560</v>
      </c>
      <c r="AN134" t="s">
        <v>2561</v>
      </c>
      <c r="AO134" t="s">
        <v>2891</v>
      </c>
      <c r="AP134" t="s">
        <v>2892</v>
      </c>
      <c r="AQ134" t="s">
        <v>74</v>
      </c>
      <c r="AR134" t="s">
        <v>2893</v>
      </c>
      <c r="AS134" t="s">
        <v>2894</v>
      </c>
      <c r="AT134" t="s">
        <v>1309</v>
      </c>
      <c r="AU134">
        <v>2015</v>
      </c>
      <c r="AV134">
        <v>24</v>
      </c>
      <c r="AW134">
        <v>5</v>
      </c>
      <c r="AX134" t="s">
        <v>74</v>
      </c>
      <c r="AY134" t="s">
        <v>74</v>
      </c>
      <c r="AZ134" t="s">
        <v>74</v>
      </c>
      <c r="BA134" t="s">
        <v>74</v>
      </c>
      <c r="BB134">
        <v>1031</v>
      </c>
      <c r="BC134">
        <v>1055</v>
      </c>
      <c r="BD134" t="s">
        <v>74</v>
      </c>
      <c r="BE134" t="s">
        <v>2895</v>
      </c>
      <c r="BF134" t="str">
        <f>HYPERLINK("http://dx.doi.org/10.1007/s10531-015-0896-6","http://dx.doi.org/10.1007/s10531-015-0896-6")</f>
        <v>http://dx.doi.org/10.1007/s10531-015-0896-6</v>
      </c>
      <c r="BG134" t="s">
        <v>74</v>
      </c>
      <c r="BH134" t="s">
        <v>74</v>
      </c>
      <c r="BI134">
        <v>25</v>
      </c>
      <c r="BJ134" t="s">
        <v>153</v>
      </c>
      <c r="BK134" t="s">
        <v>100</v>
      </c>
      <c r="BL134" t="s">
        <v>154</v>
      </c>
      <c r="BM134" t="s">
        <v>2896</v>
      </c>
      <c r="BN134" t="s">
        <v>74</v>
      </c>
      <c r="BO134" t="s">
        <v>2897</v>
      </c>
      <c r="BP134" t="s">
        <v>74</v>
      </c>
      <c r="BQ134" t="s">
        <v>74</v>
      </c>
      <c r="BR134" t="s">
        <v>104</v>
      </c>
      <c r="BS134" t="s">
        <v>2898</v>
      </c>
      <c r="BT134" t="str">
        <f>HYPERLINK("https%3A%2F%2Fwww.webofscience.com%2Fwos%2Fwoscc%2Ffull-record%2FWOS:000353888600002","View Full Record in Web of Science")</f>
        <v>View Full Record in Web of Science</v>
      </c>
    </row>
    <row r="135" spans="1:72" x14ac:dyDescent="0.15">
      <c r="A135" t="s">
        <v>72</v>
      </c>
      <c r="B135" t="s">
        <v>2899</v>
      </c>
      <c r="C135" t="s">
        <v>74</v>
      </c>
      <c r="D135" t="s">
        <v>74</v>
      </c>
      <c r="E135" t="s">
        <v>74</v>
      </c>
      <c r="F135" t="s">
        <v>2900</v>
      </c>
      <c r="G135" t="s">
        <v>74</v>
      </c>
      <c r="H135" t="s">
        <v>74</v>
      </c>
      <c r="I135" t="s">
        <v>2901</v>
      </c>
      <c r="J135" t="s">
        <v>2902</v>
      </c>
      <c r="K135" t="s">
        <v>74</v>
      </c>
      <c r="L135" t="s">
        <v>74</v>
      </c>
      <c r="M135" t="s">
        <v>78</v>
      </c>
      <c r="N135" t="s">
        <v>79</v>
      </c>
      <c r="O135" t="s">
        <v>74</v>
      </c>
      <c r="P135" t="s">
        <v>74</v>
      </c>
      <c r="Q135" t="s">
        <v>74</v>
      </c>
      <c r="R135" t="s">
        <v>74</v>
      </c>
      <c r="S135" t="s">
        <v>74</v>
      </c>
      <c r="T135" t="s">
        <v>2903</v>
      </c>
      <c r="U135" t="s">
        <v>2904</v>
      </c>
      <c r="V135" t="s">
        <v>2905</v>
      </c>
      <c r="W135" t="s">
        <v>2906</v>
      </c>
      <c r="X135" t="s">
        <v>2907</v>
      </c>
      <c r="Y135" t="s">
        <v>2908</v>
      </c>
      <c r="Z135" t="s">
        <v>2909</v>
      </c>
      <c r="AA135" t="s">
        <v>2910</v>
      </c>
      <c r="AB135" t="s">
        <v>2911</v>
      </c>
      <c r="AC135" t="s">
        <v>2912</v>
      </c>
      <c r="AD135" t="s">
        <v>2913</v>
      </c>
      <c r="AE135" t="s">
        <v>2914</v>
      </c>
      <c r="AF135" t="s">
        <v>74</v>
      </c>
      <c r="AG135">
        <v>19</v>
      </c>
      <c r="AH135">
        <v>22</v>
      </c>
      <c r="AI135">
        <v>28</v>
      </c>
      <c r="AJ135">
        <v>4</v>
      </c>
      <c r="AK135">
        <v>87</v>
      </c>
      <c r="AL135" t="s">
        <v>1113</v>
      </c>
      <c r="AM135" t="s">
        <v>378</v>
      </c>
      <c r="AN135" t="s">
        <v>1114</v>
      </c>
      <c r="AO135" t="s">
        <v>2915</v>
      </c>
      <c r="AP135" t="s">
        <v>2916</v>
      </c>
      <c r="AQ135" t="s">
        <v>74</v>
      </c>
      <c r="AR135" t="s">
        <v>2917</v>
      </c>
      <c r="AS135" t="s">
        <v>2918</v>
      </c>
      <c r="AT135" t="s">
        <v>2079</v>
      </c>
      <c r="AU135">
        <v>2015</v>
      </c>
      <c r="AV135">
        <v>11</v>
      </c>
      <c r="AW135">
        <v>5</v>
      </c>
      <c r="AX135" t="s">
        <v>74</v>
      </c>
      <c r="AY135" t="s">
        <v>74</v>
      </c>
      <c r="AZ135" t="s">
        <v>74</v>
      </c>
      <c r="BA135" t="s">
        <v>74</v>
      </c>
      <c r="BB135" t="s">
        <v>74</v>
      </c>
      <c r="BC135" t="s">
        <v>74</v>
      </c>
      <c r="BD135">
        <v>20141037</v>
      </c>
      <c r="BE135" t="s">
        <v>2919</v>
      </c>
      <c r="BF135" t="str">
        <f>HYPERLINK("http://dx.doi.org/10.1098/rsbl.2014.1037","http://dx.doi.org/10.1098/rsbl.2014.1037")</f>
        <v>http://dx.doi.org/10.1098/rsbl.2014.1037</v>
      </c>
      <c r="BG135" t="s">
        <v>74</v>
      </c>
      <c r="BH135" t="s">
        <v>74</v>
      </c>
      <c r="BI135">
        <v>5</v>
      </c>
      <c r="BJ135" t="s">
        <v>1120</v>
      </c>
      <c r="BK135" t="s">
        <v>100</v>
      </c>
      <c r="BL135" t="s">
        <v>1121</v>
      </c>
      <c r="BM135" t="s">
        <v>2920</v>
      </c>
      <c r="BN135">
        <v>25948571</v>
      </c>
      <c r="BO135" t="s">
        <v>293</v>
      </c>
      <c r="BP135" t="s">
        <v>74</v>
      </c>
      <c r="BQ135" t="s">
        <v>74</v>
      </c>
      <c r="BR135" t="s">
        <v>104</v>
      </c>
      <c r="BS135" t="s">
        <v>2921</v>
      </c>
      <c r="BT135" t="str">
        <f>HYPERLINK("https%3A%2F%2Fwww.webofscience.com%2Fwos%2Fwoscc%2Ffull-record%2FWOS:000357684200002","View Full Record in Web of Science")</f>
        <v>View Full Record in Web of Science</v>
      </c>
    </row>
    <row r="136" spans="1:72" x14ac:dyDescent="0.15">
      <c r="A136" t="s">
        <v>72</v>
      </c>
      <c r="B136" t="s">
        <v>2922</v>
      </c>
      <c r="C136" t="s">
        <v>74</v>
      </c>
      <c r="D136" t="s">
        <v>74</v>
      </c>
      <c r="E136" t="s">
        <v>74</v>
      </c>
      <c r="F136" t="s">
        <v>2923</v>
      </c>
      <c r="G136" t="s">
        <v>74</v>
      </c>
      <c r="H136" t="s">
        <v>74</v>
      </c>
      <c r="I136" t="s">
        <v>2924</v>
      </c>
      <c r="J136" t="s">
        <v>2312</v>
      </c>
      <c r="K136" t="s">
        <v>74</v>
      </c>
      <c r="L136" t="s">
        <v>74</v>
      </c>
      <c r="M136" t="s">
        <v>78</v>
      </c>
      <c r="N136" t="s">
        <v>79</v>
      </c>
      <c r="O136" t="s">
        <v>74</v>
      </c>
      <c r="P136" t="s">
        <v>74</v>
      </c>
      <c r="Q136" t="s">
        <v>74</v>
      </c>
      <c r="R136" t="s">
        <v>74</v>
      </c>
      <c r="S136" t="s">
        <v>74</v>
      </c>
      <c r="T136" t="s">
        <v>2925</v>
      </c>
      <c r="U136" t="s">
        <v>2926</v>
      </c>
      <c r="V136" t="s">
        <v>2315</v>
      </c>
      <c r="W136" t="s">
        <v>2927</v>
      </c>
      <c r="X136" t="s">
        <v>2928</v>
      </c>
      <c r="Y136" t="s">
        <v>2929</v>
      </c>
      <c r="Z136" t="s">
        <v>2930</v>
      </c>
      <c r="AA136" t="s">
        <v>2931</v>
      </c>
      <c r="AB136" t="s">
        <v>2932</v>
      </c>
      <c r="AC136" t="s">
        <v>2933</v>
      </c>
      <c r="AD136" t="s">
        <v>2934</v>
      </c>
      <c r="AE136" t="s">
        <v>74</v>
      </c>
      <c r="AF136" t="s">
        <v>74</v>
      </c>
      <c r="AG136">
        <v>108</v>
      </c>
      <c r="AH136">
        <v>8</v>
      </c>
      <c r="AI136">
        <v>8</v>
      </c>
      <c r="AJ136">
        <v>0</v>
      </c>
      <c r="AK136">
        <v>9</v>
      </c>
      <c r="AL136" t="s">
        <v>120</v>
      </c>
      <c r="AM136" t="s">
        <v>121</v>
      </c>
      <c r="AN136" t="s">
        <v>1304</v>
      </c>
      <c r="AO136" t="s">
        <v>2325</v>
      </c>
      <c r="AP136" t="s">
        <v>2326</v>
      </c>
      <c r="AQ136" t="s">
        <v>74</v>
      </c>
      <c r="AR136" t="s">
        <v>2327</v>
      </c>
      <c r="AS136" t="s">
        <v>2328</v>
      </c>
      <c r="AT136" t="s">
        <v>1309</v>
      </c>
      <c r="AU136">
        <v>2015</v>
      </c>
      <c r="AV136">
        <v>77</v>
      </c>
      <c r="AW136">
        <v>5</v>
      </c>
      <c r="AX136" t="s">
        <v>74</v>
      </c>
      <c r="AY136" t="s">
        <v>74</v>
      </c>
      <c r="AZ136" t="s">
        <v>74</v>
      </c>
      <c r="BA136" t="s">
        <v>74</v>
      </c>
      <c r="BB136" t="s">
        <v>74</v>
      </c>
      <c r="BC136" t="s">
        <v>74</v>
      </c>
      <c r="BD136">
        <v>37</v>
      </c>
      <c r="BE136" t="s">
        <v>2935</v>
      </c>
      <c r="BF136" t="str">
        <f>HYPERLINK("http://dx.doi.org/10.1007/s00445-015-0922-2","http://dx.doi.org/10.1007/s00445-015-0922-2")</f>
        <v>http://dx.doi.org/10.1007/s00445-015-0922-2</v>
      </c>
      <c r="BG136" t="s">
        <v>74</v>
      </c>
      <c r="BH136" t="s">
        <v>74</v>
      </c>
      <c r="BI136">
        <v>22</v>
      </c>
      <c r="BJ136" t="s">
        <v>219</v>
      </c>
      <c r="BK136" t="s">
        <v>100</v>
      </c>
      <c r="BL136" t="s">
        <v>220</v>
      </c>
      <c r="BM136" t="s">
        <v>2330</v>
      </c>
      <c r="BN136" t="s">
        <v>74</v>
      </c>
      <c r="BO136" t="s">
        <v>74</v>
      </c>
      <c r="BP136" t="s">
        <v>74</v>
      </c>
      <c r="BQ136" t="s">
        <v>74</v>
      </c>
      <c r="BR136" t="s">
        <v>104</v>
      </c>
      <c r="BS136" t="s">
        <v>2936</v>
      </c>
      <c r="BT136" t="str">
        <f>HYPERLINK("https%3A%2F%2Fwww.webofscience.com%2Fwos%2Fwoscc%2Ffull-record%2FWOS:000354191900004","View Full Record in Web of Science")</f>
        <v>View Full Record in Web of Science</v>
      </c>
    </row>
    <row r="137" spans="1:72" x14ac:dyDescent="0.15">
      <c r="A137" t="s">
        <v>72</v>
      </c>
      <c r="B137" t="s">
        <v>2937</v>
      </c>
      <c r="C137" t="s">
        <v>74</v>
      </c>
      <c r="D137" t="s">
        <v>74</v>
      </c>
      <c r="E137" t="s">
        <v>74</v>
      </c>
      <c r="F137" t="s">
        <v>2938</v>
      </c>
      <c r="G137" t="s">
        <v>74</v>
      </c>
      <c r="H137" t="s">
        <v>74</v>
      </c>
      <c r="I137" t="s">
        <v>2939</v>
      </c>
      <c r="J137" t="s">
        <v>2940</v>
      </c>
      <c r="K137" t="s">
        <v>74</v>
      </c>
      <c r="L137" t="s">
        <v>74</v>
      </c>
      <c r="M137" t="s">
        <v>78</v>
      </c>
      <c r="N137" t="s">
        <v>79</v>
      </c>
      <c r="O137" t="s">
        <v>74</v>
      </c>
      <c r="P137" t="s">
        <v>74</v>
      </c>
      <c r="Q137" t="s">
        <v>74</v>
      </c>
      <c r="R137" t="s">
        <v>74</v>
      </c>
      <c r="S137" t="s">
        <v>74</v>
      </c>
      <c r="T137" t="s">
        <v>2941</v>
      </c>
      <c r="U137" t="s">
        <v>2942</v>
      </c>
      <c r="V137" t="s">
        <v>2943</v>
      </c>
      <c r="W137" t="s">
        <v>2944</v>
      </c>
      <c r="X137" t="s">
        <v>2945</v>
      </c>
      <c r="Y137" t="s">
        <v>2946</v>
      </c>
      <c r="Z137" t="s">
        <v>2947</v>
      </c>
      <c r="AA137" t="s">
        <v>2948</v>
      </c>
      <c r="AB137" t="s">
        <v>2949</v>
      </c>
      <c r="AC137" t="s">
        <v>2950</v>
      </c>
      <c r="AD137" t="s">
        <v>2951</v>
      </c>
      <c r="AE137" t="s">
        <v>2952</v>
      </c>
      <c r="AF137" t="s">
        <v>74</v>
      </c>
      <c r="AG137">
        <v>46</v>
      </c>
      <c r="AH137">
        <v>47</v>
      </c>
      <c r="AI137">
        <v>54</v>
      </c>
      <c r="AJ137">
        <v>3</v>
      </c>
      <c r="AK137">
        <v>136</v>
      </c>
      <c r="AL137" t="s">
        <v>786</v>
      </c>
      <c r="AM137" t="s">
        <v>787</v>
      </c>
      <c r="AN137" t="s">
        <v>788</v>
      </c>
      <c r="AO137" t="s">
        <v>2953</v>
      </c>
      <c r="AP137" t="s">
        <v>2954</v>
      </c>
      <c r="AQ137" t="s">
        <v>74</v>
      </c>
      <c r="AR137" t="s">
        <v>2940</v>
      </c>
      <c r="AS137" t="s">
        <v>2955</v>
      </c>
      <c r="AT137" t="s">
        <v>1309</v>
      </c>
      <c r="AU137">
        <v>2015</v>
      </c>
      <c r="AV137">
        <v>126</v>
      </c>
      <c r="AW137" t="s">
        <v>74</v>
      </c>
      <c r="AX137" t="s">
        <v>74</v>
      </c>
      <c r="AY137" t="s">
        <v>74</v>
      </c>
      <c r="AZ137" t="s">
        <v>74</v>
      </c>
      <c r="BA137" t="s">
        <v>74</v>
      </c>
      <c r="BB137">
        <v>40</v>
      </c>
      <c r="BC137">
        <v>46</v>
      </c>
      <c r="BD137" t="s">
        <v>74</v>
      </c>
      <c r="BE137" t="s">
        <v>2956</v>
      </c>
      <c r="BF137" t="str">
        <f>HYPERLINK("http://dx.doi.org/10.1016/j.chemosphere.2015.01.043","http://dx.doi.org/10.1016/j.chemosphere.2015.01.043")</f>
        <v>http://dx.doi.org/10.1016/j.chemosphere.2015.01.043</v>
      </c>
      <c r="BG137" t="s">
        <v>74</v>
      </c>
      <c r="BH137" t="s">
        <v>74</v>
      </c>
      <c r="BI137">
        <v>7</v>
      </c>
      <c r="BJ137" t="s">
        <v>2957</v>
      </c>
      <c r="BK137" t="s">
        <v>100</v>
      </c>
      <c r="BL137" t="s">
        <v>1048</v>
      </c>
      <c r="BM137" t="s">
        <v>2958</v>
      </c>
      <c r="BN137">
        <v>25697952</v>
      </c>
      <c r="BO137" t="s">
        <v>74</v>
      </c>
      <c r="BP137" t="s">
        <v>74</v>
      </c>
      <c r="BQ137" t="s">
        <v>74</v>
      </c>
      <c r="BR137" t="s">
        <v>104</v>
      </c>
      <c r="BS137" t="s">
        <v>2959</v>
      </c>
      <c r="BT137" t="str">
        <f>HYPERLINK("https%3A%2F%2Fwww.webofscience.com%2Fwos%2Fwoscc%2Ffull-record%2FWOS:000351979800006","View Full Record in Web of Science")</f>
        <v>View Full Record in Web of Science</v>
      </c>
    </row>
    <row r="138" spans="1:72" x14ac:dyDescent="0.15">
      <c r="A138" t="s">
        <v>72</v>
      </c>
      <c r="B138" t="s">
        <v>2960</v>
      </c>
      <c r="C138" t="s">
        <v>74</v>
      </c>
      <c r="D138" t="s">
        <v>74</v>
      </c>
      <c r="E138" t="s">
        <v>74</v>
      </c>
      <c r="F138" t="s">
        <v>2961</v>
      </c>
      <c r="G138" t="s">
        <v>74</v>
      </c>
      <c r="H138" t="s">
        <v>74</v>
      </c>
      <c r="I138" t="s">
        <v>2962</v>
      </c>
      <c r="J138" t="s">
        <v>2963</v>
      </c>
      <c r="K138" t="s">
        <v>74</v>
      </c>
      <c r="L138" t="s">
        <v>74</v>
      </c>
      <c r="M138" t="s">
        <v>78</v>
      </c>
      <c r="N138" t="s">
        <v>79</v>
      </c>
      <c r="O138" t="s">
        <v>74</v>
      </c>
      <c r="P138" t="s">
        <v>74</v>
      </c>
      <c r="Q138" t="s">
        <v>74</v>
      </c>
      <c r="R138" t="s">
        <v>74</v>
      </c>
      <c r="S138" t="s">
        <v>74</v>
      </c>
      <c r="T138" t="s">
        <v>2964</v>
      </c>
      <c r="U138" t="s">
        <v>2965</v>
      </c>
      <c r="V138" t="s">
        <v>2966</v>
      </c>
      <c r="W138" t="s">
        <v>2967</v>
      </c>
      <c r="X138" t="s">
        <v>2968</v>
      </c>
      <c r="Y138" t="s">
        <v>2969</v>
      </c>
      <c r="Z138" t="s">
        <v>2970</v>
      </c>
      <c r="AA138" t="s">
        <v>74</v>
      </c>
      <c r="AB138" t="s">
        <v>2971</v>
      </c>
      <c r="AC138" t="s">
        <v>2972</v>
      </c>
      <c r="AD138" t="s">
        <v>2973</v>
      </c>
      <c r="AE138" t="s">
        <v>2974</v>
      </c>
      <c r="AF138" t="s">
        <v>74</v>
      </c>
      <c r="AG138">
        <v>56</v>
      </c>
      <c r="AH138">
        <v>4</v>
      </c>
      <c r="AI138">
        <v>4</v>
      </c>
      <c r="AJ138">
        <v>5</v>
      </c>
      <c r="AK138">
        <v>80</v>
      </c>
      <c r="AL138" t="s">
        <v>1039</v>
      </c>
      <c r="AM138" t="s">
        <v>816</v>
      </c>
      <c r="AN138" t="s">
        <v>1040</v>
      </c>
      <c r="AO138" t="s">
        <v>2975</v>
      </c>
      <c r="AP138" t="s">
        <v>2976</v>
      </c>
      <c r="AQ138" t="s">
        <v>74</v>
      </c>
      <c r="AR138" t="s">
        <v>2977</v>
      </c>
      <c r="AS138" t="s">
        <v>2978</v>
      </c>
      <c r="AT138" t="s">
        <v>1309</v>
      </c>
      <c r="AU138">
        <v>2015</v>
      </c>
      <c r="AV138">
        <v>52</v>
      </c>
      <c r="AW138" t="s">
        <v>74</v>
      </c>
      <c r="AX138" t="s">
        <v>74</v>
      </c>
      <c r="AY138" t="s">
        <v>74</v>
      </c>
      <c r="AZ138" t="s">
        <v>74</v>
      </c>
      <c r="BA138" t="s">
        <v>74</v>
      </c>
      <c r="BB138">
        <v>371</v>
      </c>
      <c r="BC138">
        <v>378</v>
      </c>
      <c r="BD138" t="s">
        <v>74</v>
      </c>
      <c r="BE138" t="s">
        <v>2979</v>
      </c>
      <c r="BF138" t="str">
        <f>HYPERLINK("http://dx.doi.org/10.1016/j.ecolind.2014.12.004","http://dx.doi.org/10.1016/j.ecolind.2014.12.004")</f>
        <v>http://dx.doi.org/10.1016/j.ecolind.2014.12.004</v>
      </c>
      <c r="BG138" t="s">
        <v>74</v>
      </c>
      <c r="BH138" t="s">
        <v>74</v>
      </c>
      <c r="BI138">
        <v>8</v>
      </c>
      <c r="BJ138" t="s">
        <v>2980</v>
      </c>
      <c r="BK138" t="s">
        <v>100</v>
      </c>
      <c r="BL138" t="s">
        <v>154</v>
      </c>
      <c r="BM138" t="s">
        <v>2981</v>
      </c>
      <c r="BN138" t="s">
        <v>74</v>
      </c>
      <c r="BO138" t="s">
        <v>74</v>
      </c>
      <c r="BP138" t="s">
        <v>74</v>
      </c>
      <c r="BQ138" t="s">
        <v>74</v>
      </c>
      <c r="BR138" t="s">
        <v>104</v>
      </c>
      <c r="BS138" t="s">
        <v>2982</v>
      </c>
      <c r="BT138" t="str">
        <f>HYPERLINK("https%3A%2F%2Fwww.webofscience.com%2Fwos%2Fwoscc%2Ffull-record%2FWOS:000350918600039","View Full Record in Web of Science")</f>
        <v>View Full Record in Web of Science</v>
      </c>
    </row>
    <row r="139" spans="1:72" x14ac:dyDescent="0.15">
      <c r="A139" t="s">
        <v>72</v>
      </c>
      <c r="B139" t="s">
        <v>2983</v>
      </c>
      <c r="C139" t="s">
        <v>74</v>
      </c>
      <c r="D139" t="s">
        <v>74</v>
      </c>
      <c r="E139" t="s">
        <v>74</v>
      </c>
      <c r="F139" t="s">
        <v>2984</v>
      </c>
      <c r="G139" t="s">
        <v>74</v>
      </c>
      <c r="H139" t="s">
        <v>74</v>
      </c>
      <c r="I139" t="s">
        <v>2985</v>
      </c>
      <c r="J139" t="s">
        <v>2986</v>
      </c>
      <c r="K139" t="s">
        <v>74</v>
      </c>
      <c r="L139" t="s">
        <v>74</v>
      </c>
      <c r="M139" t="s">
        <v>78</v>
      </c>
      <c r="N139" t="s">
        <v>79</v>
      </c>
      <c r="O139" t="s">
        <v>74</v>
      </c>
      <c r="P139" t="s">
        <v>74</v>
      </c>
      <c r="Q139" t="s">
        <v>74</v>
      </c>
      <c r="R139" t="s">
        <v>74</v>
      </c>
      <c r="S139" t="s">
        <v>74</v>
      </c>
      <c r="T139" t="s">
        <v>74</v>
      </c>
      <c r="U139" t="s">
        <v>2987</v>
      </c>
      <c r="V139" t="s">
        <v>2988</v>
      </c>
      <c r="W139" t="s">
        <v>2989</v>
      </c>
      <c r="X139" t="s">
        <v>2990</v>
      </c>
      <c r="Y139" t="s">
        <v>2991</v>
      </c>
      <c r="Z139" t="s">
        <v>2992</v>
      </c>
      <c r="AA139" t="s">
        <v>2993</v>
      </c>
      <c r="AB139" t="s">
        <v>2994</v>
      </c>
      <c r="AC139" t="s">
        <v>2995</v>
      </c>
      <c r="AD139" t="s">
        <v>2996</v>
      </c>
      <c r="AE139" t="s">
        <v>2997</v>
      </c>
      <c r="AF139" t="s">
        <v>74</v>
      </c>
      <c r="AG139">
        <v>57</v>
      </c>
      <c r="AH139">
        <v>34</v>
      </c>
      <c r="AI139">
        <v>36</v>
      </c>
      <c r="AJ139">
        <v>0</v>
      </c>
      <c r="AK139">
        <v>33</v>
      </c>
      <c r="AL139" t="s">
        <v>91</v>
      </c>
      <c r="AM139" t="s">
        <v>92</v>
      </c>
      <c r="AN139" t="s">
        <v>93</v>
      </c>
      <c r="AO139" t="s">
        <v>2998</v>
      </c>
      <c r="AP139" t="s">
        <v>2999</v>
      </c>
      <c r="AQ139" t="s">
        <v>74</v>
      </c>
      <c r="AR139" t="s">
        <v>3000</v>
      </c>
      <c r="AS139" t="s">
        <v>3001</v>
      </c>
      <c r="AT139" t="s">
        <v>1309</v>
      </c>
      <c r="AU139">
        <v>2015</v>
      </c>
      <c r="AV139">
        <v>17</v>
      </c>
      <c r="AW139">
        <v>5</v>
      </c>
      <c r="AX139" t="s">
        <v>74</v>
      </c>
      <c r="AY139" t="s">
        <v>74</v>
      </c>
      <c r="AZ139" t="s">
        <v>74</v>
      </c>
      <c r="BA139" t="s">
        <v>74</v>
      </c>
      <c r="BB139">
        <v>1510</v>
      </c>
      <c r="BC139">
        <v>1519</v>
      </c>
      <c r="BD139" t="s">
        <v>74</v>
      </c>
      <c r="BE139" t="s">
        <v>3002</v>
      </c>
      <c r="BF139" t="str">
        <f>HYPERLINK("http://dx.doi.org/10.1111/1462-2920.12571","http://dx.doi.org/10.1111/1462-2920.12571")</f>
        <v>http://dx.doi.org/10.1111/1462-2920.12571</v>
      </c>
      <c r="BG139" t="s">
        <v>74</v>
      </c>
      <c r="BH139" t="s">
        <v>74</v>
      </c>
      <c r="BI139">
        <v>10</v>
      </c>
      <c r="BJ139" t="s">
        <v>483</v>
      </c>
      <c r="BK139" t="s">
        <v>100</v>
      </c>
      <c r="BL139" t="s">
        <v>483</v>
      </c>
      <c r="BM139" t="s">
        <v>3003</v>
      </c>
      <c r="BN139">
        <v>25041758</v>
      </c>
      <c r="BO139" t="s">
        <v>1542</v>
      </c>
      <c r="BP139" t="s">
        <v>74</v>
      </c>
      <c r="BQ139" t="s">
        <v>74</v>
      </c>
      <c r="BR139" t="s">
        <v>104</v>
      </c>
      <c r="BS139" t="s">
        <v>3004</v>
      </c>
      <c r="BT139" t="str">
        <f>HYPERLINK("https%3A%2F%2Fwww.webofscience.com%2Fwos%2Fwoscc%2Ffull-record%2FWOS:000353507100004","View Full Record in Web of Science")</f>
        <v>View Full Record in Web of Science</v>
      </c>
    </row>
    <row r="140" spans="1:72" x14ac:dyDescent="0.15">
      <c r="A140" t="s">
        <v>72</v>
      </c>
      <c r="B140" t="s">
        <v>3005</v>
      </c>
      <c r="C140" t="s">
        <v>74</v>
      </c>
      <c r="D140" t="s">
        <v>74</v>
      </c>
      <c r="E140" t="s">
        <v>74</v>
      </c>
      <c r="F140" t="s">
        <v>3006</v>
      </c>
      <c r="G140" t="s">
        <v>74</v>
      </c>
      <c r="H140" t="s">
        <v>74</v>
      </c>
      <c r="I140" t="s">
        <v>3007</v>
      </c>
      <c r="J140" t="s">
        <v>3008</v>
      </c>
      <c r="K140" t="s">
        <v>74</v>
      </c>
      <c r="L140" t="s">
        <v>74</v>
      </c>
      <c r="M140" t="s">
        <v>78</v>
      </c>
      <c r="N140" t="s">
        <v>79</v>
      </c>
      <c r="O140" t="s">
        <v>74</v>
      </c>
      <c r="P140" t="s">
        <v>74</v>
      </c>
      <c r="Q140" t="s">
        <v>74</v>
      </c>
      <c r="R140" t="s">
        <v>74</v>
      </c>
      <c r="S140" t="s">
        <v>74</v>
      </c>
      <c r="T140" t="s">
        <v>3009</v>
      </c>
      <c r="U140" t="s">
        <v>3010</v>
      </c>
      <c r="V140" t="s">
        <v>3011</v>
      </c>
      <c r="W140" t="s">
        <v>3012</v>
      </c>
      <c r="X140" t="s">
        <v>3013</v>
      </c>
      <c r="Y140" t="s">
        <v>3014</v>
      </c>
      <c r="Z140" t="s">
        <v>3015</v>
      </c>
      <c r="AA140" t="s">
        <v>3016</v>
      </c>
      <c r="AB140" t="s">
        <v>3017</v>
      </c>
      <c r="AC140" t="s">
        <v>3018</v>
      </c>
      <c r="AD140" t="s">
        <v>3019</v>
      </c>
      <c r="AE140" t="s">
        <v>3020</v>
      </c>
      <c r="AF140" t="s">
        <v>74</v>
      </c>
      <c r="AG140">
        <v>65</v>
      </c>
      <c r="AH140">
        <v>66</v>
      </c>
      <c r="AI140">
        <v>74</v>
      </c>
      <c r="AJ140">
        <v>4</v>
      </c>
      <c r="AK140">
        <v>58</v>
      </c>
      <c r="AL140" t="s">
        <v>3021</v>
      </c>
      <c r="AM140" t="s">
        <v>3022</v>
      </c>
      <c r="AN140" t="s">
        <v>3023</v>
      </c>
      <c r="AO140" t="s">
        <v>3024</v>
      </c>
      <c r="AP140" t="s">
        <v>3025</v>
      </c>
      <c r="AQ140" t="s">
        <v>74</v>
      </c>
      <c r="AR140" t="s">
        <v>3008</v>
      </c>
      <c r="AS140" t="s">
        <v>3026</v>
      </c>
      <c r="AT140" t="s">
        <v>1309</v>
      </c>
      <c r="AU140">
        <v>2015</v>
      </c>
      <c r="AV140">
        <v>19</v>
      </c>
      <c r="AW140">
        <v>3</v>
      </c>
      <c r="AX140" t="s">
        <v>74</v>
      </c>
      <c r="AY140" t="s">
        <v>74</v>
      </c>
      <c r="AZ140" t="s">
        <v>74</v>
      </c>
      <c r="BA140" t="s">
        <v>74</v>
      </c>
      <c r="BB140">
        <v>585</v>
      </c>
      <c r="BC140">
        <v>596</v>
      </c>
      <c r="BD140" t="s">
        <v>74</v>
      </c>
      <c r="BE140" t="s">
        <v>3027</v>
      </c>
      <c r="BF140" t="str">
        <f>HYPERLINK("http://dx.doi.org/10.1007/s00792-015-0741-6","http://dx.doi.org/10.1007/s00792-015-0741-6")</f>
        <v>http://dx.doi.org/10.1007/s00792-015-0741-6</v>
      </c>
      <c r="BG140" t="s">
        <v>74</v>
      </c>
      <c r="BH140" t="s">
        <v>74</v>
      </c>
      <c r="BI140">
        <v>12</v>
      </c>
      <c r="BJ140" t="s">
        <v>3028</v>
      </c>
      <c r="BK140" t="s">
        <v>100</v>
      </c>
      <c r="BL140" t="s">
        <v>3028</v>
      </c>
      <c r="BM140" t="s">
        <v>3029</v>
      </c>
      <c r="BN140">
        <v>25809294</v>
      </c>
      <c r="BO140" t="s">
        <v>74</v>
      </c>
      <c r="BP140" t="s">
        <v>74</v>
      </c>
      <c r="BQ140" t="s">
        <v>74</v>
      </c>
      <c r="BR140" t="s">
        <v>104</v>
      </c>
      <c r="BS140" t="s">
        <v>3030</v>
      </c>
      <c r="BT140" t="str">
        <f>HYPERLINK("https%3A%2F%2Fwww.webofscience.com%2Fwos%2Fwoscc%2Ffull-record%2FWOS:000353294100004","View Full Record in Web of Science")</f>
        <v>View Full Record in Web of Science</v>
      </c>
    </row>
    <row r="141" spans="1:72" x14ac:dyDescent="0.15">
      <c r="A141" t="s">
        <v>72</v>
      </c>
      <c r="B141" t="s">
        <v>3031</v>
      </c>
      <c r="C141" t="s">
        <v>74</v>
      </c>
      <c r="D141" t="s">
        <v>74</v>
      </c>
      <c r="E141" t="s">
        <v>74</v>
      </c>
      <c r="F141" t="s">
        <v>3032</v>
      </c>
      <c r="G141" t="s">
        <v>74</v>
      </c>
      <c r="H141" t="s">
        <v>74</v>
      </c>
      <c r="I141" t="s">
        <v>3033</v>
      </c>
      <c r="J141" t="s">
        <v>3034</v>
      </c>
      <c r="K141" t="s">
        <v>74</v>
      </c>
      <c r="L141" t="s">
        <v>74</v>
      </c>
      <c r="M141" t="s">
        <v>78</v>
      </c>
      <c r="N141" t="s">
        <v>79</v>
      </c>
      <c r="O141" t="s">
        <v>74</v>
      </c>
      <c r="P141" t="s">
        <v>74</v>
      </c>
      <c r="Q141" t="s">
        <v>74</v>
      </c>
      <c r="R141" t="s">
        <v>74</v>
      </c>
      <c r="S141" t="s">
        <v>74</v>
      </c>
      <c r="T141" t="s">
        <v>74</v>
      </c>
      <c r="U141" t="s">
        <v>74</v>
      </c>
      <c r="V141" t="s">
        <v>3035</v>
      </c>
      <c r="W141" t="s">
        <v>3036</v>
      </c>
      <c r="X141" t="s">
        <v>3037</v>
      </c>
      <c r="Y141" t="s">
        <v>3038</v>
      </c>
      <c r="Z141" t="s">
        <v>3039</v>
      </c>
      <c r="AA141" t="s">
        <v>3040</v>
      </c>
      <c r="AB141" t="s">
        <v>3041</v>
      </c>
      <c r="AC141" t="s">
        <v>3042</v>
      </c>
      <c r="AD141" t="s">
        <v>3043</v>
      </c>
      <c r="AE141" t="s">
        <v>3044</v>
      </c>
      <c r="AF141" t="s">
        <v>74</v>
      </c>
      <c r="AG141">
        <v>8</v>
      </c>
      <c r="AH141">
        <v>1</v>
      </c>
      <c r="AI141">
        <v>1</v>
      </c>
      <c r="AJ141">
        <v>1</v>
      </c>
      <c r="AK141">
        <v>1</v>
      </c>
      <c r="AL141" t="s">
        <v>3045</v>
      </c>
      <c r="AM141" t="s">
        <v>267</v>
      </c>
      <c r="AN141" t="s">
        <v>3046</v>
      </c>
      <c r="AO141" t="s">
        <v>74</v>
      </c>
      <c r="AP141" t="s">
        <v>3047</v>
      </c>
      <c r="AQ141" t="s">
        <v>74</v>
      </c>
      <c r="AR141" t="s">
        <v>3034</v>
      </c>
      <c r="AS141" t="s">
        <v>3048</v>
      </c>
      <c r="AT141" t="s">
        <v>1418</v>
      </c>
      <c r="AU141">
        <v>2015</v>
      </c>
      <c r="AV141">
        <v>3</v>
      </c>
      <c r="AW141">
        <v>3</v>
      </c>
      <c r="AX141" t="s">
        <v>74</v>
      </c>
      <c r="AY141" t="s">
        <v>74</v>
      </c>
      <c r="AZ141" t="s">
        <v>74</v>
      </c>
      <c r="BA141" t="s">
        <v>74</v>
      </c>
      <c r="BB141" t="s">
        <v>74</v>
      </c>
      <c r="BC141" t="s">
        <v>74</v>
      </c>
      <c r="BD141" t="s">
        <v>3049</v>
      </c>
      <c r="BE141" t="s">
        <v>3050</v>
      </c>
      <c r="BF141" t="str">
        <f>HYPERLINK("http://dx.doi.org/10.1128/genomeA.00436-15","http://dx.doi.org/10.1128/genomeA.00436-15")</f>
        <v>http://dx.doi.org/10.1128/genomeA.00436-15</v>
      </c>
      <c r="BG141" t="s">
        <v>74</v>
      </c>
      <c r="BH141" t="s">
        <v>74</v>
      </c>
      <c r="BI141">
        <v>2</v>
      </c>
      <c r="BJ141" t="s">
        <v>483</v>
      </c>
      <c r="BK141" t="s">
        <v>888</v>
      </c>
      <c r="BL141" t="s">
        <v>483</v>
      </c>
      <c r="BM141" t="s">
        <v>3051</v>
      </c>
      <c r="BN141">
        <v>26021916</v>
      </c>
      <c r="BO141" t="s">
        <v>485</v>
      </c>
      <c r="BP141" t="s">
        <v>74</v>
      </c>
      <c r="BQ141" t="s">
        <v>74</v>
      </c>
      <c r="BR141" t="s">
        <v>104</v>
      </c>
      <c r="BS141" t="s">
        <v>3052</v>
      </c>
      <c r="BT141" t="str">
        <f>HYPERLINK("https%3A%2F%2Fwww.webofscience.com%2Fwos%2Fwoscc%2Ffull-record%2FWOS:000460631200061","View Full Record in Web of Science")</f>
        <v>View Full Record in Web of Science</v>
      </c>
    </row>
    <row r="142" spans="1:72" x14ac:dyDescent="0.15">
      <c r="A142" t="s">
        <v>72</v>
      </c>
      <c r="B142" t="s">
        <v>3053</v>
      </c>
      <c r="C142" t="s">
        <v>74</v>
      </c>
      <c r="D142" t="s">
        <v>74</v>
      </c>
      <c r="E142" t="s">
        <v>74</v>
      </c>
      <c r="F142" t="s">
        <v>3054</v>
      </c>
      <c r="G142" t="s">
        <v>74</v>
      </c>
      <c r="H142" t="s">
        <v>74</v>
      </c>
      <c r="I142" t="s">
        <v>3055</v>
      </c>
      <c r="J142" t="s">
        <v>135</v>
      </c>
      <c r="K142" t="s">
        <v>74</v>
      </c>
      <c r="L142" t="s">
        <v>74</v>
      </c>
      <c r="M142" t="s">
        <v>78</v>
      </c>
      <c r="N142" t="s">
        <v>79</v>
      </c>
      <c r="O142" t="s">
        <v>74</v>
      </c>
      <c r="P142" t="s">
        <v>74</v>
      </c>
      <c r="Q142" t="s">
        <v>74</v>
      </c>
      <c r="R142" t="s">
        <v>74</v>
      </c>
      <c r="S142" t="s">
        <v>74</v>
      </c>
      <c r="T142" t="s">
        <v>3056</v>
      </c>
      <c r="U142" t="s">
        <v>3057</v>
      </c>
      <c r="V142" t="s">
        <v>3058</v>
      </c>
      <c r="W142" t="s">
        <v>3059</v>
      </c>
      <c r="X142" t="s">
        <v>3060</v>
      </c>
      <c r="Y142" t="s">
        <v>3061</v>
      </c>
      <c r="Z142" t="s">
        <v>3062</v>
      </c>
      <c r="AA142" t="s">
        <v>3063</v>
      </c>
      <c r="AB142" t="s">
        <v>3064</v>
      </c>
      <c r="AC142" t="s">
        <v>3065</v>
      </c>
      <c r="AD142" t="s">
        <v>3066</v>
      </c>
      <c r="AE142" t="s">
        <v>3067</v>
      </c>
      <c r="AF142" t="s">
        <v>74</v>
      </c>
      <c r="AG142">
        <v>33</v>
      </c>
      <c r="AH142">
        <v>39</v>
      </c>
      <c r="AI142">
        <v>42</v>
      </c>
      <c r="AJ142">
        <v>0</v>
      </c>
      <c r="AK142">
        <v>75</v>
      </c>
      <c r="AL142" t="s">
        <v>1508</v>
      </c>
      <c r="AM142" t="s">
        <v>92</v>
      </c>
      <c r="AN142" t="s">
        <v>93</v>
      </c>
      <c r="AO142" t="s">
        <v>148</v>
      </c>
      <c r="AP142" t="s">
        <v>149</v>
      </c>
      <c r="AQ142" t="s">
        <v>74</v>
      </c>
      <c r="AR142" t="s">
        <v>150</v>
      </c>
      <c r="AS142" t="s">
        <v>151</v>
      </c>
      <c r="AT142" t="s">
        <v>1309</v>
      </c>
      <c r="AU142">
        <v>2015</v>
      </c>
      <c r="AV142">
        <v>21</v>
      </c>
      <c r="AW142">
        <v>5</v>
      </c>
      <c r="AX142" t="s">
        <v>74</v>
      </c>
      <c r="AY142" t="s">
        <v>74</v>
      </c>
      <c r="AZ142" t="s">
        <v>74</v>
      </c>
      <c r="BA142" t="s">
        <v>74</v>
      </c>
      <c r="BB142">
        <v>1907</v>
      </c>
      <c r="BC142">
        <v>1913</v>
      </c>
      <c r="BD142" t="s">
        <v>74</v>
      </c>
      <c r="BE142" t="s">
        <v>3068</v>
      </c>
      <c r="BF142" t="str">
        <f>HYPERLINK("http://dx.doi.org/10.1111/gcb.12841","http://dx.doi.org/10.1111/gcb.12841")</f>
        <v>http://dx.doi.org/10.1111/gcb.12841</v>
      </c>
      <c r="BG142" t="s">
        <v>74</v>
      </c>
      <c r="BH142" t="s">
        <v>74</v>
      </c>
      <c r="BI142">
        <v>7</v>
      </c>
      <c r="BJ142" t="s">
        <v>153</v>
      </c>
      <c r="BK142" t="s">
        <v>100</v>
      </c>
      <c r="BL142" t="s">
        <v>154</v>
      </c>
      <c r="BM142" t="s">
        <v>3069</v>
      </c>
      <c r="BN142">
        <v>25626420</v>
      </c>
      <c r="BO142" t="s">
        <v>3070</v>
      </c>
      <c r="BP142" t="s">
        <v>74</v>
      </c>
      <c r="BQ142" t="s">
        <v>74</v>
      </c>
      <c r="BR142" t="s">
        <v>104</v>
      </c>
      <c r="BS142" t="s">
        <v>3071</v>
      </c>
      <c r="BT142" t="str">
        <f>HYPERLINK("https%3A%2F%2Fwww.webofscience.com%2Fwos%2Fwoscc%2Ffull-record%2FWOS:000353220500013","View Full Record in Web of Science")</f>
        <v>View Full Record in Web of Science</v>
      </c>
    </row>
    <row r="143" spans="1:72" x14ac:dyDescent="0.15">
      <c r="A143" t="s">
        <v>72</v>
      </c>
      <c r="B143" t="s">
        <v>3072</v>
      </c>
      <c r="C143" t="s">
        <v>74</v>
      </c>
      <c r="D143" t="s">
        <v>74</v>
      </c>
      <c r="E143" t="s">
        <v>74</v>
      </c>
      <c r="F143" t="s">
        <v>3073</v>
      </c>
      <c r="G143" t="s">
        <v>74</v>
      </c>
      <c r="H143" t="s">
        <v>74</v>
      </c>
      <c r="I143" t="s">
        <v>3074</v>
      </c>
      <c r="J143" t="s">
        <v>3075</v>
      </c>
      <c r="K143" t="s">
        <v>74</v>
      </c>
      <c r="L143" t="s">
        <v>74</v>
      </c>
      <c r="M143" t="s">
        <v>78</v>
      </c>
      <c r="N143" t="s">
        <v>79</v>
      </c>
      <c r="O143" t="s">
        <v>74</v>
      </c>
      <c r="P143" t="s">
        <v>74</v>
      </c>
      <c r="Q143" t="s">
        <v>74</v>
      </c>
      <c r="R143" t="s">
        <v>74</v>
      </c>
      <c r="S143" t="s">
        <v>74</v>
      </c>
      <c r="T143" t="s">
        <v>3076</v>
      </c>
      <c r="U143" t="s">
        <v>3077</v>
      </c>
      <c r="V143" t="s">
        <v>3078</v>
      </c>
      <c r="W143" t="s">
        <v>3079</v>
      </c>
      <c r="X143" t="s">
        <v>3080</v>
      </c>
      <c r="Y143" t="s">
        <v>3081</v>
      </c>
      <c r="Z143" t="s">
        <v>3082</v>
      </c>
      <c r="AA143" t="s">
        <v>3083</v>
      </c>
      <c r="AB143" t="s">
        <v>3084</v>
      </c>
      <c r="AC143" t="s">
        <v>3085</v>
      </c>
      <c r="AD143" t="s">
        <v>3086</v>
      </c>
      <c r="AE143" t="s">
        <v>3087</v>
      </c>
      <c r="AF143" t="s">
        <v>74</v>
      </c>
      <c r="AG143">
        <v>49</v>
      </c>
      <c r="AH143">
        <v>60</v>
      </c>
      <c r="AI143">
        <v>64</v>
      </c>
      <c r="AJ143">
        <v>7</v>
      </c>
      <c r="AK143">
        <v>102</v>
      </c>
      <c r="AL143" t="s">
        <v>91</v>
      </c>
      <c r="AM143" t="s">
        <v>92</v>
      </c>
      <c r="AN143" t="s">
        <v>93</v>
      </c>
      <c r="AO143" t="s">
        <v>3088</v>
      </c>
      <c r="AP143" t="s">
        <v>3089</v>
      </c>
      <c r="AQ143" t="s">
        <v>74</v>
      </c>
      <c r="AR143" t="s">
        <v>3090</v>
      </c>
      <c r="AS143" t="s">
        <v>3091</v>
      </c>
      <c r="AT143" t="s">
        <v>1309</v>
      </c>
      <c r="AU143">
        <v>2015</v>
      </c>
      <c r="AV143">
        <v>24</v>
      </c>
      <c r="AW143">
        <v>5</v>
      </c>
      <c r="AX143" t="s">
        <v>74</v>
      </c>
      <c r="AY143" t="s">
        <v>74</v>
      </c>
      <c r="AZ143" t="s">
        <v>74</v>
      </c>
      <c r="BA143" t="s">
        <v>74</v>
      </c>
      <c r="BB143">
        <v>507</v>
      </c>
      <c r="BC143">
        <v>517</v>
      </c>
      <c r="BD143" t="s">
        <v>74</v>
      </c>
      <c r="BE143" t="s">
        <v>3092</v>
      </c>
      <c r="BF143" t="str">
        <f>HYPERLINK("http://dx.doi.org/10.1111/geb.12281","http://dx.doi.org/10.1111/geb.12281")</f>
        <v>http://dx.doi.org/10.1111/geb.12281</v>
      </c>
      <c r="BG143" t="s">
        <v>74</v>
      </c>
      <c r="BH143" t="s">
        <v>74</v>
      </c>
      <c r="BI143">
        <v>11</v>
      </c>
      <c r="BJ143" t="s">
        <v>196</v>
      </c>
      <c r="BK143" t="s">
        <v>100</v>
      </c>
      <c r="BL143" t="s">
        <v>197</v>
      </c>
      <c r="BM143" t="s">
        <v>3093</v>
      </c>
      <c r="BN143" t="s">
        <v>74</v>
      </c>
      <c r="BO143" t="s">
        <v>3094</v>
      </c>
      <c r="BP143" t="s">
        <v>74</v>
      </c>
      <c r="BQ143" t="s">
        <v>74</v>
      </c>
      <c r="BR143" t="s">
        <v>104</v>
      </c>
      <c r="BS143" t="s">
        <v>3095</v>
      </c>
      <c r="BT143" t="str">
        <f>HYPERLINK("https%3A%2F%2Fwww.webofscience.com%2Fwos%2Fwoscc%2Ffull-record%2FWOS:000352530900001","View Full Record in Web of Science")</f>
        <v>View Full Record in Web of Science</v>
      </c>
    </row>
    <row r="144" spans="1:72" x14ac:dyDescent="0.15">
      <c r="A144" t="s">
        <v>72</v>
      </c>
      <c r="B144" t="s">
        <v>3096</v>
      </c>
      <c r="C144" t="s">
        <v>74</v>
      </c>
      <c r="D144" t="s">
        <v>74</v>
      </c>
      <c r="E144" t="s">
        <v>74</v>
      </c>
      <c r="F144" t="s">
        <v>3097</v>
      </c>
      <c r="G144" t="s">
        <v>74</v>
      </c>
      <c r="H144" t="s">
        <v>74</v>
      </c>
      <c r="I144" t="s">
        <v>3098</v>
      </c>
      <c r="J144" t="s">
        <v>3099</v>
      </c>
      <c r="K144" t="s">
        <v>74</v>
      </c>
      <c r="L144" t="s">
        <v>74</v>
      </c>
      <c r="M144" t="s">
        <v>78</v>
      </c>
      <c r="N144" t="s">
        <v>79</v>
      </c>
      <c r="O144" t="s">
        <v>74</v>
      </c>
      <c r="P144" t="s">
        <v>74</v>
      </c>
      <c r="Q144" t="s">
        <v>74</v>
      </c>
      <c r="R144" t="s">
        <v>74</v>
      </c>
      <c r="S144" t="s">
        <v>74</v>
      </c>
      <c r="T144" t="s">
        <v>3100</v>
      </c>
      <c r="U144" t="s">
        <v>3101</v>
      </c>
      <c r="V144" t="s">
        <v>3102</v>
      </c>
      <c r="W144" t="s">
        <v>3103</v>
      </c>
      <c r="X144" t="s">
        <v>3104</v>
      </c>
      <c r="Y144" t="s">
        <v>3105</v>
      </c>
      <c r="Z144" t="s">
        <v>3106</v>
      </c>
      <c r="AA144" t="s">
        <v>3107</v>
      </c>
      <c r="AB144" t="s">
        <v>3108</v>
      </c>
      <c r="AC144" t="s">
        <v>3109</v>
      </c>
      <c r="AD144" t="s">
        <v>3110</v>
      </c>
      <c r="AE144" t="s">
        <v>3111</v>
      </c>
      <c r="AF144" t="s">
        <v>74</v>
      </c>
      <c r="AG144">
        <v>17</v>
      </c>
      <c r="AH144">
        <v>42</v>
      </c>
      <c r="AI144">
        <v>45</v>
      </c>
      <c r="AJ144">
        <v>0</v>
      </c>
      <c r="AK144">
        <v>36</v>
      </c>
      <c r="AL144" t="s">
        <v>3112</v>
      </c>
      <c r="AM144" t="s">
        <v>3113</v>
      </c>
      <c r="AN144" t="s">
        <v>3114</v>
      </c>
      <c r="AO144" t="s">
        <v>3115</v>
      </c>
      <c r="AP144" t="s">
        <v>3116</v>
      </c>
      <c r="AQ144" t="s">
        <v>74</v>
      </c>
      <c r="AR144" t="s">
        <v>3117</v>
      </c>
      <c r="AS144" t="s">
        <v>3118</v>
      </c>
      <c r="AT144" t="s">
        <v>1309</v>
      </c>
      <c r="AU144">
        <v>2015</v>
      </c>
      <c r="AV144">
        <v>84</v>
      </c>
      <c r="AW144">
        <v>5</v>
      </c>
      <c r="AX144" t="s">
        <v>74</v>
      </c>
      <c r="AY144" t="s">
        <v>74</v>
      </c>
      <c r="AZ144" t="s">
        <v>74</v>
      </c>
      <c r="BA144" t="s">
        <v>74</v>
      </c>
      <c r="BB144">
        <v>349</v>
      </c>
      <c r="BC144">
        <v>354</v>
      </c>
      <c r="BD144" t="s">
        <v>74</v>
      </c>
      <c r="BE144" t="s">
        <v>3119</v>
      </c>
      <c r="BF144" t="str">
        <f>HYPERLINK("http://dx.doi.org/10.1016/j.ijmedinf.2015.01.005","http://dx.doi.org/10.1016/j.ijmedinf.2015.01.005")</f>
        <v>http://dx.doi.org/10.1016/j.ijmedinf.2015.01.005</v>
      </c>
      <c r="BG144" t="s">
        <v>74</v>
      </c>
      <c r="BH144" t="s">
        <v>74</v>
      </c>
      <c r="BI144">
        <v>6</v>
      </c>
      <c r="BJ144" t="s">
        <v>3120</v>
      </c>
      <c r="BK144" t="s">
        <v>100</v>
      </c>
      <c r="BL144" t="s">
        <v>3121</v>
      </c>
      <c r="BM144" t="s">
        <v>3122</v>
      </c>
      <c r="BN144">
        <v>25670229</v>
      </c>
      <c r="BO144" t="s">
        <v>408</v>
      </c>
      <c r="BP144" t="s">
        <v>74</v>
      </c>
      <c r="BQ144" t="s">
        <v>74</v>
      </c>
      <c r="BR144" t="s">
        <v>104</v>
      </c>
      <c r="BS144" t="s">
        <v>3123</v>
      </c>
      <c r="BT144" t="str">
        <f>HYPERLINK("https%3A%2F%2Fwww.webofscience.com%2Fwos%2Fwoscc%2Ffull-record%2FWOS:000350968500007","View Full Record in Web of Science")</f>
        <v>View Full Record in Web of Science</v>
      </c>
    </row>
    <row r="145" spans="1:72" x14ac:dyDescent="0.15">
      <c r="A145" t="s">
        <v>72</v>
      </c>
      <c r="B145" t="s">
        <v>3124</v>
      </c>
      <c r="C145" t="s">
        <v>74</v>
      </c>
      <c r="D145" t="s">
        <v>74</v>
      </c>
      <c r="E145" t="s">
        <v>74</v>
      </c>
      <c r="F145" t="s">
        <v>3125</v>
      </c>
      <c r="G145" t="s">
        <v>74</v>
      </c>
      <c r="H145" t="s">
        <v>74</v>
      </c>
      <c r="I145" t="s">
        <v>3126</v>
      </c>
      <c r="J145" t="s">
        <v>3127</v>
      </c>
      <c r="K145" t="s">
        <v>74</v>
      </c>
      <c r="L145" t="s">
        <v>74</v>
      </c>
      <c r="M145" t="s">
        <v>78</v>
      </c>
      <c r="N145" t="s">
        <v>79</v>
      </c>
      <c r="O145" t="s">
        <v>74</v>
      </c>
      <c r="P145" t="s">
        <v>74</v>
      </c>
      <c r="Q145" t="s">
        <v>74</v>
      </c>
      <c r="R145" t="s">
        <v>74</v>
      </c>
      <c r="S145" t="s">
        <v>74</v>
      </c>
      <c r="T145" t="s">
        <v>74</v>
      </c>
      <c r="U145" t="s">
        <v>3128</v>
      </c>
      <c r="V145" t="s">
        <v>3129</v>
      </c>
      <c r="W145" t="s">
        <v>3130</v>
      </c>
      <c r="X145" t="s">
        <v>3131</v>
      </c>
      <c r="Y145" t="s">
        <v>3132</v>
      </c>
      <c r="Z145" t="s">
        <v>3133</v>
      </c>
      <c r="AA145" t="s">
        <v>3134</v>
      </c>
      <c r="AB145" t="s">
        <v>3135</v>
      </c>
      <c r="AC145" t="s">
        <v>3136</v>
      </c>
      <c r="AD145" t="s">
        <v>3137</v>
      </c>
      <c r="AE145" t="s">
        <v>3138</v>
      </c>
      <c r="AF145" t="s">
        <v>74</v>
      </c>
      <c r="AG145">
        <v>27</v>
      </c>
      <c r="AH145">
        <v>4</v>
      </c>
      <c r="AI145">
        <v>4</v>
      </c>
      <c r="AJ145">
        <v>1</v>
      </c>
      <c r="AK145">
        <v>7</v>
      </c>
      <c r="AL145" t="s">
        <v>3139</v>
      </c>
      <c r="AM145" t="s">
        <v>378</v>
      </c>
      <c r="AN145" t="s">
        <v>3140</v>
      </c>
      <c r="AO145" t="s">
        <v>3141</v>
      </c>
      <c r="AP145" t="s">
        <v>3142</v>
      </c>
      <c r="AQ145" t="s">
        <v>74</v>
      </c>
      <c r="AR145" t="s">
        <v>3143</v>
      </c>
      <c r="AS145" t="s">
        <v>3144</v>
      </c>
      <c r="AT145" t="s">
        <v>1309</v>
      </c>
      <c r="AU145">
        <v>2015</v>
      </c>
      <c r="AV145">
        <v>65</v>
      </c>
      <c r="AW145" t="s">
        <v>74</v>
      </c>
      <c r="AX145">
        <v>5</v>
      </c>
      <c r="AY145" t="s">
        <v>74</v>
      </c>
      <c r="AZ145" t="s">
        <v>74</v>
      </c>
      <c r="BA145" t="s">
        <v>74</v>
      </c>
      <c r="BB145">
        <v>1694</v>
      </c>
      <c r="BC145">
        <v>1699</v>
      </c>
      <c r="BD145" t="s">
        <v>74</v>
      </c>
      <c r="BE145" t="s">
        <v>3145</v>
      </c>
      <c r="BF145" t="str">
        <f>HYPERLINK("http://dx.doi.org/10.1099/ijs.0.000160","http://dx.doi.org/10.1099/ijs.0.000160")</f>
        <v>http://dx.doi.org/10.1099/ijs.0.000160</v>
      </c>
      <c r="BG145" t="s">
        <v>74</v>
      </c>
      <c r="BH145" t="s">
        <v>74</v>
      </c>
      <c r="BI145">
        <v>6</v>
      </c>
      <c r="BJ145" t="s">
        <v>483</v>
      </c>
      <c r="BK145" t="s">
        <v>100</v>
      </c>
      <c r="BL145" t="s">
        <v>483</v>
      </c>
      <c r="BM145" t="s">
        <v>3146</v>
      </c>
      <c r="BN145">
        <v>25736409</v>
      </c>
      <c r="BO145" t="s">
        <v>156</v>
      </c>
      <c r="BP145" t="s">
        <v>74</v>
      </c>
      <c r="BQ145" t="s">
        <v>74</v>
      </c>
      <c r="BR145" t="s">
        <v>104</v>
      </c>
      <c r="BS145" t="s">
        <v>3147</v>
      </c>
      <c r="BT145" t="str">
        <f>HYPERLINK("https%3A%2F%2Fwww.webofscience.com%2Fwos%2Fwoscc%2Ffull-record%2FWOS:000361075900051","View Full Record in Web of Science")</f>
        <v>View Full Record in Web of Science</v>
      </c>
    </row>
    <row r="146" spans="1:72" x14ac:dyDescent="0.15">
      <c r="A146" t="s">
        <v>72</v>
      </c>
      <c r="B146" t="s">
        <v>3148</v>
      </c>
      <c r="C146" t="s">
        <v>74</v>
      </c>
      <c r="D146" t="s">
        <v>74</v>
      </c>
      <c r="E146" t="s">
        <v>74</v>
      </c>
      <c r="F146" t="s">
        <v>3149</v>
      </c>
      <c r="G146" t="s">
        <v>74</v>
      </c>
      <c r="H146" t="s">
        <v>74</v>
      </c>
      <c r="I146" t="s">
        <v>3150</v>
      </c>
      <c r="J146" t="s">
        <v>3151</v>
      </c>
      <c r="K146" t="s">
        <v>74</v>
      </c>
      <c r="L146" t="s">
        <v>74</v>
      </c>
      <c r="M146" t="s">
        <v>78</v>
      </c>
      <c r="N146" t="s">
        <v>79</v>
      </c>
      <c r="O146" t="s">
        <v>74</v>
      </c>
      <c r="P146" t="s">
        <v>74</v>
      </c>
      <c r="Q146" t="s">
        <v>74</v>
      </c>
      <c r="R146" t="s">
        <v>74</v>
      </c>
      <c r="S146" t="s">
        <v>74</v>
      </c>
      <c r="T146" t="s">
        <v>3152</v>
      </c>
      <c r="U146" t="s">
        <v>3153</v>
      </c>
      <c r="V146" t="s">
        <v>3154</v>
      </c>
      <c r="W146" t="s">
        <v>3155</v>
      </c>
      <c r="X146" t="s">
        <v>3156</v>
      </c>
      <c r="Y146" t="s">
        <v>3157</v>
      </c>
      <c r="Z146" t="s">
        <v>3158</v>
      </c>
      <c r="AA146" t="s">
        <v>3159</v>
      </c>
      <c r="AB146" t="s">
        <v>74</v>
      </c>
      <c r="AC146" t="s">
        <v>3160</v>
      </c>
      <c r="AD146" t="s">
        <v>3161</v>
      </c>
      <c r="AE146" t="s">
        <v>3162</v>
      </c>
      <c r="AF146" t="s">
        <v>74</v>
      </c>
      <c r="AG146">
        <v>80</v>
      </c>
      <c r="AH146">
        <v>7</v>
      </c>
      <c r="AI146">
        <v>7</v>
      </c>
      <c r="AJ146">
        <v>5</v>
      </c>
      <c r="AK146">
        <v>52</v>
      </c>
      <c r="AL146" t="s">
        <v>91</v>
      </c>
      <c r="AM146" t="s">
        <v>92</v>
      </c>
      <c r="AN146" t="s">
        <v>93</v>
      </c>
      <c r="AO146" t="s">
        <v>3163</v>
      </c>
      <c r="AP146" t="s">
        <v>3164</v>
      </c>
      <c r="AQ146" t="s">
        <v>74</v>
      </c>
      <c r="AR146" t="s">
        <v>3165</v>
      </c>
      <c r="AS146" t="s">
        <v>3166</v>
      </c>
      <c r="AT146" t="s">
        <v>1309</v>
      </c>
      <c r="AU146">
        <v>2015</v>
      </c>
      <c r="AV146">
        <v>84</v>
      </c>
      <c r="AW146">
        <v>3</v>
      </c>
      <c r="AX146" t="s">
        <v>74</v>
      </c>
      <c r="AY146" t="s">
        <v>74</v>
      </c>
      <c r="AZ146" t="s">
        <v>74</v>
      </c>
      <c r="BA146" t="s">
        <v>74</v>
      </c>
      <c r="BB146">
        <v>755</v>
      </c>
      <c r="BC146">
        <v>764</v>
      </c>
      <c r="BD146" t="s">
        <v>74</v>
      </c>
      <c r="BE146" t="s">
        <v>3167</v>
      </c>
      <c r="BF146" t="str">
        <f>HYPERLINK("http://dx.doi.org/10.1111/1365-2656.12312","http://dx.doi.org/10.1111/1365-2656.12312")</f>
        <v>http://dx.doi.org/10.1111/1365-2656.12312</v>
      </c>
      <c r="BG146" t="s">
        <v>74</v>
      </c>
      <c r="BH146" t="s">
        <v>74</v>
      </c>
      <c r="BI146">
        <v>10</v>
      </c>
      <c r="BJ146" t="s">
        <v>3168</v>
      </c>
      <c r="BK146" t="s">
        <v>100</v>
      </c>
      <c r="BL146" t="s">
        <v>3169</v>
      </c>
      <c r="BM146" t="s">
        <v>3170</v>
      </c>
      <c r="BN146">
        <v>25355608</v>
      </c>
      <c r="BO146" t="s">
        <v>156</v>
      </c>
      <c r="BP146" t="s">
        <v>74</v>
      </c>
      <c r="BQ146" t="s">
        <v>74</v>
      </c>
      <c r="BR146" t="s">
        <v>104</v>
      </c>
      <c r="BS146" t="s">
        <v>3171</v>
      </c>
      <c r="BT146" t="str">
        <f>HYPERLINK("https%3A%2F%2Fwww.webofscience.com%2Fwos%2Fwoscc%2Ffull-record%2FWOS:000353405300018","View Full Record in Web of Science")</f>
        <v>View Full Record in Web of Science</v>
      </c>
    </row>
    <row r="147" spans="1:72" x14ac:dyDescent="0.15">
      <c r="A147" t="s">
        <v>72</v>
      </c>
      <c r="B147" t="s">
        <v>3172</v>
      </c>
      <c r="C147" t="s">
        <v>74</v>
      </c>
      <c r="D147" t="s">
        <v>74</v>
      </c>
      <c r="E147" t="s">
        <v>74</v>
      </c>
      <c r="F147" t="s">
        <v>3173</v>
      </c>
      <c r="G147" t="s">
        <v>74</v>
      </c>
      <c r="H147" t="s">
        <v>74</v>
      </c>
      <c r="I147" t="s">
        <v>3174</v>
      </c>
      <c r="J147" t="s">
        <v>3151</v>
      </c>
      <c r="K147" t="s">
        <v>74</v>
      </c>
      <c r="L147" t="s">
        <v>74</v>
      </c>
      <c r="M147" t="s">
        <v>78</v>
      </c>
      <c r="N147" t="s">
        <v>79</v>
      </c>
      <c r="O147" t="s">
        <v>74</v>
      </c>
      <c r="P147" t="s">
        <v>74</v>
      </c>
      <c r="Q147" t="s">
        <v>74</v>
      </c>
      <c r="R147" t="s">
        <v>74</v>
      </c>
      <c r="S147" t="s">
        <v>74</v>
      </c>
      <c r="T147" t="s">
        <v>3175</v>
      </c>
      <c r="U147" t="s">
        <v>3176</v>
      </c>
      <c r="V147" t="s">
        <v>3177</v>
      </c>
      <c r="W147" t="s">
        <v>3178</v>
      </c>
      <c r="X147" t="s">
        <v>3179</v>
      </c>
      <c r="Y147" t="s">
        <v>3180</v>
      </c>
      <c r="Z147" t="s">
        <v>3181</v>
      </c>
      <c r="AA147" t="s">
        <v>3182</v>
      </c>
      <c r="AB147" t="s">
        <v>3183</v>
      </c>
      <c r="AC147" t="s">
        <v>3184</v>
      </c>
      <c r="AD147" t="s">
        <v>3185</v>
      </c>
      <c r="AE147" t="s">
        <v>3186</v>
      </c>
      <c r="AF147" t="s">
        <v>74</v>
      </c>
      <c r="AG147">
        <v>82</v>
      </c>
      <c r="AH147">
        <v>123</v>
      </c>
      <c r="AI147">
        <v>139</v>
      </c>
      <c r="AJ147">
        <v>1</v>
      </c>
      <c r="AK147">
        <v>85</v>
      </c>
      <c r="AL147" t="s">
        <v>91</v>
      </c>
      <c r="AM147" t="s">
        <v>92</v>
      </c>
      <c r="AN147" t="s">
        <v>93</v>
      </c>
      <c r="AO147" t="s">
        <v>3163</v>
      </c>
      <c r="AP147" t="s">
        <v>3164</v>
      </c>
      <c r="AQ147" t="s">
        <v>74</v>
      </c>
      <c r="AR147" t="s">
        <v>3165</v>
      </c>
      <c r="AS147" t="s">
        <v>3166</v>
      </c>
      <c r="AT147" t="s">
        <v>1309</v>
      </c>
      <c r="AU147">
        <v>2015</v>
      </c>
      <c r="AV147">
        <v>84</v>
      </c>
      <c r="AW147">
        <v>3</v>
      </c>
      <c r="AX147" t="s">
        <v>74</v>
      </c>
      <c r="AY147" t="s">
        <v>74</v>
      </c>
      <c r="AZ147" t="s">
        <v>74</v>
      </c>
      <c r="BA147" t="s">
        <v>74</v>
      </c>
      <c r="BB147">
        <v>773</v>
      </c>
      <c r="BC147">
        <v>784</v>
      </c>
      <c r="BD147" t="s">
        <v>74</v>
      </c>
      <c r="BE147" t="s">
        <v>3187</v>
      </c>
      <c r="BF147" t="str">
        <f>HYPERLINK("http://dx.doi.org/10.1111/1365-2656.12316","http://dx.doi.org/10.1111/1365-2656.12316")</f>
        <v>http://dx.doi.org/10.1111/1365-2656.12316</v>
      </c>
      <c r="BG147" t="s">
        <v>74</v>
      </c>
      <c r="BH147" t="s">
        <v>74</v>
      </c>
      <c r="BI147">
        <v>12</v>
      </c>
      <c r="BJ147" t="s">
        <v>3168</v>
      </c>
      <c r="BK147" t="s">
        <v>100</v>
      </c>
      <c r="BL147" t="s">
        <v>3169</v>
      </c>
      <c r="BM147" t="s">
        <v>3170</v>
      </c>
      <c r="BN147">
        <v>25491898</v>
      </c>
      <c r="BO147" t="s">
        <v>3188</v>
      </c>
      <c r="BP147" t="s">
        <v>74</v>
      </c>
      <c r="BQ147" t="s">
        <v>74</v>
      </c>
      <c r="BR147" t="s">
        <v>104</v>
      </c>
      <c r="BS147" t="s">
        <v>3189</v>
      </c>
      <c r="BT147" t="str">
        <f>HYPERLINK("https%3A%2F%2Fwww.webofscience.com%2Fwos%2Fwoscc%2Ffull-record%2FWOS:000353405300020","View Full Record in Web of Science")</f>
        <v>View Full Record in Web of Science</v>
      </c>
    </row>
    <row r="148" spans="1:72" x14ac:dyDescent="0.15">
      <c r="A148" t="s">
        <v>72</v>
      </c>
      <c r="B148" t="s">
        <v>3190</v>
      </c>
      <c r="C148" t="s">
        <v>74</v>
      </c>
      <c r="D148" t="s">
        <v>74</v>
      </c>
      <c r="E148" t="s">
        <v>74</v>
      </c>
      <c r="F148" t="s">
        <v>3191</v>
      </c>
      <c r="G148" t="s">
        <v>74</v>
      </c>
      <c r="H148" t="s">
        <v>74</v>
      </c>
      <c r="I148" t="s">
        <v>3192</v>
      </c>
      <c r="J148" t="s">
        <v>3193</v>
      </c>
      <c r="K148" t="s">
        <v>74</v>
      </c>
      <c r="L148" t="s">
        <v>74</v>
      </c>
      <c r="M148" t="s">
        <v>78</v>
      </c>
      <c r="N148" t="s">
        <v>79</v>
      </c>
      <c r="O148" t="s">
        <v>74</v>
      </c>
      <c r="P148" t="s">
        <v>74</v>
      </c>
      <c r="Q148" t="s">
        <v>74</v>
      </c>
      <c r="R148" t="s">
        <v>74</v>
      </c>
      <c r="S148" t="s">
        <v>74</v>
      </c>
      <c r="T148" t="s">
        <v>3194</v>
      </c>
      <c r="U148" t="s">
        <v>3195</v>
      </c>
      <c r="V148" t="s">
        <v>3196</v>
      </c>
      <c r="W148" t="s">
        <v>3197</v>
      </c>
      <c r="X148" t="s">
        <v>3198</v>
      </c>
      <c r="Y148" t="s">
        <v>3199</v>
      </c>
      <c r="Z148" t="s">
        <v>3200</v>
      </c>
      <c r="AA148" t="s">
        <v>3201</v>
      </c>
      <c r="AB148" t="s">
        <v>3202</v>
      </c>
      <c r="AC148" t="s">
        <v>3203</v>
      </c>
      <c r="AD148" t="s">
        <v>3204</v>
      </c>
      <c r="AE148" t="s">
        <v>3205</v>
      </c>
      <c r="AF148" t="s">
        <v>74</v>
      </c>
      <c r="AG148">
        <v>28</v>
      </c>
      <c r="AH148">
        <v>8</v>
      </c>
      <c r="AI148">
        <v>8</v>
      </c>
      <c r="AJ148">
        <v>1</v>
      </c>
      <c r="AK148">
        <v>8</v>
      </c>
      <c r="AL148" t="s">
        <v>786</v>
      </c>
      <c r="AM148" t="s">
        <v>787</v>
      </c>
      <c r="AN148" t="s">
        <v>788</v>
      </c>
      <c r="AO148" t="s">
        <v>3206</v>
      </c>
      <c r="AP148" t="s">
        <v>3207</v>
      </c>
      <c r="AQ148" t="s">
        <v>74</v>
      </c>
      <c r="AR148" t="s">
        <v>3208</v>
      </c>
      <c r="AS148" t="s">
        <v>3209</v>
      </c>
      <c r="AT148" t="s">
        <v>1309</v>
      </c>
      <c r="AU148">
        <v>2015</v>
      </c>
      <c r="AV148">
        <v>127</v>
      </c>
      <c r="AW148" t="s">
        <v>74</v>
      </c>
      <c r="AX148" t="s">
        <v>74</v>
      </c>
      <c r="AY148" t="s">
        <v>74</v>
      </c>
      <c r="AZ148" t="s">
        <v>454</v>
      </c>
      <c r="BA148" t="s">
        <v>74</v>
      </c>
      <c r="BB148">
        <v>97</v>
      </c>
      <c r="BC148">
        <v>102</v>
      </c>
      <c r="BD148" t="s">
        <v>74</v>
      </c>
      <c r="BE148" t="s">
        <v>3210</v>
      </c>
      <c r="BF148" t="str">
        <f>HYPERLINK("http://dx.doi.org/10.1016/j.jastp.2015.04.013","http://dx.doi.org/10.1016/j.jastp.2015.04.013")</f>
        <v>http://dx.doi.org/10.1016/j.jastp.2015.04.013</v>
      </c>
      <c r="BG148" t="s">
        <v>74</v>
      </c>
      <c r="BH148" t="s">
        <v>74</v>
      </c>
      <c r="BI148">
        <v>6</v>
      </c>
      <c r="BJ148" t="s">
        <v>3211</v>
      </c>
      <c r="BK148" t="s">
        <v>100</v>
      </c>
      <c r="BL148" t="s">
        <v>3211</v>
      </c>
      <c r="BM148" t="s">
        <v>3212</v>
      </c>
      <c r="BN148" t="s">
        <v>74</v>
      </c>
      <c r="BO148" t="s">
        <v>408</v>
      </c>
      <c r="BP148" t="s">
        <v>74</v>
      </c>
      <c r="BQ148" t="s">
        <v>74</v>
      </c>
      <c r="BR148" t="s">
        <v>104</v>
      </c>
      <c r="BS148" t="s">
        <v>3213</v>
      </c>
      <c r="BT148" t="str">
        <f>HYPERLINK("https%3A%2F%2Fwww.webofscience.com%2Fwos%2Fwoscc%2Ffull-record%2FWOS:000355708700013","View Full Record in Web of Science")</f>
        <v>View Full Record in Web of Science</v>
      </c>
    </row>
    <row r="149" spans="1:72" x14ac:dyDescent="0.15">
      <c r="A149" t="s">
        <v>72</v>
      </c>
      <c r="B149" t="s">
        <v>3214</v>
      </c>
      <c r="C149" t="s">
        <v>74</v>
      </c>
      <c r="D149" t="s">
        <v>74</v>
      </c>
      <c r="E149" t="s">
        <v>74</v>
      </c>
      <c r="F149" t="s">
        <v>3215</v>
      </c>
      <c r="G149" t="s">
        <v>74</v>
      </c>
      <c r="H149" t="s">
        <v>74</v>
      </c>
      <c r="I149" t="s">
        <v>3216</v>
      </c>
      <c r="J149" t="s">
        <v>2180</v>
      </c>
      <c r="K149" t="s">
        <v>74</v>
      </c>
      <c r="L149" t="s">
        <v>74</v>
      </c>
      <c r="M149" t="s">
        <v>78</v>
      </c>
      <c r="N149" t="s">
        <v>79</v>
      </c>
      <c r="O149" t="s">
        <v>74</v>
      </c>
      <c r="P149" t="s">
        <v>74</v>
      </c>
      <c r="Q149" t="s">
        <v>74</v>
      </c>
      <c r="R149" t="s">
        <v>74</v>
      </c>
      <c r="S149" t="s">
        <v>74</v>
      </c>
      <c r="T149" t="s">
        <v>74</v>
      </c>
      <c r="U149" t="s">
        <v>3217</v>
      </c>
      <c r="V149" t="s">
        <v>3218</v>
      </c>
      <c r="W149" t="s">
        <v>3219</v>
      </c>
      <c r="X149" t="s">
        <v>3220</v>
      </c>
      <c r="Y149" t="s">
        <v>3221</v>
      </c>
      <c r="Z149" t="s">
        <v>3222</v>
      </c>
      <c r="AA149" t="s">
        <v>3223</v>
      </c>
      <c r="AB149" t="s">
        <v>74</v>
      </c>
      <c r="AC149" t="s">
        <v>3224</v>
      </c>
      <c r="AD149" t="s">
        <v>3225</v>
      </c>
      <c r="AE149" t="s">
        <v>3226</v>
      </c>
      <c r="AF149" t="s">
        <v>74</v>
      </c>
      <c r="AG149">
        <v>90</v>
      </c>
      <c r="AH149">
        <v>149</v>
      </c>
      <c r="AI149">
        <v>156</v>
      </c>
      <c r="AJ149">
        <v>2</v>
      </c>
      <c r="AK149">
        <v>54</v>
      </c>
      <c r="AL149" t="s">
        <v>2192</v>
      </c>
      <c r="AM149" t="s">
        <v>2193</v>
      </c>
      <c r="AN149" t="s">
        <v>2194</v>
      </c>
      <c r="AO149" t="s">
        <v>2195</v>
      </c>
      <c r="AP149" t="s">
        <v>2196</v>
      </c>
      <c r="AQ149" t="s">
        <v>74</v>
      </c>
      <c r="AR149" t="s">
        <v>2197</v>
      </c>
      <c r="AS149" t="s">
        <v>2198</v>
      </c>
      <c r="AT149" t="s">
        <v>2079</v>
      </c>
      <c r="AU149">
        <v>2015</v>
      </c>
      <c r="AV149">
        <v>28</v>
      </c>
      <c r="AW149">
        <v>9</v>
      </c>
      <c r="AX149" t="s">
        <v>74</v>
      </c>
      <c r="AY149" t="s">
        <v>74</v>
      </c>
      <c r="AZ149" t="s">
        <v>74</v>
      </c>
      <c r="BA149" t="s">
        <v>74</v>
      </c>
      <c r="BB149">
        <v>3650</v>
      </c>
      <c r="BC149">
        <v>3670</v>
      </c>
      <c r="BD149" t="s">
        <v>74</v>
      </c>
      <c r="BE149" t="s">
        <v>3227</v>
      </c>
      <c r="BF149" t="str">
        <f>HYPERLINK("http://dx.doi.org/10.1175/JCLI-D-14-00369.1","http://dx.doi.org/10.1175/JCLI-D-14-00369.1")</f>
        <v>http://dx.doi.org/10.1175/JCLI-D-14-00369.1</v>
      </c>
      <c r="BG149" t="s">
        <v>74</v>
      </c>
      <c r="BH149" t="s">
        <v>74</v>
      </c>
      <c r="BI149">
        <v>21</v>
      </c>
      <c r="BJ149" t="s">
        <v>406</v>
      </c>
      <c r="BK149" t="s">
        <v>100</v>
      </c>
      <c r="BL149" t="s">
        <v>406</v>
      </c>
      <c r="BM149" t="s">
        <v>2480</v>
      </c>
      <c r="BN149" t="s">
        <v>74</v>
      </c>
      <c r="BO149" t="s">
        <v>3228</v>
      </c>
      <c r="BP149" t="s">
        <v>74</v>
      </c>
      <c r="BQ149" t="s">
        <v>74</v>
      </c>
      <c r="BR149" t="s">
        <v>104</v>
      </c>
      <c r="BS149" t="s">
        <v>3229</v>
      </c>
      <c r="BT149" t="str">
        <f>HYPERLINK("https%3A%2F%2Fwww.webofscience.com%2Fwos%2Fwoscc%2Ffull-record%2FWOS:000353838200013","View Full Record in Web of Science")</f>
        <v>View Full Record in Web of Science</v>
      </c>
    </row>
    <row r="150" spans="1:72" x14ac:dyDescent="0.15">
      <c r="A150" t="s">
        <v>72</v>
      </c>
      <c r="B150" t="s">
        <v>3230</v>
      </c>
      <c r="C150" t="s">
        <v>74</v>
      </c>
      <c r="D150" t="s">
        <v>74</v>
      </c>
      <c r="E150" t="s">
        <v>74</v>
      </c>
      <c r="F150" t="s">
        <v>3231</v>
      </c>
      <c r="G150" t="s">
        <v>74</v>
      </c>
      <c r="H150" t="s">
        <v>74</v>
      </c>
      <c r="I150" t="s">
        <v>3232</v>
      </c>
      <c r="J150" t="s">
        <v>2180</v>
      </c>
      <c r="K150" t="s">
        <v>74</v>
      </c>
      <c r="L150" t="s">
        <v>74</v>
      </c>
      <c r="M150" t="s">
        <v>78</v>
      </c>
      <c r="N150" t="s">
        <v>79</v>
      </c>
      <c r="O150" t="s">
        <v>74</v>
      </c>
      <c r="P150" t="s">
        <v>74</v>
      </c>
      <c r="Q150" t="s">
        <v>74</v>
      </c>
      <c r="R150" t="s">
        <v>74</v>
      </c>
      <c r="S150" t="s">
        <v>74</v>
      </c>
      <c r="T150" t="s">
        <v>74</v>
      </c>
      <c r="U150" t="s">
        <v>3233</v>
      </c>
      <c r="V150" t="s">
        <v>3234</v>
      </c>
      <c r="W150" t="s">
        <v>3235</v>
      </c>
      <c r="X150" t="s">
        <v>3236</v>
      </c>
      <c r="Y150" t="s">
        <v>3237</v>
      </c>
      <c r="Z150" t="s">
        <v>3238</v>
      </c>
      <c r="AA150" t="s">
        <v>3239</v>
      </c>
      <c r="AB150" t="s">
        <v>3240</v>
      </c>
      <c r="AC150" t="s">
        <v>3241</v>
      </c>
      <c r="AD150" t="s">
        <v>3242</v>
      </c>
      <c r="AE150" t="s">
        <v>3243</v>
      </c>
      <c r="AF150" t="s">
        <v>74</v>
      </c>
      <c r="AG150">
        <v>42</v>
      </c>
      <c r="AH150">
        <v>87</v>
      </c>
      <c r="AI150">
        <v>90</v>
      </c>
      <c r="AJ150">
        <v>2</v>
      </c>
      <c r="AK150">
        <v>21</v>
      </c>
      <c r="AL150" t="s">
        <v>2192</v>
      </c>
      <c r="AM150" t="s">
        <v>2193</v>
      </c>
      <c r="AN150" t="s">
        <v>2194</v>
      </c>
      <c r="AO150" t="s">
        <v>2195</v>
      </c>
      <c r="AP150" t="s">
        <v>2196</v>
      </c>
      <c r="AQ150" t="s">
        <v>74</v>
      </c>
      <c r="AR150" t="s">
        <v>2197</v>
      </c>
      <c r="AS150" t="s">
        <v>2198</v>
      </c>
      <c r="AT150" t="s">
        <v>1309</v>
      </c>
      <c r="AU150">
        <v>2015</v>
      </c>
      <c r="AV150">
        <v>28</v>
      </c>
      <c r="AW150">
        <v>10</v>
      </c>
      <c r="AX150" t="s">
        <v>74</v>
      </c>
      <c r="AY150" t="s">
        <v>74</v>
      </c>
      <c r="AZ150" t="s">
        <v>74</v>
      </c>
      <c r="BA150" t="s">
        <v>74</v>
      </c>
      <c r="BB150">
        <v>4279</v>
      </c>
      <c r="BC150">
        <v>4292</v>
      </c>
      <c r="BD150" t="s">
        <v>74</v>
      </c>
      <c r="BE150" t="s">
        <v>3244</v>
      </c>
      <c r="BF150" t="str">
        <f>HYPERLINK("http://dx.doi.org/10.1175/JCLI-D-14-00554.1","http://dx.doi.org/10.1175/JCLI-D-14-00554.1")</f>
        <v>http://dx.doi.org/10.1175/JCLI-D-14-00554.1</v>
      </c>
      <c r="BG150" t="s">
        <v>74</v>
      </c>
      <c r="BH150" t="s">
        <v>74</v>
      </c>
      <c r="BI150">
        <v>14</v>
      </c>
      <c r="BJ150" t="s">
        <v>406</v>
      </c>
      <c r="BK150" t="s">
        <v>100</v>
      </c>
      <c r="BL150" t="s">
        <v>406</v>
      </c>
      <c r="BM150" t="s">
        <v>2200</v>
      </c>
      <c r="BN150" t="s">
        <v>74</v>
      </c>
      <c r="BO150" t="s">
        <v>2201</v>
      </c>
      <c r="BP150" t="s">
        <v>74</v>
      </c>
      <c r="BQ150" t="s">
        <v>74</v>
      </c>
      <c r="BR150" t="s">
        <v>104</v>
      </c>
      <c r="BS150" t="s">
        <v>3245</v>
      </c>
      <c r="BT150" t="str">
        <f>HYPERLINK("https%3A%2F%2Fwww.webofscience.com%2Fwos%2Fwoscc%2Ffull-record%2FWOS:000354370100023","View Full Record in Web of Science")</f>
        <v>View Full Record in Web of Science</v>
      </c>
    </row>
    <row r="151" spans="1:72" x14ac:dyDescent="0.15">
      <c r="A151" t="s">
        <v>72</v>
      </c>
      <c r="B151" t="s">
        <v>3246</v>
      </c>
      <c r="C151" t="s">
        <v>74</v>
      </c>
      <c r="D151" t="s">
        <v>74</v>
      </c>
      <c r="E151" t="s">
        <v>74</v>
      </c>
      <c r="F151" t="s">
        <v>3247</v>
      </c>
      <c r="G151" t="s">
        <v>74</v>
      </c>
      <c r="H151" t="s">
        <v>74</v>
      </c>
      <c r="I151" t="s">
        <v>3248</v>
      </c>
      <c r="J151" t="s">
        <v>3249</v>
      </c>
      <c r="K151" t="s">
        <v>74</v>
      </c>
      <c r="L151" t="s">
        <v>74</v>
      </c>
      <c r="M151" t="s">
        <v>78</v>
      </c>
      <c r="N151" t="s">
        <v>79</v>
      </c>
      <c r="O151" t="s">
        <v>74</v>
      </c>
      <c r="P151" t="s">
        <v>74</v>
      </c>
      <c r="Q151" t="s">
        <v>74</v>
      </c>
      <c r="R151" t="s">
        <v>74</v>
      </c>
      <c r="S151" t="s">
        <v>74</v>
      </c>
      <c r="T151" t="s">
        <v>3250</v>
      </c>
      <c r="U151" t="s">
        <v>3251</v>
      </c>
      <c r="V151" t="s">
        <v>3252</v>
      </c>
      <c r="W151" t="s">
        <v>3253</v>
      </c>
      <c r="X151" t="s">
        <v>3254</v>
      </c>
      <c r="Y151" t="s">
        <v>3255</v>
      </c>
      <c r="Z151" t="s">
        <v>3256</v>
      </c>
      <c r="AA151" t="s">
        <v>3257</v>
      </c>
      <c r="AB151" t="s">
        <v>3258</v>
      </c>
      <c r="AC151" t="s">
        <v>3259</v>
      </c>
      <c r="AD151" t="s">
        <v>3260</v>
      </c>
      <c r="AE151" t="s">
        <v>3261</v>
      </c>
      <c r="AF151" t="s">
        <v>74</v>
      </c>
      <c r="AG151">
        <v>92</v>
      </c>
      <c r="AH151">
        <v>6</v>
      </c>
      <c r="AI151">
        <v>7</v>
      </c>
      <c r="AJ151">
        <v>0</v>
      </c>
      <c r="AK151">
        <v>24</v>
      </c>
      <c r="AL151" t="s">
        <v>91</v>
      </c>
      <c r="AM151" t="s">
        <v>92</v>
      </c>
      <c r="AN151" t="s">
        <v>93</v>
      </c>
      <c r="AO151" t="s">
        <v>3262</v>
      </c>
      <c r="AP151" t="s">
        <v>3263</v>
      </c>
      <c r="AQ151" t="s">
        <v>74</v>
      </c>
      <c r="AR151" t="s">
        <v>3264</v>
      </c>
      <c r="AS151" t="s">
        <v>3265</v>
      </c>
      <c r="AT151" t="s">
        <v>1309</v>
      </c>
      <c r="AU151">
        <v>2015</v>
      </c>
      <c r="AV151">
        <v>28</v>
      </c>
      <c r="AW151">
        <v>5</v>
      </c>
      <c r="AX151" t="s">
        <v>74</v>
      </c>
      <c r="AY151" t="s">
        <v>74</v>
      </c>
      <c r="AZ151" t="s">
        <v>74</v>
      </c>
      <c r="BA151" t="s">
        <v>74</v>
      </c>
      <c r="BB151">
        <v>1080</v>
      </c>
      <c r="BC151">
        <v>1090</v>
      </c>
      <c r="BD151" t="s">
        <v>74</v>
      </c>
      <c r="BE151" t="s">
        <v>3266</v>
      </c>
      <c r="BF151" t="str">
        <f>HYPERLINK("http://dx.doi.org/10.1111/jeb.12631","http://dx.doi.org/10.1111/jeb.12631")</f>
        <v>http://dx.doi.org/10.1111/jeb.12631</v>
      </c>
      <c r="BG151" t="s">
        <v>74</v>
      </c>
      <c r="BH151" t="s">
        <v>74</v>
      </c>
      <c r="BI151">
        <v>11</v>
      </c>
      <c r="BJ151" t="s">
        <v>3267</v>
      </c>
      <c r="BK151" t="s">
        <v>1019</v>
      </c>
      <c r="BL151" t="s">
        <v>3268</v>
      </c>
      <c r="BM151" t="s">
        <v>3269</v>
      </c>
      <c r="BN151">
        <v>25818759</v>
      </c>
      <c r="BO151" t="s">
        <v>156</v>
      </c>
      <c r="BP151" t="s">
        <v>74</v>
      </c>
      <c r="BQ151" t="s">
        <v>74</v>
      </c>
      <c r="BR151" t="s">
        <v>104</v>
      </c>
      <c r="BS151" t="s">
        <v>3270</v>
      </c>
      <c r="BT151" t="str">
        <f>HYPERLINK("https%3A%2F%2Fwww.webofscience.com%2Fwos%2Fwoscc%2Ffull-record%2FWOS:000355012700009","View Full Record in Web of Science")</f>
        <v>View Full Record in Web of Science</v>
      </c>
    </row>
    <row r="152" spans="1:72" x14ac:dyDescent="0.15">
      <c r="A152" t="s">
        <v>72</v>
      </c>
      <c r="B152" t="s">
        <v>3271</v>
      </c>
      <c r="C152" t="s">
        <v>74</v>
      </c>
      <c r="D152" t="s">
        <v>74</v>
      </c>
      <c r="E152" t="s">
        <v>74</v>
      </c>
      <c r="F152" t="s">
        <v>3272</v>
      </c>
      <c r="G152" t="s">
        <v>74</v>
      </c>
      <c r="H152" t="s">
        <v>74</v>
      </c>
      <c r="I152" t="s">
        <v>3273</v>
      </c>
      <c r="J152" t="s">
        <v>3274</v>
      </c>
      <c r="K152" t="s">
        <v>74</v>
      </c>
      <c r="L152" t="s">
        <v>74</v>
      </c>
      <c r="M152" t="s">
        <v>78</v>
      </c>
      <c r="N152" t="s">
        <v>79</v>
      </c>
      <c r="O152" t="s">
        <v>74</v>
      </c>
      <c r="P152" t="s">
        <v>74</v>
      </c>
      <c r="Q152" t="s">
        <v>74</v>
      </c>
      <c r="R152" t="s">
        <v>74</v>
      </c>
      <c r="S152" t="s">
        <v>74</v>
      </c>
      <c r="T152" t="s">
        <v>3275</v>
      </c>
      <c r="U152" t="s">
        <v>3276</v>
      </c>
      <c r="V152" t="s">
        <v>3277</v>
      </c>
      <c r="W152" t="s">
        <v>3278</v>
      </c>
      <c r="X152" t="s">
        <v>3279</v>
      </c>
      <c r="Y152" t="s">
        <v>3280</v>
      </c>
      <c r="Z152" t="s">
        <v>3281</v>
      </c>
      <c r="AA152" t="s">
        <v>3282</v>
      </c>
      <c r="AB152" t="s">
        <v>3283</v>
      </c>
      <c r="AC152" t="s">
        <v>3284</v>
      </c>
      <c r="AD152" t="s">
        <v>3285</v>
      </c>
      <c r="AE152" t="s">
        <v>3286</v>
      </c>
      <c r="AF152" t="s">
        <v>74</v>
      </c>
      <c r="AG152">
        <v>83</v>
      </c>
      <c r="AH152">
        <v>57</v>
      </c>
      <c r="AI152">
        <v>59</v>
      </c>
      <c r="AJ152">
        <v>3</v>
      </c>
      <c r="AK152">
        <v>72</v>
      </c>
      <c r="AL152" t="s">
        <v>1039</v>
      </c>
      <c r="AM152" t="s">
        <v>816</v>
      </c>
      <c r="AN152" t="s">
        <v>1040</v>
      </c>
      <c r="AO152" t="s">
        <v>3287</v>
      </c>
      <c r="AP152" t="s">
        <v>3288</v>
      </c>
      <c r="AQ152" t="s">
        <v>74</v>
      </c>
      <c r="AR152" t="s">
        <v>3289</v>
      </c>
      <c r="AS152" t="s">
        <v>3290</v>
      </c>
      <c r="AT152" t="s">
        <v>1309</v>
      </c>
      <c r="AU152">
        <v>2015</v>
      </c>
      <c r="AV152">
        <v>466</v>
      </c>
      <c r="AW152" t="s">
        <v>74</v>
      </c>
      <c r="AX152" t="s">
        <v>74</v>
      </c>
      <c r="AY152" t="s">
        <v>74</v>
      </c>
      <c r="AZ152" t="s">
        <v>74</v>
      </c>
      <c r="BA152" t="s">
        <v>74</v>
      </c>
      <c r="BB152">
        <v>110</v>
      </c>
      <c r="BC152">
        <v>119</v>
      </c>
      <c r="BD152" t="s">
        <v>74</v>
      </c>
      <c r="BE152" t="s">
        <v>3291</v>
      </c>
      <c r="BF152" t="str">
        <f>HYPERLINK("http://dx.doi.org/10.1016/j.jembe.2015.02.012","http://dx.doi.org/10.1016/j.jembe.2015.02.012")</f>
        <v>http://dx.doi.org/10.1016/j.jembe.2015.02.012</v>
      </c>
      <c r="BG152" t="s">
        <v>74</v>
      </c>
      <c r="BH152" t="s">
        <v>74</v>
      </c>
      <c r="BI152">
        <v>10</v>
      </c>
      <c r="BJ152" t="s">
        <v>3292</v>
      </c>
      <c r="BK152" t="s">
        <v>100</v>
      </c>
      <c r="BL152" t="s">
        <v>3293</v>
      </c>
      <c r="BM152" t="s">
        <v>3294</v>
      </c>
      <c r="BN152" t="s">
        <v>74</v>
      </c>
      <c r="BO152" t="s">
        <v>74</v>
      </c>
      <c r="BP152" t="s">
        <v>74</v>
      </c>
      <c r="BQ152" t="s">
        <v>74</v>
      </c>
      <c r="BR152" t="s">
        <v>104</v>
      </c>
      <c r="BS152" t="s">
        <v>3295</v>
      </c>
      <c r="BT152" t="str">
        <f>HYPERLINK("https%3A%2F%2Fwww.webofscience.com%2Fwos%2Fwoscc%2Ffull-record%2FWOS:000352667500013","View Full Record in Web of Science")</f>
        <v>View Full Record in Web of Science</v>
      </c>
    </row>
    <row r="153" spans="1:72" x14ac:dyDescent="0.15">
      <c r="A153" t="s">
        <v>72</v>
      </c>
      <c r="B153" t="s">
        <v>3296</v>
      </c>
      <c r="C153" t="s">
        <v>74</v>
      </c>
      <c r="D153" t="s">
        <v>74</v>
      </c>
      <c r="E153" t="s">
        <v>74</v>
      </c>
      <c r="F153" t="s">
        <v>3297</v>
      </c>
      <c r="G153" t="s">
        <v>74</v>
      </c>
      <c r="H153" t="s">
        <v>74</v>
      </c>
      <c r="I153" t="s">
        <v>3298</v>
      </c>
      <c r="J153" t="s">
        <v>3299</v>
      </c>
      <c r="K153" t="s">
        <v>74</v>
      </c>
      <c r="L153" t="s">
        <v>74</v>
      </c>
      <c r="M153" t="s">
        <v>78</v>
      </c>
      <c r="N153" t="s">
        <v>79</v>
      </c>
      <c r="O153" t="s">
        <v>74</v>
      </c>
      <c r="P153" t="s">
        <v>74</v>
      </c>
      <c r="Q153" t="s">
        <v>74</v>
      </c>
      <c r="R153" t="s">
        <v>74</v>
      </c>
      <c r="S153" t="s">
        <v>74</v>
      </c>
      <c r="T153" t="s">
        <v>74</v>
      </c>
      <c r="U153" t="s">
        <v>3300</v>
      </c>
      <c r="V153" t="s">
        <v>3301</v>
      </c>
      <c r="W153" t="s">
        <v>3302</v>
      </c>
      <c r="X153" t="s">
        <v>3303</v>
      </c>
      <c r="Y153" t="s">
        <v>3304</v>
      </c>
      <c r="Z153" t="s">
        <v>3305</v>
      </c>
      <c r="AA153" t="s">
        <v>3306</v>
      </c>
      <c r="AB153" t="s">
        <v>3307</v>
      </c>
      <c r="AC153" t="s">
        <v>3308</v>
      </c>
      <c r="AD153" t="s">
        <v>3309</v>
      </c>
      <c r="AE153" t="s">
        <v>74</v>
      </c>
      <c r="AF153" t="s">
        <v>74</v>
      </c>
      <c r="AG153">
        <v>74</v>
      </c>
      <c r="AH153">
        <v>38</v>
      </c>
      <c r="AI153">
        <v>40</v>
      </c>
      <c r="AJ153">
        <v>1</v>
      </c>
      <c r="AK153">
        <v>44</v>
      </c>
      <c r="AL153" t="s">
        <v>2730</v>
      </c>
      <c r="AM153" t="s">
        <v>2731</v>
      </c>
      <c r="AN153" t="s">
        <v>2732</v>
      </c>
      <c r="AO153" t="s">
        <v>3310</v>
      </c>
      <c r="AP153" t="s">
        <v>3311</v>
      </c>
      <c r="AQ153" t="s">
        <v>74</v>
      </c>
      <c r="AR153" t="s">
        <v>3312</v>
      </c>
      <c r="AS153" t="s">
        <v>3313</v>
      </c>
      <c r="AT153" t="s">
        <v>1309</v>
      </c>
      <c r="AU153">
        <v>2015</v>
      </c>
      <c r="AV153">
        <v>123</v>
      </c>
      <c r="AW153">
        <v>3</v>
      </c>
      <c r="AX153" t="s">
        <v>74</v>
      </c>
      <c r="AY153" t="s">
        <v>74</v>
      </c>
      <c r="AZ153" t="s">
        <v>74</v>
      </c>
      <c r="BA153" t="s">
        <v>74</v>
      </c>
      <c r="BB153">
        <v>269</v>
      </c>
      <c r="BC153">
        <v>281</v>
      </c>
      <c r="BD153" t="s">
        <v>74</v>
      </c>
      <c r="BE153" t="s">
        <v>3314</v>
      </c>
      <c r="BF153" t="str">
        <f>HYPERLINK("http://dx.doi.org/10.1086/681918","http://dx.doi.org/10.1086/681918")</f>
        <v>http://dx.doi.org/10.1086/681918</v>
      </c>
      <c r="BG153" t="s">
        <v>74</v>
      </c>
      <c r="BH153" t="s">
        <v>74</v>
      </c>
      <c r="BI153">
        <v>13</v>
      </c>
      <c r="BJ153" t="s">
        <v>220</v>
      </c>
      <c r="BK153" t="s">
        <v>100</v>
      </c>
      <c r="BL153" t="s">
        <v>220</v>
      </c>
      <c r="BM153" t="s">
        <v>3315</v>
      </c>
      <c r="BN153" t="s">
        <v>74</v>
      </c>
      <c r="BO153" t="s">
        <v>559</v>
      </c>
      <c r="BP153" t="s">
        <v>74</v>
      </c>
      <c r="BQ153" t="s">
        <v>74</v>
      </c>
      <c r="BR153" t="s">
        <v>104</v>
      </c>
      <c r="BS153" t="s">
        <v>3316</v>
      </c>
      <c r="BT153" t="str">
        <f>HYPERLINK("https%3A%2F%2Fwww.webofscience.com%2Fwos%2Fwoscc%2Ffull-record%2FWOS:000356623300003","View Full Record in Web of Science")</f>
        <v>View Full Record in Web of Science</v>
      </c>
    </row>
    <row r="154" spans="1:72" x14ac:dyDescent="0.15">
      <c r="A154" t="s">
        <v>72</v>
      </c>
      <c r="B154" t="s">
        <v>3317</v>
      </c>
      <c r="C154" t="s">
        <v>74</v>
      </c>
      <c r="D154" t="s">
        <v>74</v>
      </c>
      <c r="E154" t="s">
        <v>74</v>
      </c>
      <c r="F154" t="s">
        <v>3318</v>
      </c>
      <c r="G154" t="s">
        <v>74</v>
      </c>
      <c r="H154" t="s">
        <v>74</v>
      </c>
      <c r="I154" t="s">
        <v>3319</v>
      </c>
      <c r="J154" t="s">
        <v>1547</v>
      </c>
      <c r="K154" t="s">
        <v>74</v>
      </c>
      <c r="L154" t="s">
        <v>74</v>
      </c>
      <c r="M154" t="s">
        <v>78</v>
      </c>
      <c r="N154" t="s">
        <v>79</v>
      </c>
      <c r="O154" t="s">
        <v>74</v>
      </c>
      <c r="P154" t="s">
        <v>74</v>
      </c>
      <c r="Q154" t="s">
        <v>74</v>
      </c>
      <c r="R154" t="s">
        <v>74</v>
      </c>
      <c r="S154" t="s">
        <v>74</v>
      </c>
      <c r="T154" t="s">
        <v>3320</v>
      </c>
      <c r="U154" t="s">
        <v>3321</v>
      </c>
      <c r="V154" t="s">
        <v>3322</v>
      </c>
      <c r="W154" t="s">
        <v>3323</v>
      </c>
      <c r="X154" t="s">
        <v>3324</v>
      </c>
      <c r="Y154" t="s">
        <v>3325</v>
      </c>
      <c r="Z154" t="s">
        <v>3326</v>
      </c>
      <c r="AA154" t="s">
        <v>3327</v>
      </c>
      <c r="AB154" t="s">
        <v>3328</v>
      </c>
      <c r="AC154" t="s">
        <v>3329</v>
      </c>
      <c r="AD154" t="s">
        <v>3330</v>
      </c>
      <c r="AE154" t="s">
        <v>3331</v>
      </c>
      <c r="AF154" t="s">
        <v>74</v>
      </c>
      <c r="AG154">
        <v>36</v>
      </c>
      <c r="AH154">
        <v>22</v>
      </c>
      <c r="AI154">
        <v>28</v>
      </c>
      <c r="AJ154">
        <v>0</v>
      </c>
      <c r="AK154">
        <v>33</v>
      </c>
      <c r="AL154" t="s">
        <v>266</v>
      </c>
      <c r="AM154" t="s">
        <v>267</v>
      </c>
      <c r="AN154" t="s">
        <v>268</v>
      </c>
      <c r="AO154" t="s">
        <v>1560</v>
      </c>
      <c r="AP154" t="s">
        <v>1561</v>
      </c>
      <c r="AQ154" t="s">
        <v>74</v>
      </c>
      <c r="AR154" t="s">
        <v>1562</v>
      </c>
      <c r="AS154" t="s">
        <v>1563</v>
      </c>
      <c r="AT154" t="s">
        <v>1309</v>
      </c>
      <c r="AU154">
        <v>2015</v>
      </c>
      <c r="AV154">
        <v>120</v>
      </c>
      <c r="AW154">
        <v>5</v>
      </c>
      <c r="AX154" t="s">
        <v>74</v>
      </c>
      <c r="AY154" t="s">
        <v>74</v>
      </c>
      <c r="AZ154" t="s">
        <v>74</v>
      </c>
      <c r="BA154" t="s">
        <v>74</v>
      </c>
      <c r="BB154">
        <v>3617</v>
      </c>
      <c r="BC154">
        <v>3627</v>
      </c>
      <c r="BD154" t="s">
        <v>74</v>
      </c>
      <c r="BE154" t="s">
        <v>3332</v>
      </c>
      <c r="BF154" t="str">
        <f>HYPERLINK("http://dx.doi.org/10.1002/2014JB011755","http://dx.doi.org/10.1002/2014JB011755")</f>
        <v>http://dx.doi.org/10.1002/2014JB011755</v>
      </c>
      <c r="BG154" t="s">
        <v>74</v>
      </c>
      <c r="BH154" t="s">
        <v>74</v>
      </c>
      <c r="BI154">
        <v>11</v>
      </c>
      <c r="BJ154" t="s">
        <v>863</v>
      </c>
      <c r="BK154" t="s">
        <v>100</v>
      </c>
      <c r="BL154" t="s">
        <v>863</v>
      </c>
      <c r="BM154" t="s">
        <v>1565</v>
      </c>
      <c r="BN154">
        <v>27708992</v>
      </c>
      <c r="BO154" t="s">
        <v>3333</v>
      </c>
      <c r="BP154" t="s">
        <v>74</v>
      </c>
      <c r="BQ154" t="s">
        <v>74</v>
      </c>
      <c r="BR154" t="s">
        <v>104</v>
      </c>
      <c r="BS154" t="s">
        <v>3334</v>
      </c>
      <c r="BT154" t="str">
        <f>HYPERLINK("https%3A%2F%2Fwww.webofscience.com%2Fwos%2Fwoscc%2Ffull-record%2FWOS:000356454500041","View Full Record in Web of Science")</f>
        <v>View Full Record in Web of Science</v>
      </c>
    </row>
    <row r="155" spans="1:72" x14ac:dyDescent="0.15">
      <c r="A155" t="s">
        <v>72</v>
      </c>
      <c r="B155" t="s">
        <v>3335</v>
      </c>
      <c r="C155" t="s">
        <v>74</v>
      </c>
      <c r="D155" t="s">
        <v>74</v>
      </c>
      <c r="E155" t="s">
        <v>74</v>
      </c>
      <c r="F155" t="s">
        <v>3336</v>
      </c>
      <c r="G155" t="s">
        <v>74</v>
      </c>
      <c r="H155" t="s">
        <v>74</v>
      </c>
      <c r="I155" t="s">
        <v>3337</v>
      </c>
      <c r="J155" t="s">
        <v>3338</v>
      </c>
      <c r="K155" t="s">
        <v>74</v>
      </c>
      <c r="L155" t="s">
        <v>74</v>
      </c>
      <c r="M155" t="s">
        <v>78</v>
      </c>
      <c r="N155" t="s">
        <v>79</v>
      </c>
      <c r="O155" t="s">
        <v>74</v>
      </c>
      <c r="P155" t="s">
        <v>74</v>
      </c>
      <c r="Q155" t="s">
        <v>74</v>
      </c>
      <c r="R155" t="s">
        <v>74</v>
      </c>
      <c r="S155" t="s">
        <v>74</v>
      </c>
      <c r="T155" t="s">
        <v>74</v>
      </c>
      <c r="U155" t="s">
        <v>3339</v>
      </c>
      <c r="V155" t="s">
        <v>3340</v>
      </c>
      <c r="W155" t="s">
        <v>3341</v>
      </c>
      <c r="X155" t="s">
        <v>3342</v>
      </c>
      <c r="Y155" t="s">
        <v>3343</v>
      </c>
      <c r="Z155" t="s">
        <v>3344</v>
      </c>
      <c r="AA155" t="s">
        <v>3345</v>
      </c>
      <c r="AB155" t="s">
        <v>3346</v>
      </c>
      <c r="AC155" t="s">
        <v>3347</v>
      </c>
      <c r="AD155" t="s">
        <v>3348</v>
      </c>
      <c r="AE155" t="s">
        <v>3349</v>
      </c>
      <c r="AF155" t="s">
        <v>74</v>
      </c>
      <c r="AG155">
        <v>38</v>
      </c>
      <c r="AH155">
        <v>66</v>
      </c>
      <c r="AI155">
        <v>70</v>
      </c>
      <c r="AJ155">
        <v>0</v>
      </c>
      <c r="AK155">
        <v>5</v>
      </c>
      <c r="AL155" t="s">
        <v>266</v>
      </c>
      <c r="AM155" t="s">
        <v>267</v>
      </c>
      <c r="AN155" t="s">
        <v>268</v>
      </c>
      <c r="AO155" t="s">
        <v>3350</v>
      </c>
      <c r="AP155" t="s">
        <v>3351</v>
      </c>
      <c r="AQ155" t="s">
        <v>74</v>
      </c>
      <c r="AR155" t="s">
        <v>3352</v>
      </c>
      <c r="AS155" t="s">
        <v>3353</v>
      </c>
      <c r="AT155" t="s">
        <v>1309</v>
      </c>
      <c r="AU155">
        <v>2015</v>
      </c>
      <c r="AV155">
        <v>120</v>
      </c>
      <c r="AW155">
        <v>5</v>
      </c>
      <c r="AX155" t="s">
        <v>74</v>
      </c>
      <c r="AY155" t="s">
        <v>74</v>
      </c>
      <c r="AZ155" t="s">
        <v>74</v>
      </c>
      <c r="BA155" t="s">
        <v>74</v>
      </c>
      <c r="BB155">
        <v>3618</v>
      </c>
      <c r="BC155">
        <v>3631</v>
      </c>
      <c r="BD155" t="s">
        <v>74</v>
      </c>
      <c r="BE155" t="s">
        <v>3354</v>
      </c>
      <c r="BF155" t="str">
        <f>HYPERLINK("http://dx.doi.org/10.1002/2015JA021090","http://dx.doi.org/10.1002/2015JA021090")</f>
        <v>http://dx.doi.org/10.1002/2015JA021090</v>
      </c>
      <c r="BG155" t="s">
        <v>74</v>
      </c>
      <c r="BH155" t="s">
        <v>74</v>
      </c>
      <c r="BI155">
        <v>14</v>
      </c>
      <c r="BJ155" t="s">
        <v>246</v>
      </c>
      <c r="BK155" t="s">
        <v>100</v>
      </c>
      <c r="BL155" t="s">
        <v>246</v>
      </c>
      <c r="BM155" t="s">
        <v>3355</v>
      </c>
      <c r="BN155" t="s">
        <v>74</v>
      </c>
      <c r="BO155" t="s">
        <v>3356</v>
      </c>
      <c r="BP155" t="s">
        <v>74</v>
      </c>
      <c r="BQ155" t="s">
        <v>74</v>
      </c>
      <c r="BR155" t="s">
        <v>104</v>
      </c>
      <c r="BS155" t="s">
        <v>3357</v>
      </c>
      <c r="BT155" t="str">
        <f>HYPERLINK("https%3A%2F%2Fwww.webofscience.com%2Fwos%2Fwoscc%2Ffull-record%2FWOS:000357869600026","View Full Record in Web of Science")</f>
        <v>View Full Record in Web of Science</v>
      </c>
    </row>
    <row r="156" spans="1:72" x14ac:dyDescent="0.15">
      <c r="A156" t="s">
        <v>72</v>
      </c>
      <c r="B156" t="s">
        <v>3358</v>
      </c>
      <c r="C156" t="s">
        <v>74</v>
      </c>
      <c r="D156" t="s">
        <v>74</v>
      </c>
      <c r="E156" t="s">
        <v>74</v>
      </c>
      <c r="F156" t="s">
        <v>3359</v>
      </c>
      <c r="G156" t="s">
        <v>74</v>
      </c>
      <c r="H156" t="s">
        <v>74</v>
      </c>
      <c r="I156" t="s">
        <v>3360</v>
      </c>
      <c r="J156" t="s">
        <v>3361</v>
      </c>
      <c r="K156" t="s">
        <v>74</v>
      </c>
      <c r="L156" t="s">
        <v>74</v>
      </c>
      <c r="M156" t="s">
        <v>78</v>
      </c>
      <c r="N156" t="s">
        <v>79</v>
      </c>
      <c r="O156" t="s">
        <v>74</v>
      </c>
      <c r="P156" t="s">
        <v>74</v>
      </c>
      <c r="Q156" t="s">
        <v>74</v>
      </c>
      <c r="R156" t="s">
        <v>74</v>
      </c>
      <c r="S156" t="s">
        <v>74</v>
      </c>
      <c r="T156" t="s">
        <v>74</v>
      </c>
      <c r="U156" t="s">
        <v>3362</v>
      </c>
      <c r="V156" t="s">
        <v>3363</v>
      </c>
      <c r="W156" t="s">
        <v>3364</v>
      </c>
      <c r="X156" t="s">
        <v>3365</v>
      </c>
      <c r="Y156" t="s">
        <v>3366</v>
      </c>
      <c r="Z156" t="s">
        <v>3367</v>
      </c>
      <c r="AA156" t="s">
        <v>3368</v>
      </c>
      <c r="AB156" t="s">
        <v>3369</v>
      </c>
      <c r="AC156" t="s">
        <v>3370</v>
      </c>
      <c r="AD156" t="s">
        <v>3371</v>
      </c>
      <c r="AE156" t="s">
        <v>3372</v>
      </c>
      <c r="AF156" t="s">
        <v>74</v>
      </c>
      <c r="AG156">
        <v>93</v>
      </c>
      <c r="AH156">
        <v>12</v>
      </c>
      <c r="AI156">
        <v>14</v>
      </c>
      <c r="AJ156">
        <v>0</v>
      </c>
      <c r="AK156">
        <v>63</v>
      </c>
      <c r="AL156" t="s">
        <v>1621</v>
      </c>
      <c r="AM156" t="s">
        <v>787</v>
      </c>
      <c r="AN156" t="s">
        <v>1622</v>
      </c>
      <c r="AO156" t="s">
        <v>3373</v>
      </c>
      <c r="AP156" t="s">
        <v>3374</v>
      </c>
      <c r="AQ156" t="s">
        <v>74</v>
      </c>
      <c r="AR156" t="s">
        <v>3375</v>
      </c>
      <c r="AS156" t="s">
        <v>3376</v>
      </c>
      <c r="AT156" t="s">
        <v>1309</v>
      </c>
      <c r="AU156">
        <v>2015</v>
      </c>
      <c r="AV156">
        <v>81</v>
      </c>
      <c r="AW156" t="s">
        <v>74</v>
      </c>
      <c r="AX156">
        <v>2</v>
      </c>
      <c r="AY156" t="s">
        <v>74</v>
      </c>
      <c r="AZ156" t="s">
        <v>74</v>
      </c>
      <c r="BA156" t="s">
        <v>74</v>
      </c>
      <c r="BB156">
        <v>238</v>
      </c>
      <c r="BC156">
        <v>246</v>
      </c>
      <c r="BD156" t="s">
        <v>74</v>
      </c>
      <c r="BE156" t="s">
        <v>3377</v>
      </c>
      <c r="BF156" t="str">
        <f>HYPERLINK("http://dx.doi.org/10.1093/mollus/eyu084","http://dx.doi.org/10.1093/mollus/eyu084")</f>
        <v>http://dx.doi.org/10.1093/mollus/eyu084</v>
      </c>
      <c r="BG156" t="s">
        <v>74</v>
      </c>
      <c r="BH156" t="s">
        <v>74</v>
      </c>
      <c r="BI156">
        <v>9</v>
      </c>
      <c r="BJ156" t="s">
        <v>3378</v>
      </c>
      <c r="BK156" t="s">
        <v>100</v>
      </c>
      <c r="BL156" t="s">
        <v>3378</v>
      </c>
      <c r="BM156" t="s">
        <v>3379</v>
      </c>
      <c r="BN156" t="s">
        <v>74</v>
      </c>
      <c r="BO156" t="s">
        <v>3380</v>
      </c>
      <c r="BP156" t="s">
        <v>74</v>
      </c>
      <c r="BQ156" t="s">
        <v>74</v>
      </c>
      <c r="BR156" t="s">
        <v>104</v>
      </c>
      <c r="BS156" t="s">
        <v>3381</v>
      </c>
      <c r="BT156" t="str">
        <f>HYPERLINK("https%3A%2F%2Fwww.webofscience.com%2Fwos%2Fwoscc%2Ffull-record%2FWOS:000355318000007","View Full Record in Web of Science")</f>
        <v>View Full Record in Web of Science</v>
      </c>
    </row>
    <row r="157" spans="1:72" x14ac:dyDescent="0.15">
      <c r="A157" t="s">
        <v>72</v>
      </c>
      <c r="B157" t="s">
        <v>3382</v>
      </c>
      <c r="C157" t="s">
        <v>74</v>
      </c>
      <c r="D157" t="s">
        <v>74</v>
      </c>
      <c r="E157" t="s">
        <v>74</v>
      </c>
      <c r="F157" t="s">
        <v>3383</v>
      </c>
      <c r="G157" t="s">
        <v>74</v>
      </c>
      <c r="H157" t="s">
        <v>74</v>
      </c>
      <c r="I157" t="s">
        <v>3384</v>
      </c>
      <c r="J157" t="s">
        <v>1748</v>
      </c>
      <c r="K157" t="s">
        <v>74</v>
      </c>
      <c r="L157" t="s">
        <v>74</v>
      </c>
      <c r="M157" t="s">
        <v>78</v>
      </c>
      <c r="N157" t="s">
        <v>79</v>
      </c>
      <c r="O157" t="s">
        <v>74</v>
      </c>
      <c r="P157" t="s">
        <v>74</v>
      </c>
      <c r="Q157" t="s">
        <v>74</v>
      </c>
      <c r="R157" t="s">
        <v>74</v>
      </c>
      <c r="S157" t="s">
        <v>74</v>
      </c>
      <c r="T157" t="s">
        <v>3385</v>
      </c>
      <c r="U157" t="s">
        <v>3386</v>
      </c>
      <c r="V157" t="s">
        <v>3387</v>
      </c>
      <c r="W157" t="s">
        <v>3388</v>
      </c>
      <c r="X157" t="s">
        <v>3389</v>
      </c>
      <c r="Y157" t="s">
        <v>3390</v>
      </c>
      <c r="Z157" t="s">
        <v>3391</v>
      </c>
      <c r="AA157" t="s">
        <v>3392</v>
      </c>
      <c r="AB157" t="s">
        <v>3393</v>
      </c>
      <c r="AC157" t="s">
        <v>3394</v>
      </c>
      <c r="AD157" t="s">
        <v>3395</v>
      </c>
      <c r="AE157" t="s">
        <v>3396</v>
      </c>
      <c r="AF157" t="s">
        <v>74</v>
      </c>
      <c r="AG157">
        <v>44</v>
      </c>
      <c r="AH157">
        <v>50</v>
      </c>
      <c r="AI157">
        <v>55</v>
      </c>
      <c r="AJ157">
        <v>3</v>
      </c>
      <c r="AK157">
        <v>70</v>
      </c>
      <c r="AL157" t="s">
        <v>1621</v>
      </c>
      <c r="AM157" t="s">
        <v>787</v>
      </c>
      <c r="AN157" t="s">
        <v>1622</v>
      </c>
      <c r="AO157" t="s">
        <v>1761</v>
      </c>
      <c r="AP157" t="s">
        <v>1762</v>
      </c>
      <c r="AQ157" t="s">
        <v>74</v>
      </c>
      <c r="AR157" t="s">
        <v>1763</v>
      </c>
      <c r="AS157" t="s">
        <v>1764</v>
      </c>
      <c r="AT157" t="s">
        <v>1418</v>
      </c>
      <c r="AU157">
        <v>2015</v>
      </c>
      <c r="AV157">
        <v>37</v>
      </c>
      <c r="AW157">
        <v>3</v>
      </c>
      <c r="AX157" t="s">
        <v>74</v>
      </c>
      <c r="AY157" t="s">
        <v>74</v>
      </c>
      <c r="AZ157" t="s">
        <v>74</v>
      </c>
      <c r="BA157" t="s">
        <v>74</v>
      </c>
      <c r="BB157">
        <v>519</v>
      </c>
      <c r="BC157">
        <v>529</v>
      </c>
      <c r="BD157" t="s">
        <v>74</v>
      </c>
      <c r="BE157" t="s">
        <v>3397</v>
      </c>
      <c r="BF157" t="str">
        <f>HYPERLINK("http://dx.doi.org/10.1093/plankt/fbv020","http://dx.doi.org/10.1093/plankt/fbv020")</f>
        <v>http://dx.doi.org/10.1093/plankt/fbv020</v>
      </c>
      <c r="BG157" t="s">
        <v>74</v>
      </c>
      <c r="BH157" t="s">
        <v>74</v>
      </c>
      <c r="BI157">
        <v>11</v>
      </c>
      <c r="BJ157" t="s">
        <v>1766</v>
      </c>
      <c r="BK157" t="s">
        <v>100</v>
      </c>
      <c r="BL157" t="s">
        <v>1766</v>
      </c>
      <c r="BM157" t="s">
        <v>1767</v>
      </c>
      <c r="BN157" t="s">
        <v>74</v>
      </c>
      <c r="BO157" t="s">
        <v>156</v>
      </c>
      <c r="BP157" t="s">
        <v>74</v>
      </c>
      <c r="BQ157" t="s">
        <v>74</v>
      </c>
      <c r="BR157" t="s">
        <v>104</v>
      </c>
      <c r="BS157" t="s">
        <v>3398</v>
      </c>
      <c r="BT157" t="str">
        <f>HYPERLINK("https%3A%2F%2Fwww.webofscience.com%2Fwos%2Fwoscc%2Ffull-record%2FWOS:000356039200004","View Full Record in Web of Science")</f>
        <v>View Full Record in Web of Science</v>
      </c>
    </row>
    <row r="158" spans="1:72" x14ac:dyDescent="0.15">
      <c r="A158" t="s">
        <v>72</v>
      </c>
      <c r="B158" t="s">
        <v>3399</v>
      </c>
      <c r="C158" t="s">
        <v>74</v>
      </c>
      <c r="D158" t="s">
        <v>74</v>
      </c>
      <c r="E158" t="s">
        <v>74</v>
      </c>
      <c r="F158" t="s">
        <v>3400</v>
      </c>
      <c r="G158" t="s">
        <v>74</v>
      </c>
      <c r="H158" t="s">
        <v>74</v>
      </c>
      <c r="I158" t="s">
        <v>3401</v>
      </c>
      <c r="J158" t="s">
        <v>3402</v>
      </c>
      <c r="K158" t="s">
        <v>74</v>
      </c>
      <c r="L158" t="s">
        <v>74</v>
      </c>
      <c r="M158" t="s">
        <v>78</v>
      </c>
      <c r="N158" t="s">
        <v>79</v>
      </c>
      <c r="O158" t="s">
        <v>74</v>
      </c>
      <c r="P158" t="s">
        <v>74</v>
      </c>
      <c r="Q158" t="s">
        <v>74</v>
      </c>
      <c r="R158" t="s">
        <v>74</v>
      </c>
      <c r="S158" t="s">
        <v>74</v>
      </c>
      <c r="T158" t="s">
        <v>74</v>
      </c>
      <c r="U158" t="s">
        <v>3403</v>
      </c>
      <c r="V158" t="s">
        <v>3404</v>
      </c>
      <c r="W158" t="s">
        <v>3405</v>
      </c>
      <c r="X158" t="s">
        <v>3406</v>
      </c>
      <c r="Y158" t="s">
        <v>3407</v>
      </c>
      <c r="Z158" t="s">
        <v>3408</v>
      </c>
      <c r="AA158" t="s">
        <v>3409</v>
      </c>
      <c r="AB158" t="s">
        <v>3410</v>
      </c>
      <c r="AC158" t="s">
        <v>3411</v>
      </c>
      <c r="AD158" t="s">
        <v>3412</v>
      </c>
      <c r="AE158" t="s">
        <v>3413</v>
      </c>
      <c r="AF158" t="s">
        <v>74</v>
      </c>
      <c r="AG158">
        <v>66</v>
      </c>
      <c r="AH158">
        <v>24</v>
      </c>
      <c r="AI158">
        <v>24</v>
      </c>
      <c r="AJ158">
        <v>0</v>
      </c>
      <c r="AK158">
        <v>24</v>
      </c>
      <c r="AL158" t="s">
        <v>2192</v>
      </c>
      <c r="AM158" t="s">
        <v>2193</v>
      </c>
      <c r="AN158" t="s">
        <v>2194</v>
      </c>
      <c r="AO158" t="s">
        <v>3414</v>
      </c>
      <c r="AP158" t="s">
        <v>3415</v>
      </c>
      <c r="AQ158" t="s">
        <v>74</v>
      </c>
      <c r="AR158" t="s">
        <v>3416</v>
      </c>
      <c r="AS158" t="s">
        <v>3417</v>
      </c>
      <c r="AT158" t="s">
        <v>1309</v>
      </c>
      <c r="AU158">
        <v>2015</v>
      </c>
      <c r="AV158">
        <v>72</v>
      </c>
      <c r="AW158">
        <v>5</v>
      </c>
      <c r="AX158" t="s">
        <v>74</v>
      </c>
      <c r="AY158" t="s">
        <v>74</v>
      </c>
      <c r="AZ158" t="s">
        <v>74</v>
      </c>
      <c r="BA158" t="s">
        <v>74</v>
      </c>
      <c r="BB158">
        <v>2109</v>
      </c>
      <c r="BC158">
        <v>2130</v>
      </c>
      <c r="BD158" t="s">
        <v>74</v>
      </c>
      <c r="BE158" t="s">
        <v>3418</v>
      </c>
      <c r="BF158" t="str">
        <f>HYPERLINK("http://dx.doi.org/10.1175/JAS-D-14-0228.1","http://dx.doi.org/10.1175/JAS-D-14-0228.1")</f>
        <v>http://dx.doi.org/10.1175/JAS-D-14-0228.1</v>
      </c>
      <c r="BG158" t="s">
        <v>74</v>
      </c>
      <c r="BH158" t="s">
        <v>74</v>
      </c>
      <c r="BI158">
        <v>22</v>
      </c>
      <c r="BJ158" t="s">
        <v>406</v>
      </c>
      <c r="BK158" t="s">
        <v>100</v>
      </c>
      <c r="BL158" t="s">
        <v>406</v>
      </c>
      <c r="BM158" t="s">
        <v>3419</v>
      </c>
      <c r="BN158" t="s">
        <v>74</v>
      </c>
      <c r="BO158" t="s">
        <v>1123</v>
      </c>
      <c r="BP158" t="s">
        <v>74</v>
      </c>
      <c r="BQ158" t="s">
        <v>74</v>
      </c>
      <c r="BR158" t="s">
        <v>104</v>
      </c>
      <c r="BS158" t="s">
        <v>3420</v>
      </c>
      <c r="BT158" t="str">
        <f>HYPERLINK("https%3A%2F%2Fwww.webofscience.com%2Fwos%2Fwoscc%2Ffull-record%2FWOS:000353840100024","View Full Record in Web of Science")</f>
        <v>View Full Record in Web of Science</v>
      </c>
    </row>
    <row r="159" spans="1:72" x14ac:dyDescent="0.15">
      <c r="A159" t="s">
        <v>72</v>
      </c>
      <c r="B159" t="s">
        <v>3421</v>
      </c>
      <c r="C159" t="s">
        <v>74</v>
      </c>
      <c r="D159" t="s">
        <v>74</v>
      </c>
      <c r="E159" t="s">
        <v>74</v>
      </c>
      <c r="F159" t="s">
        <v>3422</v>
      </c>
      <c r="G159" t="s">
        <v>74</v>
      </c>
      <c r="H159" t="s">
        <v>74</v>
      </c>
      <c r="I159" t="s">
        <v>3423</v>
      </c>
      <c r="J159" t="s">
        <v>2206</v>
      </c>
      <c r="K159" t="s">
        <v>74</v>
      </c>
      <c r="L159" t="s">
        <v>74</v>
      </c>
      <c r="M159" t="s">
        <v>78</v>
      </c>
      <c r="N159" t="s">
        <v>79</v>
      </c>
      <c r="O159" t="s">
        <v>74</v>
      </c>
      <c r="P159" t="s">
        <v>74</v>
      </c>
      <c r="Q159" t="s">
        <v>74</v>
      </c>
      <c r="R159" t="s">
        <v>74</v>
      </c>
      <c r="S159" t="s">
        <v>74</v>
      </c>
      <c r="T159" t="s">
        <v>74</v>
      </c>
      <c r="U159" t="s">
        <v>3424</v>
      </c>
      <c r="V159" t="s">
        <v>3425</v>
      </c>
      <c r="W159" t="s">
        <v>3426</v>
      </c>
      <c r="X159" t="s">
        <v>3427</v>
      </c>
      <c r="Y159" t="s">
        <v>3428</v>
      </c>
      <c r="Z159" t="s">
        <v>3429</v>
      </c>
      <c r="AA159" t="s">
        <v>3430</v>
      </c>
      <c r="AB159" t="s">
        <v>3431</v>
      </c>
      <c r="AC159" t="s">
        <v>3432</v>
      </c>
      <c r="AD159" t="s">
        <v>3433</v>
      </c>
      <c r="AE159" t="s">
        <v>3434</v>
      </c>
      <c r="AF159" t="s">
        <v>74</v>
      </c>
      <c r="AG159">
        <v>49</v>
      </c>
      <c r="AH159">
        <v>22</v>
      </c>
      <c r="AI159">
        <v>22</v>
      </c>
      <c r="AJ159">
        <v>1</v>
      </c>
      <c r="AK159">
        <v>71</v>
      </c>
      <c r="AL159" t="s">
        <v>91</v>
      </c>
      <c r="AM159" t="s">
        <v>92</v>
      </c>
      <c r="AN159" t="s">
        <v>93</v>
      </c>
      <c r="AO159" t="s">
        <v>2218</v>
      </c>
      <c r="AP159" t="s">
        <v>2219</v>
      </c>
      <c r="AQ159" t="s">
        <v>74</v>
      </c>
      <c r="AR159" t="s">
        <v>2220</v>
      </c>
      <c r="AS159" t="s">
        <v>2221</v>
      </c>
      <c r="AT159" t="s">
        <v>1309</v>
      </c>
      <c r="AU159">
        <v>2015</v>
      </c>
      <c r="AV159">
        <v>60</v>
      </c>
      <c r="AW159">
        <v>3</v>
      </c>
      <c r="AX159" t="s">
        <v>74</v>
      </c>
      <c r="AY159" t="s">
        <v>74</v>
      </c>
      <c r="AZ159" t="s">
        <v>74</v>
      </c>
      <c r="BA159" t="s">
        <v>74</v>
      </c>
      <c r="BB159">
        <v>817</v>
      </c>
      <c r="BC159">
        <v>830</v>
      </c>
      <c r="BD159" t="s">
        <v>74</v>
      </c>
      <c r="BE159" t="s">
        <v>3435</v>
      </c>
      <c r="BF159" t="str">
        <f>HYPERLINK("http://dx.doi.org/10.1002/lno.10058","http://dx.doi.org/10.1002/lno.10058")</f>
        <v>http://dx.doi.org/10.1002/lno.10058</v>
      </c>
      <c r="BG159" t="s">
        <v>74</v>
      </c>
      <c r="BH159" t="s">
        <v>74</v>
      </c>
      <c r="BI159">
        <v>14</v>
      </c>
      <c r="BJ159" t="s">
        <v>2223</v>
      </c>
      <c r="BK159" t="s">
        <v>100</v>
      </c>
      <c r="BL159" t="s">
        <v>1766</v>
      </c>
      <c r="BM159" t="s">
        <v>2224</v>
      </c>
      <c r="BN159" t="s">
        <v>74</v>
      </c>
      <c r="BO159" t="s">
        <v>74</v>
      </c>
      <c r="BP159" t="s">
        <v>74</v>
      </c>
      <c r="BQ159" t="s">
        <v>74</v>
      </c>
      <c r="BR159" t="s">
        <v>104</v>
      </c>
      <c r="BS159" t="s">
        <v>3436</v>
      </c>
      <c r="BT159" t="str">
        <f>HYPERLINK("https%3A%2F%2Fwww.webofscience.com%2Fwos%2Fwoscc%2Ffull-record%2FWOS:000354490100008","View Full Record in Web of Science")</f>
        <v>View Full Record in Web of Science</v>
      </c>
    </row>
    <row r="160" spans="1:72" x14ac:dyDescent="0.15">
      <c r="A160" t="s">
        <v>72</v>
      </c>
      <c r="B160" t="s">
        <v>3437</v>
      </c>
      <c r="C160" t="s">
        <v>74</v>
      </c>
      <c r="D160" t="s">
        <v>74</v>
      </c>
      <c r="E160" t="s">
        <v>74</v>
      </c>
      <c r="F160" t="s">
        <v>3438</v>
      </c>
      <c r="G160" t="s">
        <v>74</v>
      </c>
      <c r="H160" t="s">
        <v>74</v>
      </c>
      <c r="I160" t="s">
        <v>3439</v>
      </c>
      <c r="J160" t="s">
        <v>3440</v>
      </c>
      <c r="K160" t="s">
        <v>74</v>
      </c>
      <c r="L160" t="s">
        <v>74</v>
      </c>
      <c r="M160" t="s">
        <v>78</v>
      </c>
      <c r="N160" t="s">
        <v>52</v>
      </c>
      <c r="O160" t="s">
        <v>74</v>
      </c>
      <c r="P160" t="s">
        <v>74</v>
      </c>
      <c r="Q160" t="s">
        <v>74</v>
      </c>
      <c r="R160" t="s">
        <v>74</v>
      </c>
      <c r="S160" t="s">
        <v>74</v>
      </c>
      <c r="T160" t="s">
        <v>74</v>
      </c>
      <c r="U160" t="s">
        <v>74</v>
      </c>
      <c r="V160" t="s">
        <v>74</v>
      </c>
      <c r="W160" t="s">
        <v>3441</v>
      </c>
      <c r="X160" t="s">
        <v>3442</v>
      </c>
      <c r="Y160" t="s">
        <v>74</v>
      </c>
      <c r="Z160" t="s">
        <v>3443</v>
      </c>
      <c r="AA160" t="s">
        <v>3444</v>
      </c>
      <c r="AB160" t="s">
        <v>74</v>
      </c>
      <c r="AC160" t="s">
        <v>3445</v>
      </c>
      <c r="AD160" t="s">
        <v>3445</v>
      </c>
      <c r="AE160" t="s">
        <v>3446</v>
      </c>
      <c r="AF160" t="s">
        <v>74</v>
      </c>
      <c r="AG160">
        <v>0</v>
      </c>
      <c r="AH160">
        <v>0</v>
      </c>
      <c r="AI160">
        <v>0</v>
      </c>
      <c r="AJ160">
        <v>0</v>
      </c>
      <c r="AK160">
        <v>0</v>
      </c>
      <c r="AL160" t="s">
        <v>3447</v>
      </c>
      <c r="AM160" t="s">
        <v>1208</v>
      </c>
      <c r="AN160" t="s">
        <v>3448</v>
      </c>
      <c r="AO160" t="s">
        <v>3449</v>
      </c>
      <c r="AP160" t="s">
        <v>3450</v>
      </c>
      <c r="AQ160" t="s">
        <v>74</v>
      </c>
      <c r="AR160" t="s">
        <v>3451</v>
      </c>
      <c r="AS160" t="s">
        <v>3452</v>
      </c>
      <c r="AT160" t="s">
        <v>1309</v>
      </c>
      <c r="AU160">
        <v>2015</v>
      </c>
      <c r="AV160">
        <v>47</v>
      </c>
      <c r="AW160">
        <v>5</v>
      </c>
      <c r="AX160" t="s">
        <v>74</v>
      </c>
      <c r="AY160">
        <v>1</v>
      </c>
      <c r="AZ160" t="s">
        <v>74</v>
      </c>
      <c r="BA160">
        <v>1721</v>
      </c>
      <c r="BB160">
        <v>462</v>
      </c>
      <c r="BC160">
        <v>462</v>
      </c>
      <c r="BD160" t="s">
        <v>74</v>
      </c>
      <c r="BE160" t="s">
        <v>3453</v>
      </c>
      <c r="BF160" t="str">
        <f>HYPERLINK("http://dx.doi.org/10.1249/01.mss.0000477700.16252.a1","http://dx.doi.org/10.1249/01.mss.0000477700.16252.a1")</f>
        <v>http://dx.doi.org/10.1249/01.mss.0000477700.16252.a1</v>
      </c>
      <c r="BG160" t="s">
        <v>74</v>
      </c>
      <c r="BH160" t="s">
        <v>74</v>
      </c>
      <c r="BI160">
        <v>1</v>
      </c>
      <c r="BJ160" t="s">
        <v>3454</v>
      </c>
      <c r="BK160" t="s">
        <v>100</v>
      </c>
      <c r="BL160" t="s">
        <v>3454</v>
      </c>
      <c r="BM160" t="s">
        <v>3455</v>
      </c>
      <c r="BN160" t="s">
        <v>74</v>
      </c>
      <c r="BO160" t="s">
        <v>156</v>
      </c>
      <c r="BP160" t="s">
        <v>74</v>
      </c>
      <c r="BQ160" t="s">
        <v>74</v>
      </c>
      <c r="BR160" t="s">
        <v>104</v>
      </c>
      <c r="BS160" t="s">
        <v>3456</v>
      </c>
      <c r="BT160" t="str">
        <f>HYPERLINK("https%3A%2F%2Fwww.webofscience.com%2Fwos%2Fwoscc%2Ffull-record%2FWOS:000415220100558","View Full Record in Web of Science")</f>
        <v>View Full Record in Web of Science</v>
      </c>
    </row>
    <row r="161" spans="1:72" x14ac:dyDescent="0.15">
      <c r="A161" t="s">
        <v>72</v>
      </c>
      <c r="B161" t="s">
        <v>3457</v>
      </c>
      <c r="C161" t="s">
        <v>74</v>
      </c>
      <c r="D161" t="s">
        <v>74</v>
      </c>
      <c r="E161" t="s">
        <v>74</v>
      </c>
      <c r="F161" t="s">
        <v>3458</v>
      </c>
      <c r="G161" t="s">
        <v>74</v>
      </c>
      <c r="H161" t="s">
        <v>74</v>
      </c>
      <c r="I161" t="s">
        <v>3459</v>
      </c>
      <c r="J161" t="s">
        <v>3460</v>
      </c>
      <c r="K161" t="s">
        <v>74</v>
      </c>
      <c r="L161" t="s">
        <v>74</v>
      </c>
      <c r="M161" t="s">
        <v>78</v>
      </c>
      <c r="N161" t="s">
        <v>79</v>
      </c>
      <c r="O161" t="s">
        <v>74</v>
      </c>
      <c r="P161" t="s">
        <v>74</v>
      </c>
      <c r="Q161" t="s">
        <v>74</v>
      </c>
      <c r="R161" t="s">
        <v>74</v>
      </c>
      <c r="S161" t="s">
        <v>74</v>
      </c>
      <c r="T161" t="s">
        <v>3461</v>
      </c>
      <c r="U161" t="s">
        <v>3462</v>
      </c>
      <c r="V161" t="s">
        <v>3463</v>
      </c>
      <c r="W161" t="s">
        <v>3464</v>
      </c>
      <c r="X161" t="s">
        <v>3465</v>
      </c>
      <c r="Y161" t="s">
        <v>3466</v>
      </c>
      <c r="Z161" t="s">
        <v>3467</v>
      </c>
      <c r="AA161" t="s">
        <v>3468</v>
      </c>
      <c r="AB161" t="s">
        <v>3469</v>
      </c>
      <c r="AC161" t="s">
        <v>3470</v>
      </c>
      <c r="AD161" t="s">
        <v>3471</v>
      </c>
      <c r="AE161" t="s">
        <v>3472</v>
      </c>
      <c r="AF161" t="s">
        <v>74</v>
      </c>
      <c r="AG161">
        <v>53</v>
      </c>
      <c r="AH161">
        <v>53</v>
      </c>
      <c r="AI161">
        <v>55</v>
      </c>
      <c r="AJ161">
        <v>2</v>
      </c>
      <c r="AK161">
        <v>98</v>
      </c>
      <c r="AL161" t="s">
        <v>1039</v>
      </c>
      <c r="AM161" t="s">
        <v>816</v>
      </c>
      <c r="AN161" t="s">
        <v>1040</v>
      </c>
      <c r="AO161" t="s">
        <v>3473</v>
      </c>
      <c r="AP161" t="s">
        <v>3474</v>
      </c>
      <c r="AQ161" t="s">
        <v>74</v>
      </c>
      <c r="AR161" t="s">
        <v>3475</v>
      </c>
      <c r="AS161" t="s">
        <v>3476</v>
      </c>
      <c r="AT161" t="s">
        <v>1309</v>
      </c>
      <c r="AU161">
        <v>2015</v>
      </c>
      <c r="AV161">
        <v>120</v>
      </c>
      <c r="AW161" t="s">
        <v>74</v>
      </c>
      <c r="AX161" t="s">
        <v>74</v>
      </c>
      <c r="AY161" t="s">
        <v>74</v>
      </c>
      <c r="AZ161" t="s">
        <v>74</v>
      </c>
      <c r="BA161" t="s">
        <v>74</v>
      </c>
      <c r="BB161">
        <v>26</v>
      </c>
      <c r="BC161">
        <v>33</v>
      </c>
      <c r="BD161" t="s">
        <v>74</v>
      </c>
      <c r="BE161" t="s">
        <v>3477</v>
      </c>
      <c r="BF161" t="str">
        <f>HYPERLINK("http://dx.doi.org/10.1016/j.microc.2014.12.008","http://dx.doi.org/10.1016/j.microc.2014.12.008")</f>
        <v>http://dx.doi.org/10.1016/j.microc.2014.12.008</v>
      </c>
      <c r="BG161" t="s">
        <v>74</v>
      </c>
      <c r="BH161" t="s">
        <v>74</v>
      </c>
      <c r="BI161">
        <v>8</v>
      </c>
      <c r="BJ161" t="s">
        <v>654</v>
      </c>
      <c r="BK161" t="s">
        <v>100</v>
      </c>
      <c r="BL161" t="s">
        <v>655</v>
      </c>
      <c r="BM161" t="s">
        <v>3478</v>
      </c>
      <c r="BN161" t="s">
        <v>74</v>
      </c>
      <c r="BO161" t="s">
        <v>248</v>
      </c>
      <c r="BP161" t="s">
        <v>74</v>
      </c>
      <c r="BQ161" t="s">
        <v>74</v>
      </c>
      <c r="BR161" t="s">
        <v>104</v>
      </c>
      <c r="BS161" t="s">
        <v>3479</v>
      </c>
      <c r="BT161" t="str">
        <f>HYPERLINK("https%3A%2F%2Fwww.webofscience.com%2Fwos%2Fwoscc%2Ffull-record%2FWOS:000352044200004","View Full Record in Web of Science")</f>
        <v>View Full Record in Web of Science</v>
      </c>
    </row>
    <row r="162" spans="1:72" x14ac:dyDescent="0.15">
      <c r="A162" t="s">
        <v>72</v>
      </c>
      <c r="B162" t="s">
        <v>3480</v>
      </c>
      <c r="C162" t="s">
        <v>74</v>
      </c>
      <c r="D162" t="s">
        <v>74</v>
      </c>
      <c r="E162" t="s">
        <v>74</v>
      </c>
      <c r="F162" t="s">
        <v>3481</v>
      </c>
      <c r="G162" t="s">
        <v>74</v>
      </c>
      <c r="H162" t="s">
        <v>74</v>
      </c>
      <c r="I162" t="s">
        <v>3482</v>
      </c>
      <c r="J162" t="s">
        <v>3483</v>
      </c>
      <c r="K162" t="s">
        <v>74</v>
      </c>
      <c r="L162" t="s">
        <v>74</v>
      </c>
      <c r="M162" t="s">
        <v>78</v>
      </c>
      <c r="N162" t="s">
        <v>79</v>
      </c>
      <c r="O162" t="s">
        <v>74</v>
      </c>
      <c r="P162" t="s">
        <v>74</v>
      </c>
      <c r="Q162" t="s">
        <v>74</v>
      </c>
      <c r="R162" t="s">
        <v>74</v>
      </c>
      <c r="S162" t="s">
        <v>74</v>
      </c>
      <c r="T162" t="s">
        <v>74</v>
      </c>
      <c r="U162" t="s">
        <v>3484</v>
      </c>
      <c r="V162" t="s">
        <v>3485</v>
      </c>
      <c r="W162" t="s">
        <v>3486</v>
      </c>
      <c r="X162" t="s">
        <v>3487</v>
      </c>
      <c r="Y162" t="s">
        <v>3488</v>
      </c>
      <c r="Z162" t="s">
        <v>3489</v>
      </c>
      <c r="AA162" t="s">
        <v>3490</v>
      </c>
      <c r="AB162" t="s">
        <v>3491</v>
      </c>
      <c r="AC162" t="s">
        <v>3492</v>
      </c>
      <c r="AD162" t="s">
        <v>3493</v>
      </c>
      <c r="AE162" t="s">
        <v>3494</v>
      </c>
      <c r="AF162" t="s">
        <v>74</v>
      </c>
      <c r="AG162">
        <v>28</v>
      </c>
      <c r="AH162">
        <v>13</v>
      </c>
      <c r="AI162">
        <v>14</v>
      </c>
      <c r="AJ162">
        <v>0</v>
      </c>
      <c r="AK162">
        <v>16</v>
      </c>
      <c r="AL162" t="s">
        <v>2192</v>
      </c>
      <c r="AM162" t="s">
        <v>2193</v>
      </c>
      <c r="AN162" t="s">
        <v>2194</v>
      </c>
      <c r="AO162" t="s">
        <v>3495</v>
      </c>
      <c r="AP162" t="s">
        <v>3496</v>
      </c>
      <c r="AQ162" t="s">
        <v>74</v>
      </c>
      <c r="AR162" t="s">
        <v>3497</v>
      </c>
      <c r="AS162" t="s">
        <v>3498</v>
      </c>
      <c r="AT162" t="s">
        <v>1309</v>
      </c>
      <c r="AU162">
        <v>2015</v>
      </c>
      <c r="AV162">
        <v>143</v>
      </c>
      <c r="AW162">
        <v>5</v>
      </c>
      <c r="AX162" t="s">
        <v>74</v>
      </c>
      <c r="AY162" t="s">
        <v>74</v>
      </c>
      <c r="AZ162" t="s">
        <v>74</v>
      </c>
      <c r="BA162" t="s">
        <v>74</v>
      </c>
      <c r="BB162">
        <v>1804</v>
      </c>
      <c r="BC162">
        <v>1821</v>
      </c>
      <c r="BD162" t="s">
        <v>74</v>
      </c>
      <c r="BE162" t="s">
        <v>3499</v>
      </c>
      <c r="BF162" t="str">
        <f>HYPERLINK("http://dx.doi.org/10.1175/MWR-D-14-00289.1","http://dx.doi.org/10.1175/MWR-D-14-00289.1")</f>
        <v>http://dx.doi.org/10.1175/MWR-D-14-00289.1</v>
      </c>
      <c r="BG162" t="s">
        <v>74</v>
      </c>
      <c r="BH162" t="s">
        <v>74</v>
      </c>
      <c r="BI162">
        <v>18</v>
      </c>
      <c r="BJ162" t="s">
        <v>406</v>
      </c>
      <c r="BK162" t="s">
        <v>100</v>
      </c>
      <c r="BL162" t="s">
        <v>406</v>
      </c>
      <c r="BM162" t="s">
        <v>3500</v>
      </c>
      <c r="BN162" t="s">
        <v>74</v>
      </c>
      <c r="BO162" t="s">
        <v>2481</v>
      </c>
      <c r="BP162" t="s">
        <v>74</v>
      </c>
      <c r="BQ162" t="s">
        <v>74</v>
      </c>
      <c r="BR162" t="s">
        <v>104</v>
      </c>
      <c r="BS162" t="s">
        <v>3501</v>
      </c>
      <c r="BT162" t="str">
        <f>HYPERLINK("https%3A%2F%2Fwww.webofscience.com%2Fwos%2Fwoscc%2Ffull-record%2FWOS:000354094000018","View Full Record in Web of Science")</f>
        <v>View Full Record in Web of Science</v>
      </c>
    </row>
    <row r="163" spans="1:72" x14ac:dyDescent="0.15">
      <c r="A163" t="s">
        <v>72</v>
      </c>
      <c r="B163" t="s">
        <v>3502</v>
      </c>
      <c r="C163" t="s">
        <v>74</v>
      </c>
      <c r="D163" t="s">
        <v>74</v>
      </c>
      <c r="E163" t="s">
        <v>74</v>
      </c>
      <c r="F163" t="s">
        <v>3503</v>
      </c>
      <c r="G163" t="s">
        <v>74</v>
      </c>
      <c r="H163" t="s">
        <v>74</v>
      </c>
      <c r="I163" t="s">
        <v>3504</v>
      </c>
      <c r="J163" t="s">
        <v>3505</v>
      </c>
      <c r="K163" t="s">
        <v>74</v>
      </c>
      <c r="L163" t="s">
        <v>74</v>
      </c>
      <c r="M163" t="s">
        <v>78</v>
      </c>
      <c r="N163" t="s">
        <v>79</v>
      </c>
      <c r="O163" t="s">
        <v>74</v>
      </c>
      <c r="P163" t="s">
        <v>74</v>
      </c>
      <c r="Q163" t="s">
        <v>74</v>
      </c>
      <c r="R163" t="s">
        <v>74</v>
      </c>
      <c r="S163" t="s">
        <v>74</v>
      </c>
      <c r="T163" t="s">
        <v>74</v>
      </c>
      <c r="U163" t="s">
        <v>3506</v>
      </c>
      <c r="V163" t="s">
        <v>3507</v>
      </c>
      <c r="W163" t="s">
        <v>3508</v>
      </c>
      <c r="X163" t="s">
        <v>3509</v>
      </c>
      <c r="Y163" t="s">
        <v>3510</v>
      </c>
      <c r="Z163" t="s">
        <v>3511</v>
      </c>
      <c r="AA163" t="s">
        <v>3512</v>
      </c>
      <c r="AB163" t="s">
        <v>3513</v>
      </c>
      <c r="AC163" t="s">
        <v>3514</v>
      </c>
      <c r="AD163" t="s">
        <v>3515</v>
      </c>
      <c r="AE163" t="s">
        <v>3516</v>
      </c>
      <c r="AF163" t="s">
        <v>74</v>
      </c>
      <c r="AG163">
        <v>30</v>
      </c>
      <c r="AH163">
        <v>102</v>
      </c>
      <c r="AI163">
        <v>121</v>
      </c>
      <c r="AJ163">
        <v>6</v>
      </c>
      <c r="AK163">
        <v>154</v>
      </c>
      <c r="AL163" t="s">
        <v>3517</v>
      </c>
      <c r="AM163" t="s">
        <v>423</v>
      </c>
      <c r="AN163" t="s">
        <v>424</v>
      </c>
      <c r="AO163" t="s">
        <v>3518</v>
      </c>
      <c r="AP163" t="s">
        <v>3519</v>
      </c>
      <c r="AQ163" t="s">
        <v>74</v>
      </c>
      <c r="AR163" t="s">
        <v>3520</v>
      </c>
      <c r="AS163" t="s">
        <v>3521</v>
      </c>
      <c r="AT163" t="s">
        <v>1309</v>
      </c>
      <c r="AU163">
        <v>2015</v>
      </c>
      <c r="AV163">
        <v>5</v>
      </c>
      <c r="AW163">
        <v>5</v>
      </c>
      <c r="AX163" t="s">
        <v>74</v>
      </c>
      <c r="AY163" t="s">
        <v>74</v>
      </c>
      <c r="AZ163" t="s">
        <v>74</v>
      </c>
      <c r="BA163" t="s">
        <v>74</v>
      </c>
      <c r="BB163">
        <v>445</v>
      </c>
      <c r="BC163">
        <v>448</v>
      </c>
      <c r="BD163" t="s">
        <v>74</v>
      </c>
      <c r="BE163" t="s">
        <v>3522</v>
      </c>
      <c r="BF163" t="str">
        <f>HYPERLINK("http://dx.doi.org/10.1038/NCLIMATE2568","http://dx.doi.org/10.1038/NCLIMATE2568")</f>
        <v>http://dx.doi.org/10.1038/NCLIMATE2568</v>
      </c>
      <c r="BG163" t="s">
        <v>74</v>
      </c>
      <c r="BH163" t="s">
        <v>74</v>
      </c>
      <c r="BI163">
        <v>4</v>
      </c>
      <c r="BJ163" t="s">
        <v>3523</v>
      </c>
      <c r="BK163" t="s">
        <v>1019</v>
      </c>
      <c r="BL163" t="s">
        <v>1742</v>
      </c>
      <c r="BM163" t="s">
        <v>3524</v>
      </c>
      <c r="BN163" t="s">
        <v>74</v>
      </c>
      <c r="BO163" t="s">
        <v>74</v>
      </c>
      <c r="BP163" t="s">
        <v>74</v>
      </c>
      <c r="BQ163" t="s">
        <v>74</v>
      </c>
      <c r="BR163" t="s">
        <v>104</v>
      </c>
      <c r="BS163" t="s">
        <v>3525</v>
      </c>
      <c r="BT163" t="str">
        <f>HYPERLINK("https%3A%2F%2Fwww.webofscience.com%2Fwos%2Fwoscc%2Ffull-record%2FWOS:000354891900021","View Full Record in Web of Science")</f>
        <v>View Full Record in Web of Science</v>
      </c>
    </row>
    <row r="164" spans="1:72" x14ac:dyDescent="0.15">
      <c r="A164" t="s">
        <v>72</v>
      </c>
      <c r="B164" t="s">
        <v>3526</v>
      </c>
      <c r="C164" t="s">
        <v>74</v>
      </c>
      <c r="D164" t="s">
        <v>74</v>
      </c>
      <c r="E164" t="s">
        <v>74</v>
      </c>
      <c r="F164" t="s">
        <v>3527</v>
      </c>
      <c r="G164" t="s">
        <v>74</v>
      </c>
      <c r="H164" t="s">
        <v>74</v>
      </c>
      <c r="I164" t="s">
        <v>3528</v>
      </c>
      <c r="J164" t="s">
        <v>3529</v>
      </c>
      <c r="K164" t="s">
        <v>74</v>
      </c>
      <c r="L164" t="s">
        <v>74</v>
      </c>
      <c r="M164" t="s">
        <v>78</v>
      </c>
      <c r="N164" t="s">
        <v>79</v>
      </c>
      <c r="O164" t="s">
        <v>74</v>
      </c>
      <c r="P164" t="s">
        <v>74</v>
      </c>
      <c r="Q164" t="s">
        <v>74</v>
      </c>
      <c r="R164" t="s">
        <v>74</v>
      </c>
      <c r="S164" t="s">
        <v>74</v>
      </c>
      <c r="T164" t="s">
        <v>74</v>
      </c>
      <c r="U164" t="s">
        <v>3530</v>
      </c>
      <c r="V164" t="s">
        <v>3531</v>
      </c>
      <c r="W164" t="s">
        <v>3532</v>
      </c>
      <c r="X164" t="s">
        <v>3533</v>
      </c>
      <c r="Y164" t="s">
        <v>3534</v>
      </c>
      <c r="Z164" t="s">
        <v>3535</v>
      </c>
      <c r="AA164" t="s">
        <v>3536</v>
      </c>
      <c r="AB164" t="s">
        <v>3537</v>
      </c>
      <c r="AC164" t="s">
        <v>3538</v>
      </c>
      <c r="AD164" t="s">
        <v>3539</v>
      </c>
      <c r="AE164" t="s">
        <v>3540</v>
      </c>
      <c r="AF164" t="s">
        <v>74</v>
      </c>
      <c r="AG164">
        <v>39</v>
      </c>
      <c r="AH164">
        <v>91</v>
      </c>
      <c r="AI164">
        <v>100</v>
      </c>
      <c r="AJ164">
        <v>1</v>
      </c>
      <c r="AK164">
        <v>84</v>
      </c>
      <c r="AL164" t="s">
        <v>422</v>
      </c>
      <c r="AM164" t="s">
        <v>423</v>
      </c>
      <c r="AN164" t="s">
        <v>424</v>
      </c>
      <c r="AO164" t="s">
        <v>74</v>
      </c>
      <c r="AP164" t="s">
        <v>3541</v>
      </c>
      <c r="AQ164" t="s">
        <v>74</v>
      </c>
      <c r="AR164" t="s">
        <v>3542</v>
      </c>
      <c r="AS164" t="s">
        <v>3543</v>
      </c>
      <c r="AT164" t="s">
        <v>1309</v>
      </c>
      <c r="AU164">
        <v>2015</v>
      </c>
      <c r="AV164">
        <v>6</v>
      </c>
      <c r="AW164" t="s">
        <v>74</v>
      </c>
      <c r="AX164" t="s">
        <v>74</v>
      </c>
      <c r="AY164" t="s">
        <v>74</v>
      </c>
      <c r="AZ164" t="s">
        <v>74</v>
      </c>
      <c r="BA164" t="s">
        <v>74</v>
      </c>
      <c r="BB164" t="s">
        <v>74</v>
      </c>
      <c r="BC164" t="s">
        <v>74</v>
      </c>
      <c r="BD164">
        <v>7233</v>
      </c>
      <c r="BE164" t="s">
        <v>3544</v>
      </c>
      <c r="BF164" t="str">
        <f>HYPERLINK("http://dx.doi.org/10.1038/ncomms8233","http://dx.doi.org/10.1038/ncomms8233")</f>
        <v>http://dx.doi.org/10.1038/ncomms8233</v>
      </c>
      <c r="BG164" t="s">
        <v>74</v>
      </c>
      <c r="BH164" t="s">
        <v>74</v>
      </c>
      <c r="BI164">
        <v>8</v>
      </c>
      <c r="BJ164" t="s">
        <v>429</v>
      </c>
      <c r="BK164" t="s">
        <v>100</v>
      </c>
      <c r="BL164" t="s">
        <v>430</v>
      </c>
      <c r="BM164" t="s">
        <v>3545</v>
      </c>
      <c r="BN164">
        <v>26011106</v>
      </c>
      <c r="BO164" t="s">
        <v>3546</v>
      </c>
      <c r="BP164" t="s">
        <v>74</v>
      </c>
      <c r="BQ164" t="s">
        <v>74</v>
      </c>
      <c r="BR164" t="s">
        <v>104</v>
      </c>
      <c r="BS164" t="s">
        <v>3547</v>
      </c>
      <c r="BT164" t="str">
        <f>HYPERLINK("https%3A%2F%2Fwww.webofscience.com%2Fwos%2Fwoscc%2Ffull-record%2FWOS:000355538500001","View Full Record in Web of Science")</f>
        <v>View Full Record in Web of Science</v>
      </c>
    </row>
    <row r="165" spans="1:72" x14ac:dyDescent="0.15">
      <c r="A165" t="s">
        <v>72</v>
      </c>
      <c r="B165" t="s">
        <v>3548</v>
      </c>
      <c r="C165" t="s">
        <v>74</v>
      </c>
      <c r="D165" t="s">
        <v>74</v>
      </c>
      <c r="E165" t="s">
        <v>74</v>
      </c>
      <c r="F165" t="s">
        <v>3549</v>
      </c>
      <c r="G165" t="s">
        <v>74</v>
      </c>
      <c r="H165" t="s">
        <v>74</v>
      </c>
      <c r="I165" t="s">
        <v>3550</v>
      </c>
      <c r="J165" t="s">
        <v>2529</v>
      </c>
      <c r="K165" t="s">
        <v>74</v>
      </c>
      <c r="L165" t="s">
        <v>74</v>
      </c>
      <c r="M165" t="s">
        <v>78</v>
      </c>
      <c r="N165" t="s">
        <v>79</v>
      </c>
      <c r="O165" t="s">
        <v>74</v>
      </c>
      <c r="P165" t="s">
        <v>74</v>
      </c>
      <c r="Q165" t="s">
        <v>74</v>
      </c>
      <c r="R165" t="s">
        <v>74</v>
      </c>
      <c r="S165" t="s">
        <v>74</v>
      </c>
      <c r="T165" t="s">
        <v>74</v>
      </c>
      <c r="U165" t="s">
        <v>3551</v>
      </c>
      <c r="V165" t="s">
        <v>3552</v>
      </c>
      <c r="W165" t="s">
        <v>3553</v>
      </c>
      <c r="X165" t="s">
        <v>3554</v>
      </c>
      <c r="Y165" t="s">
        <v>3555</v>
      </c>
      <c r="Z165" t="s">
        <v>3556</v>
      </c>
      <c r="AA165" t="s">
        <v>3557</v>
      </c>
      <c r="AB165" t="s">
        <v>3558</v>
      </c>
      <c r="AC165" t="s">
        <v>3559</v>
      </c>
      <c r="AD165" t="s">
        <v>3560</v>
      </c>
      <c r="AE165" t="s">
        <v>3561</v>
      </c>
      <c r="AF165" t="s">
        <v>74</v>
      </c>
      <c r="AG165">
        <v>30</v>
      </c>
      <c r="AH165">
        <v>57</v>
      </c>
      <c r="AI165">
        <v>59</v>
      </c>
      <c r="AJ165">
        <v>5</v>
      </c>
      <c r="AK165">
        <v>78</v>
      </c>
      <c r="AL165" t="s">
        <v>2539</v>
      </c>
      <c r="AM165" t="s">
        <v>121</v>
      </c>
      <c r="AN165" t="s">
        <v>2540</v>
      </c>
      <c r="AO165" t="s">
        <v>2541</v>
      </c>
      <c r="AP165" t="s">
        <v>2542</v>
      </c>
      <c r="AQ165" t="s">
        <v>74</v>
      </c>
      <c r="AR165" t="s">
        <v>2543</v>
      </c>
      <c r="AS165" t="s">
        <v>2544</v>
      </c>
      <c r="AT165" t="s">
        <v>1309</v>
      </c>
      <c r="AU165">
        <v>2015</v>
      </c>
      <c r="AV165">
        <v>8</v>
      </c>
      <c r="AW165">
        <v>5</v>
      </c>
      <c r="AX165" t="s">
        <v>74</v>
      </c>
      <c r="AY165" t="s">
        <v>74</v>
      </c>
      <c r="AZ165" t="s">
        <v>74</v>
      </c>
      <c r="BA165" t="s">
        <v>74</v>
      </c>
      <c r="BB165">
        <v>383</v>
      </c>
      <c r="BC165">
        <v>387</v>
      </c>
      <c r="BD165" t="s">
        <v>74</v>
      </c>
      <c r="BE165" t="s">
        <v>3562</v>
      </c>
      <c r="BF165" t="str">
        <f>HYPERLINK("http://dx.doi.org/10.1038/NGEO2422","http://dx.doi.org/10.1038/NGEO2422")</f>
        <v>http://dx.doi.org/10.1038/NGEO2422</v>
      </c>
      <c r="BG165" t="s">
        <v>74</v>
      </c>
      <c r="BH165" t="s">
        <v>74</v>
      </c>
      <c r="BI165">
        <v>5</v>
      </c>
      <c r="BJ165" t="s">
        <v>219</v>
      </c>
      <c r="BK165" t="s">
        <v>100</v>
      </c>
      <c r="BL165" t="s">
        <v>220</v>
      </c>
      <c r="BM165" t="s">
        <v>2546</v>
      </c>
      <c r="BN165" t="s">
        <v>74</v>
      </c>
      <c r="BO165" t="s">
        <v>74</v>
      </c>
      <c r="BP165" t="s">
        <v>74</v>
      </c>
      <c r="BQ165" t="s">
        <v>74</v>
      </c>
      <c r="BR165" t="s">
        <v>104</v>
      </c>
      <c r="BS165" t="s">
        <v>3563</v>
      </c>
      <c r="BT165" t="str">
        <f>HYPERLINK("https%3A%2F%2Fwww.webofscience.com%2Fwos%2Fwoscc%2Ffull-record%2FWOS:000353640100016","View Full Record in Web of Science")</f>
        <v>View Full Record in Web of Science</v>
      </c>
    </row>
    <row r="166" spans="1:72" x14ac:dyDescent="0.15">
      <c r="A166" t="s">
        <v>72</v>
      </c>
      <c r="B166" t="s">
        <v>3564</v>
      </c>
      <c r="C166" t="s">
        <v>74</v>
      </c>
      <c r="D166" t="s">
        <v>74</v>
      </c>
      <c r="E166" t="s">
        <v>74</v>
      </c>
      <c r="F166" t="s">
        <v>3565</v>
      </c>
      <c r="G166" t="s">
        <v>74</v>
      </c>
      <c r="H166" t="s">
        <v>74</v>
      </c>
      <c r="I166" t="s">
        <v>3566</v>
      </c>
      <c r="J166" t="s">
        <v>3567</v>
      </c>
      <c r="K166" t="s">
        <v>74</v>
      </c>
      <c r="L166" t="s">
        <v>74</v>
      </c>
      <c r="M166" t="s">
        <v>78</v>
      </c>
      <c r="N166" t="s">
        <v>79</v>
      </c>
      <c r="O166" t="s">
        <v>74</v>
      </c>
      <c r="P166" t="s">
        <v>74</v>
      </c>
      <c r="Q166" t="s">
        <v>74</v>
      </c>
      <c r="R166" t="s">
        <v>74</v>
      </c>
      <c r="S166" t="s">
        <v>74</v>
      </c>
      <c r="T166" t="s">
        <v>3568</v>
      </c>
      <c r="U166" t="s">
        <v>3569</v>
      </c>
      <c r="V166" t="s">
        <v>3570</v>
      </c>
      <c r="W166" t="s">
        <v>3571</v>
      </c>
      <c r="X166" t="s">
        <v>3572</v>
      </c>
      <c r="Y166" t="s">
        <v>3573</v>
      </c>
      <c r="Z166" t="s">
        <v>3574</v>
      </c>
      <c r="AA166" t="s">
        <v>3575</v>
      </c>
      <c r="AB166" t="s">
        <v>3576</v>
      </c>
      <c r="AC166" t="s">
        <v>3577</v>
      </c>
      <c r="AD166" t="s">
        <v>3578</v>
      </c>
      <c r="AE166" t="s">
        <v>3579</v>
      </c>
      <c r="AF166" t="s">
        <v>74</v>
      </c>
      <c r="AG166">
        <v>71</v>
      </c>
      <c r="AH166">
        <v>21</v>
      </c>
      <c r="AI166">
        <v>25</v>
      </c>
      <c r="AJ166">
        <v>1</v>
      </c>
      <c r="AK166">
        <v>20</v>
      </c>
      <c r="AL166" t="s">
        <v>1158</v>
      </c>
      <c r="AM166" t="s">
        <v>787</v>
      </c>
      <c r="AN166" t="s">
        <v>1159</v>
      </c>
      <c r="AO166" t="s">
        <v>3580</v>
      </c>
      <c r="AP166" t="s">
        <v>3581</v>
      </c>
      <c r="AQ166" t="s">
        <v>74</v>
      </c>
      <c r="AR166" t="s">
        <v>3582</v>
      </c>
      <c r="AS166" t="s">
        <v>3583</v>
      </c>
      <c r="AT166" t="s">
        <v>1309</v>
      </c>
      <c r="AU166">
        <v>2015</v>
      </c>
      <c r="AV166">
        <v>89</v>
      </c>
      <c r="AW166" t="s">
        <v>74</v>
      </c>
      <c r="AX166" t="s">
        <v>74</v>
      </c>
      <c r="AY166" t="s">
        <v>74</v>
      </c>
      <c r="AZ166" t="s">
        <v>74</v>
      </c>
      <c r="BA166" t="s">
        <v>74</v>
      </c>
      <c r="BB166">
        <v>84</v>
      </c>
      <c r="BC166">
        <v>103</v>
      </c>
      <c r="BD166" t="s">
        <v>74</v>
      </c>
      <c r="BE166" t="s">
        <v>3584</v>
      </c>
      <c r="BF166" t="str">
        <f>HYPERLINK("http://dx.doi.org/10.1016/j.ocemod.2015.03.004","http://dx.doi.org/10.1016/j.ocemod.2015.03.004")</f>
        <v>http://dx.doi.org/10.1016/j.ocemod.2015.03.004</v>
      </c>
      <c r="BG166" t="s">
        <v>74</v>
      </c>
      <c r="BH166" t="s">
        <v>74</v>
      </c>
      <c r="BI166">
        <v>20</v>
      </c>
      <c r="BJ166" t="s">
        <v>3585</v>
      </c>
      <c r="BK166" t="s">
        <v>100</v>
      </c>
      <c r="BL166" t="s">
        <v>3585</v>
      </c>
      <c r="BM166" t="s">
        <v>3586</v>
      </c>
      <c r="BN166" t="s">
        <v>74</v>
      </c>
      <c r="BO166" t="s">
        <v>74</v>
      </c>
      <c r="BP166" t="s">
        <v>74</v>
      </c>
      <c r="BQ166" t="s">
        <v>74</v>
      </c>
      <c r="BR166" t="s">
        <v>104</v>
      </c>
      <c r="BS166" t="s">
        <v>3587</v>
      </c>
      <c r="BT166" t="str">
        <f>HYPERLINK("https%3A%2F%2Fwww.webofscience.com%2Fwos%2Fwoscc%2Ffull-record%2FWOS:000353186000006","View Full Record in Web of Science")</f>
        <v>View Full Record in Web of Science</v>
      </c>
    </row>
    <row r="167" spans="1:72" x14ac:dyDescent="0.15">
      <c r="A167" t="s">
        <v>72</v>
      </c>
      <c r="B167" t="s">
        <v>3588</v>
      </c>
      <c r="C167" t="s">
        <v>74</v>
      </c>
      <c r="D167" t="s">
        <v>74</v>
      </c>
      <c r="E167" t="s">
        <v>74</v>
      </c>
      <c r="F167" t="s">
        <v>3589</v>
      </c>
      <c r="G167" t="s">
        <v>74</v>
      </c>
      <c r="H167" t="s">
        <v>74</v>
      </c>
      <c r="I167" t="s">
        <v>3590</v>
      </c>
      <c r="J167" t="s">
        <v>3591</v>
      </c>
      <c r="K167" t="s">
        <v>74</v>
      </c>
      <c r="L167" t="s">
        <v>74</v>
      </c>
      <c r="M167" t="s">
        <v>78</v>
      </c>
      <c r="N167" t="s">
        <v>79</v>
      </c>
      <c r="O167" t="s">
        <v>74</v>
      </c>
      <c r="P167" t="s">
        <v>74</v>
      </c>
      <c r="Q167" t="s">
        <v>74</v>
      </c>
      <c r="R167" t="s">
        <v>74</v>
      </c>
      <c r="S167" t="s">
        <v>74</v>
      </c>
      <c r="T167" t="s">
        <v>3592</v>
      </c>
      <c r="U167" t="s">
        <v>3593</v>
      </c>
      <c r="V167" t="s">
        <v>3594</v>
      </c>
      <c r="W167" t="s">
        <v>3595</v>
      </c>
      <c r="X167" t="s">
        <v>1616</v>
      </c>
      <c r="Y167" t="s">
        <v>3596</v>
      </c>
      <c r="Z167" t="s">
        <v>3597</v>
      </c>
      <c r="AA167" t="s">
        <v>3598</v>
      </c>
      <c r="AB167" t="s">
        <v>3599</v>
      </c>
      <c r="AC167" t="s">
        <v>74</v>
      </c>
      <c r="AD167" t="s">
        <v>74</v>
      </c>
      <c r="AE167" t="s">
        <v>74</v>
      </c>
      <c r="AF167" t="s">
        <v>74</v>
      </c>
      <c r="AG167">
        <v>44</v>
      </c>
      <c r="AH167">
        <v>59</v>
      </c>
      <c r="AI167">
        <v>63</v>
      </c>
      <c r="AJ167">
        <v>2</v>
      </c>
      <c r="AK167">
        <v>49</v>
      </c>
      <c r="AL167" t="s">
        <v>120</v>
      </c>
      <c r="AM167" t="s">
        <v>2560</v>
      </c>
      <c r="AN167" t="s">
        <v>2561</v>
      </c>
      <c r="AO167" t="s">
        <v>3600</v>
      </c>
      <c r="AP167" t="s">
        <v>3601</v>
      </c>
      <c r="AQ167" t="s">
        <v>74</v>
      </c>
      <c r="AR167" t="s">
        <v>3602</v>
      </c>
      <c r="AS167" t="s">
        <v>3603</v>
      </c>
      <c r="AT167" t="s">
        <v>1309</v>
      </c>
      <c r="AU167">
        <v>2015</v>
      </c>
      <c r="AV167">
        <v>124</v>
      </c>
      <c r="AW167">
        <v>2</v>
      </c>
      <c r="AX167" t="s">
        <v>74</v>
      </c>
      <c r="AY167" t="s">
        <v>74</v>
      </c>
      <c r="AZ167" t="s">
        <v>74</v>
      </c>
      <c r="BA167" t="s">
        <v>74</v>
      </c>
      <c r="BB167">
        <v>181</v>
      </c>
      <c r="BC167">
        <v>190</v>
      </c>
      <c r="BD167" t="s">
        <v>74</v>
      </c>
      <c r="BE167" t="s">
        <v>3604</v>
      </c>
      <c r="BF167" t="str">
        <f>HYPERLINK("http://dx.doi.org/10.1007/s11120-015-0114-0","http://dx.doi.org/10.1007/s11120-015-0114-0")</f>
        <v>http://dx.doi.org/10.1007/s11120-015-0114-0</v>
      </c>
      <c r="BG167" t="s">
        <v>74</v>
      </c>
      <c r="BH167" t="s">
        <v>74</v>
      </c>
      <c r="BI167">
        <v>10</v>
      </c>
      <c r="BJ167" t="s">
        <v>679</v>
      </c>
      <c r="BK167" t="s">
        <v>100</v>
      </c>
      <c r="BL167" t="s">
        <v>679</v>
      </c>
      <c r="BM167" t="s">
        <v>3605</v>
      </c>
      <c r="BN167">
        <v>25739900</v>
      </c>
      <c r="BO167" t="s">
        <v>74</v>
      </c>
      <c r="BP167" t="s">
        <v>74</v>
      </c>
      <c r="BQ167" t="s">
        <v>74</v>
      </c>
      <c r="BR167" t="s">
        <v>104</v>
      </c>
      <c r="BS167" t="s">
        <v>3606</v>
      </c>
      <c r="BT167" t="str">
        <f>HYPERLINK("https%3A%2F%2Fwww.webofscience.com%2Fwos%2Fwoscc%2Ffull-record%2FWOS:000352715500005","View Full Record in Web of Science")</f>
        <v>View Full Record in Web of Science</v>
      </c>
    </row>
    <row r="168" spans="1:72" x14ac:dyDescent="0.15">
      <c r="A168" t="s">
        <v>72</v>
      </c>
      <c r="B168" t="s">
        <v>3607</v>
      </c>
      <c r="C168" t="s">
        <v>74</v>
      </c>
      <c r="D168" t="s">
        <v>74</v>
      </c>
      <c r="E168" t="s">
        <v>74</v>
      </c>
      <c r="F168" t="s">
        <v>3608</v>
      </c>
      <c r="G168" t="s">
        <v>74</v>
      </c>
      <c r="H168" t="s">
        <v>74</v>
      </c>
      <c r="I168" t="s">
        <v>3609</v>
      </c>
      <c r="J168" t="s">
        <v>3610</v>
      </c>
      <c r="K168" t="s">
        <v>74</v>
      </c>
      <c r="L168" t="s">
        <v>74</v>
      </c>
      <c r="M168" t="s">
        <v>78</v>
      </c>
      <c r="N168" t="s">
        <v>79</v>
      </c>
      <c r="O168" t="s">
        <v>74</v>
      </c>
      <c r="P168" t="s">
        <v>74</v>
      </c>
      <c r="Q168" t="s">
        <v>74</v>
      </c>
      <c r="R168" t="s">
        <v>74</v>
      </c>
      <c r="S168" t="s">
        <v>74</v>
      </c>
      <c r="T168" t="s">
        <v>3611</v>
      </c>
      <c r="U168" t="s">
        <v>3612</v>
      </c>
      <c r="V168" t="s">
        <v>3613</v>
      </c>
      <c r="W168" t="s">
        <v>3614</v>
      </c>
      <c r="X168" t="s">
        <v>3615</v>
      </c>
      <c r="Y168" t="s">
        <v>3616</v>
      </c>
      <c r="Z168" t="s">
        <v>3617</v>
      </c>
      <c r="AA168" t="s">
        <v>3618</v>
      </c>
      <c r="AB168" t="s">
        <v>3619</v>
      </c>
      <c r="AC168" t="s">
        <v>3620</v>
      </c>
      <c r="AD168" t="s">
        <v>3621</v>
      </c>
      <c r="AE168" t="s">
        <v>3622</v>
      </c>
      <c r="AF168" t="s">
        <v>74</v>
      </c>
      <c r="AG168">
        <v>49</v>
      </c>
      <c r="AH168">
        <v>111</v>
      </c>
      <c r="AI168">
        <v>112</v>
      </c>
      <c r="AJ168">
        <v>2</v>
      </c>
      <c r="AK168">
        <v>100</v>
      </c>
      <c r="AL168" t="s">
        <v>120</v>
      </c>
      <c r="AM168" t="s">
        <v>2560</v>
      </c>
      <c r="AN168" t="s">
        <v>2561</v>
      </c>
      <c r="AO168" t="s">
        <v>3623</v>
      </c>
      <c r="AP168" t="s">
        <v>3624</v>
      </c>
      <c r="AQ168" t="s">
        <v>74</v>
      </c>
      <c r="AR168" t="s">
        <v>3625</v>
      </c>
      <c r="AS168" t="s">
        <v>3626</v>
      </c>
      <c r="AT168" t="s">
        <v>1309</v>
      </c>
      <c r="AU168">
        <v>2015</v>
      </c>
      <c r="AV168">
        <v>216</v>
      </c>
      <c r="AW168">
        <v>5</v>
      </c>
      <c r="AX168" t="s">
        <v>74</v>
      </c>
      <c r="AY168" t="s">
        <v>74</v>
      </c>
      <c r="AZ168" t="s">
        <v>454</v>
      </c>
      <c r="BA168" t="s">
        <v>74</v>
      </c>
      <c r="BB168">
        <v>669</v>
      </c>
      <c r="BC168">
        <v>682</v>
      </c>
      <c r="BD168" t="s">
        <v>74</v>
      </c>
      <c r="BE168" t="s">
        <v>3627</v>
      </c>
      <c r="BF168" t="str">
        <f>HYPERLINK("http://dx.doi.org/10.1007/s11258-014-0366-3","http://dx.doi.org/10.1007/s11258-014-0366-3")</f>
        <v>http://dx.doi.org/10.1007/s11258-014-0366-3</v>
      </c>
      <c r="BG168" t="s">
        <v>74</v>
      </c>
      <c r="BH168" t="s">
        <v>74</v>
      </c>
      <c r="BI168">
        <v>14</v>
      </c>
      <c r="BJ168" t="s">
        <v>3628</v>
      </c>
      <c r="BK168" t="s">
        <v>100</v>
      </c>
      <c r="BL168" t="s">
        <v>3629</v>
      </c>
      <c r="BM168" t="s">
        <v>3630</v>
      </c>
      <c r="BN168" t="s">
        <v>74</v>
      </c>
      <c r="BO168" t="s">
        <v>74</v>
      </c>
      <c r="BP168" t="s">
        <v>74</v>
      </c>
      <c r="BQ168" t="s">
        <v>74</v>
      </c>
      <c r="BR168" t="s">
        <v>104</v>
      </c>
      <c r="BS168" t="s">
        <v>3631</v>
      </c>
      <c r="BT168" t="str">
        <f>HYPERLINK("https%3A%2F%2Fwww.webofscience.com%2Fwos%2Fwoscc%2Ffull-record%2FWOS:000354320400004","View Full Record in Web of Science")</f>
        <v>View Full Record in Web of Science</v>
      </c>
    </row>
    <row r="169" spans="1:72" x14ac:dyDescent="0.15">
      <c r="A169" t="s">
        <v>72</v>
      </c>
      <c r="B169" t="s">
        <v>3632</v>
      </c>
      <c r="C169" t="s">
        <v>74</v>
      </c>
      <c r="D169" t="s">
        <v>74</v>
      </c>
      <c r="E169" t="s">
        <v>74</v>
      </c>
      <c r="F169" t="s">
        <v>3633</v>
      </c>
      <c r="G169" t="s">
        <v>74</v>
      </c>
      <c r="H169" t="s">
        <v>74</v>
      </c>
      <c r="I169" t="s">
        <v>3634</v>
      </c>
      <c r="J169" t="s">
        <v>1290</v>
      </c>
      <c r="K169" t="s">
        <v>74</v>
      </c>
      <c r="L169" t="s">
        <v>74</v>
      </c>
      <c r="M169" t="s">
        <v>78</v>
      </c>
      <c r="N169" t="s">
        <v>79</v>
      </c>
      <c r="O169" t="s">
        <v>74</v>
      </c>
      <c r="P169" t="s">
        <v>74</v>
      </c>
      <c r="Q169" t="s">
        <v>74</v>
      </c>
      <c r="R169" t="s">
        <v>74</v>
      </c>
      <c r="S169" t="s">
        <v>74</v>
      </c>
      <c r="T169" t="s">
        <v>3635</v>
      </c>
      <c r="U169" t="s">
        <v>3636</v>
      </c>
      <c r="V169" t="s">
        <v>3637</v>
      </c>
      <c r="W169" t="s">
        <v>3638</v>
      </c>
      <c r="X169" t="s">
        <v>3639</v>
      </c>
      <c r="Y169" t="s">
        <v>3640</v>
      </c>
      <c r="Z169" t="s">
        <v>3641</v>
      </c>
      <c r="AA169" t="s">
        <v>3642</v>
      </c>
      <c r="AB169" t="s">
        <v>3643</v>
      </c>
      <c r="AC169" t="s">
        <v>3644</v>
      </c>
      <c r="AD169" t="s">
        <v>3645</v>
      </c>
      <c r="AE169" t="s">
        <v>3646</v>
      </c>
      <c r="AF169" t="s">
        <v>74</v>
      </c>
      <c r="AG169">
        <v>90</v>
      </c>
      <c r="AH169">
        <v>35</v>
      </c>
      <c r="AI169">
        <v>35</v>
      </c>
      <c r="AJ169">
        <v>0</v>
      </c>
      <c r="AK169">
        <v>14</v>
      </c>
      <c r="AL169" t="s">
        <v>120</v>
      </c>
      <c r="AM169" t="s">
        <v>121</v>
      </c>
      <c r="AN169" t="s">
        <v>122</v>
      </c>
      <c r="AO169" t="s">
        <v>1305</v>
      </c>
      <c r="AP169" t="s">
        <v>1306</v>
      </c>
      <c r="AQ169" t="s">
        <v>74</v>
      </c>
      <c r="AR169" t="s">
        <v>1307</v>
      </c>
      <c r="AS169" t="s">
        <v>1308</v>
      </c>
      <c r="AT169" t="s">
        <v>1309</v>
      </c>
      <c r="AU169">
        <v>2015</v>
      </c>
      <c r="AV169">
        <v>38</v>
      </c>
      <c r="AW169">
        <v>5</v>
      </c>
      <c r="AX169" t="s">
        <v>74</v>
      </c>
      <c r="AY169" t="s">
        <v>74</v>
      </c>
      <c r="AZ169" t="s">
        <v>74</v>
      </c>
      <c r="BA169" t="s">
        <v>74</v>
      </c>
      <c r="BB169">
        <v>607</v>
      </c>
      <c r="BC169">
        <v>617</v>
      </c>
      <c r="BD169" t="s">
        <v>74</v>
      </c>
      <c r="BE169" t="s">
        <v>3647</v>
      </c>
      <c r="BF169" t="str">
        <f>HYPERLINK("http://dx.doi.org/10.1007/s00300-014-1623-6","http://dx.doi.org/10.1007/s00300-014-1623-6")</f>
        <v>http://dx.doi.org/10.1007/s00300-014-1623-6</v>
      </c>
      <c r="BG169" t="s">
        <v>74</v>
      </c>
      <c r="BH169" t="s">
        <v>74</v>
      </c>
      <c r="BI169">
        <v>11</v>
      </c>
      <c r="BJ169" t="s">
        <v>1311</v>
      </c>
      <c r="BK169" t="s">
        <v>100</v>
      </c>
      <c r="BL169" t="s">
        <v>154</v>
      </c>
      <c r="BM169" t="s">
        <v>1312</v>
      </c>
      <c r="BN169" t="s">
        <v>74</v>
      </c>
      <c r="BO169" t="s">
        <v>559</v>
      </c>
      <c r="BP169" t="s">
        <v>74</v>
      </c>
      <c r="BQ169" t="s">
        <v>74</v>
      </c>
      <c r="BR169" t="s">
        <v>104</v>
      </c>
      <c r="BS169" t="s">
        <v>3648</v>
      </c>
      <c r="BT169" t="str">
        <f>HYPERLINK("https%3A%2F%2Fwww.webofscience.com%2Fwos%2Fwoscc%2Ffull-record%2FWOS:000370838600002","View Full Record in Web of Science")</f>
        <v>View Full Record in Web of Science</v>
      </c>
    </row>
    <row r="170" spans="1:72" x14ac:dyDescent="0.15">
      <c r="A170" t="s">
        <v>72</v>
      </c>
      <c r="B170" t="s">
        <v>3649</v>
      </c>
      <c r="C170" t="s">
        <v>74</v>
      </c>
      <c r="D170" t="s">
        <v>74</v>
      </c>
      <c r="E170" t="s">
        <v>74</v>
      </c>
      <c r="F170" t="s">
        <v>3650</v>
      </c>
      <c r="G170" t="s">
        <v>74</v>
      </c>
      <c r="H170" t="s">
        <v>74</v>
      </c>
      <c r="I170" t="s">
        <v>3651</v>
      </c>
      <c r="J170" t="s">
        <v>1290</v>
      </c>
      <c r="K170" t="s">
        <v>74</v>
      </c>
      <c r="L170" t="s">
        <v>74</v>
      </c>
      <c r="M170" t="s">
        <v>78</v>
      </c>
      <c r="N170" t="s">
        <v>79</v>
      </c>
      <c r="O170" t="s">
        <v>74</v>
      </c>
      <c r="P170" t="s">
        <v>74</v>
      </c>
      <c r="Q170" t="s">
        <v>74</v>
      </c>
      <c r="R170" t="s">
        <v>74</v>
      </c>
      <c r="S170" t="s">
        <v>74</v>
      </c>
      <c r="T170" t="s">
        <v>3652</v>
      </c>
      <c r="U170" t="s">
        <v>3653</v>
      </c>
      <c r="V170" t="s">
        <v>3654</v>
      </c>
      <c r="W170" t="s">
        <v>3655</v>
      </c>
      <c r="X170" t="s">
        <v>3656</v>
      </c>
      <c r="Y170" t="s">
        <v>3657</v>
      </c>
      <c r="Z170" t="s">
        <v>3658</v>
      </c>
      <c r="AA170" t="s">
        <v>3659</v>
      </c>
      <c r="AB170" t="s">
        <v>3660</v>
      </c>
      <c r="AC170" t="s">
        <v>3661</v>
      </c>
      <c r="AD170" t="s">
        <v>3661</v>
      </c>
      <c r="AE170" t="s">
        <v>3662</v>
      </c>
      <c r="AF170" t="s">
        <v>74</v>
      </c>
      <c r="AG170">
        <v>40</v>
      </c>
      <c r="AH170">
        <v>159</v>
      </c>
      <c r="AI170">
        <v>178</v>
      </c>
      <c r="AJ170">
        <v>6</v>
      </c>
      <c r="AK170">
        <v>80</v>
      </c>
      <c r="AL170" t="s">
        <v>120</v>
      </c>
      <c r="AM170" t="s">
        <v>121</v>
      </c>
      <c r="AN170" t="s">
        <v>122</v>
      </c>
      <c r="AO170" t="s">
        <v>1305</v>
      </c>
      <c r="AP170" t="s">
        <v>1306</v>
      </c>
      <c r="AQ170" t="s">
        <v>74</v>
      </c>
      <c r="AR170" t="s">
        <v>1307</v>
      </c>
      <c r="AS170" t="s">
        <v>1308</v>
      </c>
      <c r="AT170" t="s">
        <v>1309</v>
      </c>
      <c r="AU170">
        <v>2015</v>
      </c>
      <c r="AV170">
        <v>38</v>
      </c>
      <c r="AW170">
        <v>5</v>
      </c>
      <c r="AX170" t="s">
        <v>74</v>
      </c>
      <c r="AY170" t="s">
        <v>74</v>
      </c>
      <c r="AZ170" t="s">
        <v>74</v>
      </c>
      <c r="BA170" t="s">
        <v>74</v>
      </c>
      <c r="BB170">
        <v>619</v>
      </c>
      <c r="BC170">
        <v>630</v>
      </c>
      <c r="BD170" t="s">
        <v>74</v>
      </c>
      <c r="BE170" t="s">
        <v>3663</v>
      </c>
      <c r="BF170" t="str">
        <f>HYPERLINK("http://dx.doi.org/10.1007/s00300-014-1625-4","http://dx.doi.org/10.1007/s00300-014-1625-4")</f>
        <v>http://dx.doi.org/10.1007/s00300-014-1625-4</v>
      </c>
      <c r="BG170" t="s">
        <v>74</v>
      </c>
      <c r="BH170" t="s">
        <v>74</v>
      </c>
      <c r="BI170">
        <v>12</v>
      </c>
      <c r="BJ170" t="s">
        <v>1311</v>
      </c>
      <c r="BK170" t="s">
        <v>100</v>
      </c>
      <c r="BL170" t="s">
        <v>154</v>
      </c>
      <c r="BM170" t="s">
        <v>1312</v>
      </c>
      <c r="BN170" t="s">
        <v>74</v>
      </c>
      <c r="BO170" t="s">
        <v>2481</v>
      </c>
      <c r="BP170" t="s">
        <v>74</v>
      </c>
      <c r="BQ170" t="s">
        <v>74</v>
      </c>
      <c r="BR170" t="s">
        <v>104</v>
      </c>
      <c r="BS170" t="s">
        <v>3664</v>
      </c>
      <c r="BT170" t="str">
        <f>HYPERLINK("https%3A%2F%2Fwww.webofscience.com%2Fwos%2Fwoscc%2Ffull-record%2FWOS:000370838600003","View Full Record in Web of Science")</f>
        <v>View Full Record in Web of Science</v>
      </c>
    </row>
    <row r="171" spans="1:72" x14ac:dyDescent="0.15">
      <c r="A171" t="s">
        <v>72</v>
      </c>
      <c r="B171" t="s">
        <v>3665</v>
      </c>
      <c r="C171" t="s">
        <v>74</v>
      </c>
      <c r="D171" t="s">
        <v>74</v>
      </c>
      <c r="E171" t="s">
        <v>74</v>
      </c>
      <c r="F171" t="s">
        <v>3666</v>
      </c>
      <c r="G171" t="s">
        <v>74</v>
      </c>
      <c r="H171" t="s">
        <v>74</v>
      </c>
      <c r="I171" t="s">
        <v>3667</v>
      </c>
      <c r="J171" t="s">
        <v>1290</v>
      </c>
      <c r="K171" t="s">
        <v>74</v>
      </c>
      <c r="L171" t="s">
        <v>74</v>
      </c>
      <c r="M171" t="s">
        <v>78</v>
      </c>
      <c r="N171" t="s">
        <v>79</v>
      </c>
      <c r="O171" t="s">
        <v>74</v>
      </c>
      <c r="P171" t="s">
        <v>74</v>
      </c>
      <c r="Q171" t="s">
        <v>74</v>
      </c>
      <c r="R171" t="s">
        <v>74</v>
      </c>
      <c r="S171" t="s">
        <v>74</v>
      </c>
      <c r="T171" t="s">
        <v>3668</v>
      </c>
      <c r="U171" t="s">
        <v>3669</v>
      </c>
      <c r="V171" t="s">
        <v>3670</v>
      </c>
      <c r="W171" t="s">
        <v>3671</v>
      </c>
      <c r="X171" t="s">
        <v>3672</v>
      </c>
      <c r="Y171" t="s">
        <v>3673</v>
      </c>
      <c r="Z171" t="s">
        <v>3674</v>
      </c>
      <c r="AA171" t="s">
        <v>3675</v>
      </c>
      <c r="AB171" t="s">
        <v>3676</v>
      </c>
      <c r="AC171" t="s">
        <v>3677</v>
      </c>
      <c r="AD171" t="s">
        <v>3678</v>
      </c>
      <c r="AE171" t="s">
        <v>3679</v>
      </c>
      <c r="AF171" t="s">
        <v>74</v>
      </c>
      <c r="AG171">
        <v>52</v>
      </c>
      <c r="AH171">
        <v>20</v>
      </c>
      <c r="AI171">
        <v>20</v>
      </c>
      <c r="AJ171">
        <v>0</v>
      </c>
      <c r="AK171">
        <v>21</v>
      </c>
      <c r="AL171" t="s">
        <v>120</v>
      </c>
      <c r="AM171" t="s">
        <v>121</v>
      </c>
      <c r="AN171" t="s">
        <v>122</v>
      </c>
      <c r="AO171" t="s">
        <v>1305</v>
      </c>
      <c r="AP171" t="s">
        <v>1306</v>
      </c>
      <c r="AQ171" t="s">
        <v>74</v>
      </c>
      <c r="AR171" t="s">
        <v>1307</v>
      </c>
      <c r="AS171" t="s">
        <v>1308</v>
      </c>
      <c r="AT171" t="s">
        <v>1309</v>
      </c>
      <c r="AU171">
        <v>2015</v>
      </c>
      <c r="AV171">
        <v>38</v>
      </c>
      <c r="AW171">
        <v>5</v>
      </c>
      <c r="AX171" t="s">
        <v>74</v>
      </c>
      <c r="AY171" t="s">
        <v>74</v>
      </c>
      <c r="AZ171" t="s">
        <v>74</v>
      </c>
      <c r="BA171" t="s">
        <v>74</v>
      </c>
      <c r="BB171">
        <v>631</v>
      </c>
      <c r="BC171">
        <v>641</v>
      </c>
      <c r="BD171" t="s">
        <v>74</v>
      </c>
      <c r="BE171" t="s">
        <v>3680</v>
      </c>
      <c r="BF171" t="str">
        <f>HYPERLINK("http://dx.doi.org/10.1007/s00300-014-1626-3","http://dx.doi.org/10.1007/s00300-014-1626-3")</f>
        <v>http://dx.doi.org/10.1007/s00300-014-1626-3</v>
      </c>
      <c r="BG171" t="s">
        <v>74</v>
      </c>
      <c r="BH171" t="s">
        <v>74</v>
      </c>
      <c r="BI171">
        <v>11</v>
      </c>
      <c r="BJ171" t="s">
        <v>1311</v>
      </c>
      <c r="BK171" t="s">
        <v>100</v>
      </c>
      <c r="BL171" t="s">
        <v>154</v>
      </c>
      <c r="BM171" t="s">
        <v>1312</v>
      </c>
      <c r="BN171" t="s">
        <v>74</v>
      </c>
      <c r="BO171" t="s">
        <v>3094</v>
      </c>
      <c r="BP171" t="s">
        <v>74</v>
      </c>
      <c r="BQ171" t="s">
        <v>74</v>
      </c>
      <c r="BR171" t="s">
        <v>104</v>
      </c>
      <c r="BS171" t="s">
        <v>3681</v>
      </c>
      <c r="BT171" t="str">
        <f>HYPERLINK("https%3A%2F%2Fwww.webofscience.com%2Fwos%2Fwoscc%2Ffull-record%2FWOS:000370838600004","View Full Record in Web of Science")</f>
        <v>View Full Record in Web of Science</v>
      </c>
    </row>
    <row r="172" spans="1:72" x14ac:dyDescent="0.15">
      <c r="A172" t="s">
        <v>72</v>
      </c>
      <c r="B172" t="s">
        <v>3682</v>
      </c>
      <c r="C172" t="s">
        <v>74</v>
      </c>
      <c r="D172" t="s">
        <v>74</v>
      </c>
      <c r="E172" t="s">
        <v>74</v>
      </c>
      <c r="F172" t="s">
        <v>3683</v>
      </c>
      <c r="G172" t="s">
        <v>74</v>
      </c>
      <c r="H172" t="s">
        <v>74</v>
      </c>
      <c r="I172" t="s">
        <v>3684</v>
      </c>
      <c r="J172" t="s">
        <v>1290</v>
      </c>
      <c r="K172" t="s">
        <v>74</v>
      </c>
      <c r="L172" t="s">
        <v>74</v>
      </c>
      <c r="M172" t="s">
        <v>78</v>
      </c>
      <c r="N172" t="s">
        <v>79</v>
      </c>
      <c r="O172" t="s">
        <v>74</v>
      </c>
      <c r="P172" t="s">
        <v>74</v>
      </c>
      <c r="Q172" t="s">
        <v>74</v>
      </c>
      <c r="R172" t="s">
        <v>74</v>
      </c>
      <c r="S172" t="s">
        <v>74</v>
      </c>
      <c r="T172" t="s">
        <v>3685</v>
      </c>
      <c r="U172" t="s">
        <v>3686</v>
      </c>
      <c r="V172" t="s">
        <v>3687</v>
      </c>
      <c r="W172" t="s">
        <v>3688</v>
      </c>
      <c r="X172" t="s">
        <v>3689</v>
      </c>
      <c r="Y172" t="s">
        <v>3690</v>
      </c>
      <c r="Z172" t="s">
        <v>3691</v>
      </c>
      <c r="AA172" t="s">
        <v>74</v>
      </c>
      <c r="AB172" t="s">
        <v>3692</v>
      </c>
      <c r="AC172" t="s">
        <v>74</v>
      </c>
      <c r="AD172" t="s">
        <v>74</v>
      </c>
      <c r="AE172" t="s">
        <v>74</v>
      </c>
      <c r="AF172" t="s">
        <v>74</v>
      </c>
      <c r="AG172">
        <v>22</v>
      </c>
      <c r="AH172">
        <v>10</v>
      </c>
      <c r="AI172">
        <v>11</v>
      </c>
      <c r="AJ172">
        <v>0</v>
      </c>
      <c r="AK172">
        <v>7</v>
      </c>
      <c r="AL172" t="s">
        <v>120</v>
      </c>
      <c r="AM172" t="s">
        <v>121</v>
      </c>
      <c r="AN172" t="s">
        <v>122</v>
      </c>
      <c r="AO172" t="s">
        <v>1305</v>
      </c>
      <c r="AP172" t="s">
        <v>1306</v>
      </c>
      <c r="AQ172" t="s">
        <v>74</v>
      </c>
      <c r="AR172" t="s">
        <v>1307</v>
      </c>
      <c r="AS172" t="s">
        <v>1308</v>
      </c>
      <c r="AT172" t="s">
        <v>1309</v>
      </c>
      <c r="AU172">
        <v>2015</v>
      </c>
      <c r="AV172">
        <v>38</v>
      </c>
      <c r="AW172">
        <v>5</v>
      </c>
      <c r="AX172" t="s">
        <v>74</v>
      </c>
      <c r="AY172" t="s">
        <v>74</v>
      </c>
      <c r="AZ172" t="s">
        <v>74</v>
      </c>
      <c r="BA172" t="s">
        <v>74</v>
      </c>
      <c r="BB172">
        <v>643</v>
      </c>
      <c r="BC172">
        <v>649</v>
      </c>
      <c r="BD172" t="s">
        <v>74</v>
      </c>
      <c r="BE172" t="s">
        <v>3693</v>
      </c>
      <c r="BF172" t="str">
        <f>HYPERLINK("http://dx.doi.org/10.1007/s00300-014-1627-2","http://dx.doi.org/10.1007/s00300-014-1627-2")</f>
        <v>http://dx.doi.org/10.1007/s00300-014-1627-2</v>
      </c>
      <c r="BG172" t="s">
        <v>74</v>
      </c>
      <c r="BH172" t="s">
        <v>74</v>
      </c>
      <c r="BI172">
        <v>7</v>
      </c>
      <c r="BJ172" t="s">
        <v>1311</v>
      </c>
      <c r="BK172" t="s">
        <v>100</v>
      </c>
      <c r="BL172" t="s">
        <v>154</v>
      </c>
      <c r="BM172" t="s">
        <v>1312</v>
      </c>
      <c r="BN172" t="s">
        <v>74</v>
      </c>
      <c r="BO172" t="s">
        <v>559</v>
      </c>
      <c r="BP172" t="s">
        <v>74</v>
      </c>
      <c r="BQ172" t="s">
        <v>74</v>
      </c>
      <c r="BR172" t="s">
        <v>104</v>
      </c>
      <c r="BS172" t="s">
        <v>3694</v>
      </c>
      <c r="BT172" t="str">
        <f>HYPERLINK("https%3A%2F%2Fwww.webofscience.com%2Fwos%2Fwoscc%2Ffull-record%2FWOS:000370838600005","View Full Record in Web of Science")</f>
        <v>View Full Record in Web of Science</v>
      </c>
    </row>
    <row r="173" spans="1:72" x14ac:dyDescent="0.15">
      <c r="A173" t="s">
        <v>72</v>
      </c>
      <c r="B173" t="s">
        <v>3695</v>
      </c>
      <c r="C173" t="s">
        <v>74</v>
      </c>
      <c r="D173" t="s">
        <v>74</v>
      </c>
      <c r="E173" t="s">
        <v>74</v>
      </c>
      <c r="F173" t="s">
        <v>3696</v>
      </c>
      <c r="G173" t="s">
        <v>74</v>
      </c>
      <c r="H173" t="s">
        <v>74</v>
      </c>
      <c r="I173" t="s">
        <v>3697</v>
      </c>
      <c r="J173" t="s">
        <v>1290</v>
      </c>
      <c r="K173" t="s">
        <v>74</v>
      </c>
      <c r="L173" t="s">
        <v>74</v>
      </c>
      <c r="M173" t="s">
        <v>78</v>
      </c>
      <c r="N173" t="s">
        <v>79</v>
      </c>
      <c r="O173" t="s">
        <v>74</v>
      </c>
      <c r="P173" t="s">
        <v>74</v>
      </c>
      <c r="Q173" t="s">
        <v>74</v>
      </c>
      <c r="R173" t="s">
        <v>74</v>
      </c>
      <c r="S173" t="s">
        <v>74</v>
      </c>
      <c r="T173" t="s">
        <v>3698</v>
      </c>
      <c r="U173" t="s">
        <v>3699</v>
      </c>
      <c r="V173" t="s">
        <v>3700</v>
      </c>
      <c r="W173" t="s">
        <v>3701</v>
      </c>
      <c r="X173" t="s">
        <v>3702</v>
      </c>
      <c r="Y173" t="s">
        <v>3703</v>
      </c>
      <c r="Z173" t="s">
        <v>3704</v>
      </c>
      <c r="AA173" t="s">
        <v>74</v>
      </c>
      <c r="AB173" t="s">
        <v>3705</v>
      </c>
      <c r="AC173" t="s">
        <v>3706</v>
      </c>
      <c r="AD173" t="s">
        <v>3707</v>
      </c>
      <c r="AE173" t="s">
        <v>3708</v>
      </c>
      <c r="AF173" t="s">
        <v>74</v>
      </c>
      <c r="AG173">
        <v>54</v>
      </c>
      <c r="AH173">
        <v>37</v>
      </c>
      <c r="AI173">
        <v>39</v>
      </c>
      <c r="AJ173">
        <v>0</v>
      </c>
      <c r="AK173">
        <v>34</v>
      </c>
      <c r="AL173" t="s">
        <v>120</v>
      </c>
      <c r="AM173" t="s">
        <v>121</v>
      </c>
      <c r="AN173" t="s">
        <v>122</v>
      </c>
      <c r="AO173" t="s">
        <v>1305</v>
      </c>
      <c r="AP173" t="s">
        <v>1306</v>
      </c>
      <c r="AQ173" t="s">
        <v>74</v>
      </c>
      <c r="AR173" t="s">
        <v>1307</v>
      </c>
      <c r="AS173" t="s">
        <v>1308</v>
      </c>
      <c r="AT173" t="s">
        <v>1309</v>
      </c>
      <c r="AU173">
        <v>2015</v>
      </c>
      <c r="AV173">
        <v>38</v>
      </c>
      <c r="AW173">
        <v>5</v>
      </c>
      <c r="AX173" t="s">
        <v>74</v>
      </c>
      <c r="AY173" t="s">
        <v>74</v>
      </c>
      <c r="AZ173" t="s">
        <v>74</v>
      </c>
      <c r="BA173" t="s">
        <v>74</v>
      </c>
      <c r="BB173">
        <v>677</v>
      </c>
      <c r="BC173">
        <v>687</v>
      </c>
      <c r="BD173" t="s">
        <v>74</v>
      </c>
      <c r="BE173" t="s">
        <v>3709</v>
      </c>
      <c r="BF173" t="str">
        <f>HYPERLINK("http://dx.doi.org/10.1007/s00300-014-1630-7","http://dx.doi.org/10.1007/s00300-014-1630-7")</f>
        <v>http://dx.doi.org/10.1007/s00300-014-1630-7</v>
      </c>
      <c r="BG173" t="s">
        <v>74</v>
      </c>
      <c r="BH173" t="s">
        <v>74</v>
      </c>
      <c r="BI173">
        <v>11</v>
      </c>
      <c r="BJ173" t="s">
        <v>1311</v>
      </c>
      <c r="BK173" t="s">
        <v>100</v>
      </c>
      <c r="BL173" t="s">
        <v>154</v>
      </c>
      <c r="BM173" t="s">
        <v>1312</v>
      </c>
      <c r="BN173" t="s">
        <v>74</v>
      </c>
      <c r="BO173" t="s">
        <v>559</v>
      </c>
      <c r="BP173" t="s">
        <v>74</v>
      </c>
      <c r="BQ173" t="s">
        <v>74</v>
      </c>
      <c r="BR173" t="s">
        <v>104</v>
      </c>
      <c r="BS173" t="s">
        <v>3710</v>
      </c>
      <c r="BT173" t="str">
        <f>HYPERLINK("https%3A%2F%2Fwww.webofscience.com%2Fwos%2Fwoscc%2Ffull-record%2FWOS:000370838600008","View Full Record in Web of Science")</f>
        <v>View Full Record in Web of Science</v>
      </c>
    </row>
    <row r="174" spans="1:72" x14ac:dyDescent="0.15">
      <c r="A174" t="s">
        <v>72</v>
      </c>
      <c r="B174" t="s">
        <v>3711</v>
      </c>
      <c r="C174" t="s">
        <v>74</v>
      </c>
      <c r="D174" t="s">
        <v>74</v>
      </c>
      <c r="E174" t="s">
        <v>74</v>
      </c>
      <c r="F174" t="s">
        <v>3712</v>
      </c>
      <c r="G174" t="s">
        <v>74</v>
      </c>
      <c r="H174" t="s">
        <v>74</v>
      </c>
      <c r="I174" t="s">
        <v>3713</v>
      </c>
      <c r="J174" t="s">
        <v>3714</v>
      </c>
      <c r="K174" t="s">
        <v>74</v>
      </c>
      <c r="L174" t="s">
        <v>74</v>
      </c>
      <c r="M174" t="s">
        <v>78</v>
      </c>
      <c r="N174" t="s">
        <v>79</v>
      </c>
      <c r="O174" t="s">
        <v>74</v>
      </c>
      <c r="P174" t="s">
        <v>74</v>
      </c>
      <c r="Q174" t="s">
        <v>74</v>
      </c>
      <c r="R174" t="s">
        <v>74</v>
      </c>
      <c r="S174" t="s">
        <v>74</v>
      </c>
      <c r="T174" t="s">
        <v>3715</v>
      </c>
      <c r="U174" t="s">
        <v>74</v>
      </c>
      <c r="V174" t="s">
        <v>3716</v>
      </c>
      <c r="W174" t="s">
        <v>3717</v>
      </c>
      <c r="X174" t="s">
        <v>3718</v>
      </c>
      <c r="Y174" t="s">
        <v>3719</v>
      </c>
      <c r="Z174" t="s">
        <v>74</v>
      </c>
      <c r="AA174" t="s">
        <v>74</v>
      </c>
      <c r="AB174" t="s">
        <v>3720</v>
      </c>
      <c r="AC174" t="s">
        <v>3721</v>
      </c>
      <c r="AD174" t="s">
        <v>3722</v>
      </c>
      <c r="AE174" t="s">
        <v>3723</v>
      </c>
      <c r="AF174" t="s">
        <v>74</v>
      </c>
      <c r="AG174">
        <v>16</v>
      </c>
      <c r="AH174">
        <v>6</v>
      </c>
      <c r="AI174">
        <v>6</v>
      </c>
      <c r="AJ174">
        <v>0</v>
      </c>
      <c r="AK174">
        <v>5</v>
      </c>
      <c r="AL174" t="s">
        <v>3724</v>
      </c>
      <c r="AM174" t="s">
        <v>3725</v>
      </c>
      <c r="AN174" t="s">
        <v>3726</v>
      </c>
      <c r="AO174" t="s">
        <v>3727</v>
      </c>
      <c r="AP174" t="s">
        <v>3728</v>
      </c>
      <c r="AQ174" t="s">
        <v>74</v>
      </c>
      <c r="AR174" t="s">
        <v>3729</v>
      </c>
      <c r="AS174" t="s">
        <v>3730</v>
      </c>
      <c r="AT174" t="s">
        <v>1309</v>
      </c>
      <c r="AU174">
        <v>2015</v>
      </c>
      <c r="AV174">
        <v>168</v>
      </c>
      <c r="AW174">
        <v>2</v>
      </c>
      <c r="AX174" t="s">
        <v>74</v>
      </c>
      <c r="AY174" t="s">
        <v>74</v>
      </c>
      <c r="AZ174" t="s">
        <v>74</v>
      </c>
      <c r="BA174" t="s">
        <v>74</v>
      </c>
      <c r="BB174">
        <v>81</v>
      </c>
      <c r="BC174">
        <v>84</v>
      </c>
      <c r="BD174">
        <v>1400014</v>
      </c>
      <c r="BE174" t="s">
        <v>3731</v>
      </c>
      <c r="BF174" t="str">
        <f>HYPERLINK("http://dx.doi.org/10.1680/feng.14.00014","http://dx.doi.org/10.1680/feng.14.00014")</f>
        <v>http://dx.doi.org/10.1680/feng.14.00014</v>
      </c>
      <c r="BG174" t="s">
        <v>74</v>
      </c>
      <c r="BH174" t="s">
        <v>74</v>
      </c>
      <c r="BI174">
        <v>4</v>
      </c>
      <c r="BJ174" t="s">
        <v>3732</v>
      </c>
      <c r="BK174" t="s">
        <v>888</v>
      </c>
      <c r="BL174" t="s">
        <v>586</v>
      </c>
      <c r="BM174" t="s">
        <v>3733</v>
      </c>
      <c r="BN174" t="s">
        <v>74</v>
      </c>
      <c r="BO174" t="s">
        <v>74</v>
      </c>
      <c r="BP174" t="s">
        <v>74</v>
      </c>
      <c r="BQ174" t="s">
        <v>74</v>
      </c>
      <c r="BR174" t="s">
        <v>104</v>
      </c>
      <c r="BS174" t="s">
        <v>3734</v>
      </c>
      <c r="BT174" t="str">
        <f>HYPERLINK("https%3A%2F%2Fwww.webofscience.com%2Fwos%2Fwoscc%2Ffull-record%2FWOS:000219178000008","View Full Record in Web of Science")</f>
        <v>View Full Record in Web of Science</v>
      </c>
    </row>
    <row r="175" spans="1:72" x14ac:dyDescent="0.15">
      <c r="A175" t="s">
        <v>72</v>
      </c>
      <c r="B175" t="s">
        <v>3735</v>
      </c>
      <c r="C175" t="s">
        <v>74</v>
      </c>
      <c r="D175" t="s">
        <v>74</v>
      </c>
      <c r="E175" t="s">
        <v>74</v>
      </c>
      <c r="F175" t="s">
        <v>3736</v>
      </c>
      <c r="G175" t="s">
        <v>74</v>
      </c>
      <c r="H175" t="s">
        <v>74</v>
      </c>
      <c r="I175" t="s">
        <v>3737</v>
      </c>
      <c r="J175" t="s">
        <v>1570</v>
      </c>
      <c r="K175" t="s">
        <v>74</v>
      </c>
      <c r="L175" t="s">
        <v>74</v>
      </c>
      <c r="M175" t="s">
        <v>78</v>
      </c>
      <c r="N175" t="s">
        <v>1291</v>
      </c>
      <c r="O175" t="s">
        <v>74</v>
      </c>
      <c r="P175" t="s">
        <v>74</v>
      </c>
      <c r="Q175" t="s">
        <v>74</v>
      </c>
      <c r="R175" t="s">
        <v>74</v>
      </c>
      <c r="S175" t="s">
        <v>74</v>
      </c>
      <c r="T175" t="s">
        <v>74</v>
      </c>
      <c r="U175" t="s">
        <v>3738</v>
      </c>
      <c r="V175" t="s">
        <v>3739</v>
      </c>
      <c r="W175" t="s">
        <v>3740</v>
      </c>
      <c r="X175" t="s">
        <v>3741</v>
      </c>
      <c r="Y175" t="s">
        <v>3742</v>
      </c>
      <c r="Z175" t="s">
        <v>74</v>
      </c>
      <c r="AA175" t="s">
        <v>74</v>
      </c>
      <c r="AB175" t="s">
        <v>74</v>
      </c>
      <c r="AC175" t="s">
        <v>3743</v>
      </c>
      <c r="AD175" t="s">
        <v>3744</v>
      </c>
      <c r="AE175" t="s">
        <v>3745</v>
      </c>
      <c r="AF175" t="s">
        <v>74</v>
      </c>
      <c r="AG175">
        <v>144</v>
      </c>
      <c r="AH175">
        <v>55</v>
      </c>
      <c r="AI175">
        <v>59</v>
      </c>
      <c r="AJ175">
        <v>2</v>
      </c>
      <c r="AK175">
        <v>89</v>
      </c>
      <c r="AL175" t="s">
        <v>786</v>
      </c>
      <c r="AM175" t="s">
        <v>787</v>
      </c>
      <c r="AN175" t="s">
        <v>788</v>
      </c>
      <c r="AO175" t="s">
        <v>1582</v>
      </c>
      <c r="AP175" t="s">
        <v>74</v>
      </c>
      <c r="AQ175" t="s">
        <v>74</v>
      </c>
      <c r="AR175" t="s">
        <v>1583</v>
      </c>
      <c r="AS175" t="s">
        <v>1584</v>
      </c>
      <c r="AT175" t="s">
        <v>1309</v>
      </c>
      <c r="AU175">
        <v>2015</v>
      </c>
      <c r="AV175">
        <v>134</v>
      </c>
      <c r="AW175" t="s">
        <v>74</v>
      </c>
      <c r="AX175" t="s">
        <v>74</v>
      </c>
      <c r="AY175" t="s">
        <v>74</v>
      </c>
      <c r="AZ175" t="s">
        <v>74</v>
      </c>
      <c r="BA175" t="s">
        <v>74</v>
      </c>
      <c r="BB175">
        <v>93</v>
      </c>
      <c r="BC175">
        <v>122</v>
      </c>
      <c r="BD175" t="s">
        <v>74</v>
      </c>
      <c r="BE175" t="s">
        <v>3746</v>
      </c>
      <c r="BF175" t="str">
        <f>HYPERLINK("http://dx.doi.org/10.1016/j.pocean.2015.01.002","http://dx.doi.org/10.1016/j.pocean.2015.01.002")</f>
        <v>http://dx.doi.org/10.1016/j.pocean.2015.01.002</v>
      </c>
      <c r="BG175" t="s">
        <v>74</v>
      </c>
      <c r="BH175" t="s">
        <v>74</v>
      </c>
      <c r="BI175">
        <v>30</v>
      </c>
      <c r="BJ175" t="s">
        <v>1540</v>
      </c>
      <c r="BK175" t="s">
        <v>100</v>
      </c>
      <c r="BL175" t="s">
        <v>1540</v>
      </c>
      <c r="BM175" t="s">
        <v>1586</v>
      </c>
      <c r="BN175" t="s">
        <v>74</v>
      </c>
      <c r="BO175" t="s">
        <v>74</v>
      </c>
      <c r="BP175" t="s">
        <v>74</v>
      </c>
      <c r="BQ175" t="s">
        <v>74</v>
      </c>
      <c r="BR175" t="s">
        <v>104</v>
      </c>
      <c r="BS175" t="s">
        <v>3747</v>
      </c>
      <c r="BT175" t="str">
        <f>HYPERLINK("https%3A%2F%2Fwww.webofscience.com%2Fwos%2Fwoscc%2Ffull-record%2FWOS:000356553900005","View Full Record in Web of Science")</f>
        <v>View Full Record in Web of Science</v>
      </c>
    </row>
    <row r="176" spans="1:72" x14ac:dyDescent="0.15">
      <c r="A176" t="s">
        <v>72</v>
      </c>
      <c r="B176" t="s">
        <v>3748</v>
      </c>
      <c r="C176" t="s">
        <v>74</v>
      </c>
      <c r="D176" t="s">
        <v>74</v>
      </c>
      <c r="E176" t="s">
        <v>74</v>
      </c>
      <c r="F176" t="s">
        <v>3749</v>
      </c>
      <c r="G176" t="s">
        <v>74</v>
      </c>
      <c r="H176" t="s">
        <v>74</v>
      </c>
      <c r="I176" t="s">
        <v>3750</v>
      </c>
      <c r="J176" t="s">
        <v>1570</v>
      </c>
      <c r="K176" t="s">
        <v>74</v>
      </c>
      <c r="L176" t="s">
        <v>74</v>
      </c>
      <c r="M176" t="s">
        <v>78</v>
      </c>
      <c r="N176" t="s">
        <v>1291</v>
      </c>
      <c r="O176" t="s">
        <v>74</v>
      </c>
      <c r="P176" t="s">
        <v>74</v>
      </c>
      <c r="Q176" t="s">
        <v>74</v>
      </c>
      <c r="R176" t="s">
        <v>74</v>
      </c>
      <c r="S176" t="s">
        <v>74</v>
      </c>
      <c r="T176" t="s">
        <v>74</v>
      </c>
      <c r="U176" t="s">
        <v>3751</v>
      </c>
      <c r="V176" t="s">
        <v>3752</v>
      </c>
      <c r="W176" t="s">
        <v>3753</v>
      </c>
      <c r="X176" t="s">
        <v>3754</v>
      </c>
      <c r="Y176" t="s">
        <v>3755</v>
      </c>
      <c r="Z176" t="s">
        <v>3756</v>
      </c>
      <c r="AA176" t="s">
        <v>3757</v>
      </c>
      <c r="AB176" t="s">
        <v>3758</v>
      </c>
      <c r="AC176" t="s">
        <v>3759</v>
      </c>
      <c r="AD176" t="s">
        <v>3760</v>
      </c>
      <c r="AE176" t="s">
        <v>3761</v>
      </c>
      <c r="AF176" t="s">
        <v>74</v>
      </c>
      <c r="AG176">
        <v>87</v>
      </c>
      <c r="AH176">
        <v>4</v>
      </c>
      <c r="AI176">
        <v>4</v>
      </c>
      <c r="AJ176">
        <v>1</v>
      </c>
      <c r="AK176">
        <v>21</v>
      </c>
      <c r="AL176" t="s">
        <v>786</v>
      </c>
      <c r="AM176" t="s">
        <v>787</v>
      </c>
      <c r="AN176" t="s">
        <v>788</v>
      </c>
      <c r="AO176" t="s">
        <v>1582</v>
      </c>
      <c r="AP176" t="s">
        <v>3762</v>
      </c>
      <c r="AQ176" t="s">
        <v>74</v>
      </c>
      <c r="AR176" t="s">
        <v>1583</v>
      </c>
      <c r="AS176" t="s">
        <v>1584</v>
      </c>
      <c r="AT176" t="s">
        <v>1309</v>
      </c>
      <c r="AU176">
        <v>2015</v>
      </c>
      <c r="AV176">
        <v>134</v>
      </c>
      <c r="AW176" t="s">
        <v>74</v>
      </c>
      <c r="AX176" t="s">
        <v>74</v>
      </c>
      <c r="AY176" t="s">
        <v>74</v>
      </c>
      <c r="AZ176" t="s">
        <v>74</v>
      </c>
      <c r="BA176" t="s">
        <v>74</v>
      </c>
      <c r="BB176">
        <v>256</v>
      </c>
      <c r="BC176">
        <v>270</v>
      </c>
      <c r="BD176" t="s">
        <v>74</v>
      </c>
      <c r="BE176" t="s">
        <v>3763</v>
      </c>
      <c r="BF176" t="str">
        <f>HYPERLINK("http://dx.doi.org/10.1016/j.pocean.2015.02.004","http://dx.doi.org/10.1016/j.pocean.2015.02.004")</f>
        <v>http://dx.doi.org/10.1016/j.pocean.2015.02.004</v>
      </c>
      <c r="BG176" t="s">
        <v>74</v>
      </c>
      <c r="BH176" t="s">
        <v>74</v>
      </c>
      <c r="BI176">
        <v>15</v>
      </c>
      <c r="BJ176" t="s">
        <v>1540</v>
      </c>
      <c r="BK176" t="s">
        <v>100</v>
      </c>
      <c r="BL176" t="s">
        <v>1540</v>
      </c>
      <c r="BM176" t="s">
        <v>1586</v>
      </c>
      <c r="BN176" t="s">
        <v>74</v>
      </c>
      <c r="BO176" t="s">
        <v>248</v>
      </c>
      <c r="BP176" t="s">
        <v>74</v>
      </c>
      <c r="BQ176" t="s">
        <v>74</v>
      </c>
      <c r="BR176" t="s">
        <v>104</v>
      </c>
      <c r="BS176" t="s">
        <v>3764</v>
      </c>
      <c r="BT176" t="str">
        <f>HYPERLINK("https%3A%2F%2Fwww.webofscience.com%2Fwos%2Fwoscc%2Ffull-record%2FWOS:000356553900015","View Full Record in Web of Science")</f>
        <v>View Full Record in Web of Science</v>
      </c>
    </row>
    <row r="177" spans="1:72" x14ac:dyDescent="0.15">
      <c r="A177" t="s">
        <v>72</v>
      </c>
      <c r="B177" t="s">
        <v>3765</v>
      </c>
      <c r="C177" t="s">
        <v>74</v>
      </c>
      <c r="D177" t="s">
        <v>74</v>
      </c>
      <c r="E177" t="s">
        <v>74</v>
      </c>
      <c r="F177" t="s">
        <v>3766</v>
      </c>
      <c r="G177" t="s">
        <v>74</v>
      </c>
      <c r="H177" t="s">
        <v>74</v>
      </c>
      <c r="I177" t="s">
        <v>3767</v>
      </c>
      <c r="J177" t="s">
        <v>3768</v>
      </c>
      <c r="K177" t="s">
        <v>74</v>
      </c>
      <c r="L177" t="s">
        <v>74</v>
      </c>
      <c r="M177" t="s">
        <v>78</v>
      </c>
      <c r="N177" t="s">
        <v>79</v>
      </c>
      <c r="O177" t="s">
        <v>74</v>
      </c>
      <c r="P177" t="s">
        <v>74</v>
      </c>
      <c r="Q177" t="s">
        <v>74</v>
      </c>
      <c r="R177" t="s">
        <v>74</v>
      </c>
      <c r="S177" t="s">
        <v>74</v>
      </c>
      <c r="T177" t="s">
        <v>3769</v>
      </c>
      <c r="U177" t="s">
        <v>74</v>
      </c>
      <c r="V177" t="s">
        <v>3770</v>
      </c>
      <c r="W177" t="s">
        <v>3771</v>
      </c>
      <c r="X177" t="s">
        <v>3772</v>
      </c>
      <c r="Y177" t="s">
        <v>3773</v>
      </c>
      <c r="Z177" t="s">
        <v>3774</v>
      </c>
      <c r="AA177" t="s">
        <v>3775</v>
      </c>
      <c r="AB177" t="s">
        <v>3776</v>
      </c>
      <c r="AC177" t="s">
        <v>3777</v>
      </c>
      <c r="AD177" t="s">
        <v>3778</v>
      </c>
      <c r="AE177" t="s">
        <v>3779</v>
      </c>
      <c r="AF177" t="s">
        <v>74</v>
      </c>
      <c r="AG177">
        <v>18</v>
      </c>
      <c r="AH177">
        <v>8</v>
      </c>
      <c r="AI177">
        <v>8</v>
      </c>
      <c r="AJ177">
        <v>1</v>
      </c>
      <c r="AK177">
        <v>7</v>
      </c>
      <c r="AL177" t="s">
        <v>266</v>
      </c>
      <c r="AM177" t="s">
        <v>267</v>
      </c>
      <c r="AN177" t="s">
        <v>268</v>
      </c>
      <c r="AO177" t="s">
        <v>3780</v>
      </c>
      <c r="AP177" t="s">
        <v>3781</v>
      </c>
      <c r="AQ177" t="s">
        <v>74</v>
      </c>
      <c r="AR177" t="s">
        <v>3782</v>
      </c>
      <c r="AS177" t="s">
        <v>3783</v>
      </c>
      <c r="AT177" t="s">
        <v>1309</v>
      </c>
      <c r="AU177">
        <v>2015</v>
      </c>
      <c r="AV177">
        <v>50</v>
      </c>
      <c r="AW177">
        <v>5</v>
      </c>
      <c r="AX177" t="s">
        <v>74</v>
      </c>
      <c r="AY177" t="s">
        <v>74</v>
      </c>
      <c r="AZ177" t="s">
        <v>74</v>
      </c>
      <c r="BA177" t="s">
        <v>74</v>
      </c>
      <c r="BB177">
        <v>453</v>
      </c>
      <c r="BC177">
        <v>468</v>
      </c>
      <c r="BD177" t="s">
        <v>74</v>
      </c>
      <c r="BE177" t="s">
        <v>3784</v>
      </c>
      <c r="BF177" t="str">
        <f>HYPERLINK("http://dx.doi.org/10.1002/2015RS005652","http://dx.doi.org/10.1002/2015RS005652")</f>
        <v>http://dx.doi.org/10.1002/2015RS005652</v>
      </c>
      <c r="BG177" t="s">
        <v>74</v>
      </c>
      <c r="BH177" t="s">
        <v>74</v>
      </c>
      <c r="BI177">
        <v>16</v>
      </c>
      <c r="BJ177" t="s">
        <v>3785</v>
      </c>
      <c r="BK177" t="s">
        <v>100</v>
      </c>
      <c r="BL177" t="s">
        <v>3785</v>
      </c>
      <c r="BM177" t="s">
        <v>3786</v>
      </c>
      <c r="BN177" t="s">
        <v>74</v>
      </c>
      <c r="BO177" t="s">
        <v>715</v>
      </c>
      <c r="BP177" t="s">
        <v>74</v>
      </c>
      <c r="BQ177" t="s">
        <v>74</v>
      </c>
      <c r="BR177" t="s">
        <v>104</v>
      </c>
      <c r="BS177" t="s">
        <v>3787</v>
      </c>
      <c r="BT177" t="str">
        <f>HYPERLINK("https%3A%2F%2Fwww.webofscience.com%2Fwos%2Fwoscc%2Ffull-record%2FWOS:000356493000009","View Full Record in Web of Science")</f>
        <v>View Full Record in Web of Science</v>
      </c>
    </row>
    <row r="178" spans="1:72" x14ac:dyDescent="0.15">
      <c r="A178" t="s">
        <v>72</v>
      </c>
      <c r="B178" t="s">
        <v>3788</v>
      </c>
      <c r="C178" t="s">
        <v>74</v>
      </c>
      <c r="D178" t="s">
        <v>74</v>
      </c>
      <c r="E178" t="s">
        <v>74</v>
      </c>
      <c r="F178" t="s">
        <v>3789</v>
      </c>
      <c r="G178" t="s">
        <v>74</v>
      </c>
      <c r="H178" t="s">
        <v>74</v>
      </c>
      <c r="I178" t="s">
        <v>3790</v>
      </c>
      <c r="J178" t="s">
        <v>3791</v>
      </c>
      <c r="K178" t="s">
        <v>74</v>
      </c>
      <c r="L178" t="s">
        <v>74</v>
      </c>
      <c r="M178" t="s">
        <v>78</v>
      </c>
      <c r="N178" t="s">
        <v>79</v>
      </c>
      <c r="O178" t="s">
        <v>74</v>
      </c>
      <c r="P178" t="s">
        <v>74</v>
      </c>
      <c r="Q178" t="s">
        <v>74</v>
      </c>
      <c r="R178" t="s">
        <v>74</v>
      </c>
      <c r="S178" t="s">
        <v>74</v>
      </c>
      <c r="T178" t="s">
        <v>3792</v>
      </c>
      <c r="U178" t="s">
        <v>74</v>
      </c>
      <c r="V178" t="s">
        <v>3793</v>
      </c>
      <c r="W178" t="s">
        <v>3794</v>
      </c>
      <c r="X178" t="s">
        <v>2090</v>
      </c>
      <c r="Y178" t="s">
        <v>3795</v>
      </c>
      <c r="Z178" t="s">
        <v>3796</v>
      </c>
      <c r="AA178" t="s">
        <v>74</v>
      </c>
      <c r="AB178" t="s">
        <v>74</v>
      </c>
      <c r="AC178" t="s">
        <v>74</v>
      </c>
      <c r="AD178" t="s">
        <v>74</v>
      </c>
      <c r="AE178" t="s">
        <v>74</v>
      </c>
      <c r="AF178" t="s">
        <v>74</v>
      </c>
      <c r="AG178">
        <v>25</v>
      </c>
      <c r="AH178">
        <v>1</v>
      </c>
      <c r="AI178">
        <v>1</v>
      </c>
      <c r="AJ178">
        <v>0</v>
      </c>
      <c r="AK178">
        <v>3</v>
      </c>
      <c r="AL178" t="s">
        <v>2440</v>
      </c>
      <c r="AM178" t="s">
        <v>121</v>
      </c>
      <c r="AN178" t="s">
        <v>2441</v>
      </c>
      <c r="AO178" t="s">
        <v>3797</v>
      </c>
      <c r="AP178" t="s">
        <v>3798</v>
      </c>
      <c r="AQ178" t="s">
        <v>74</v>
      </c>
      <c r="AR178" t="s">
        <v>3799</v>
      </c>
      <c r="AS178" t="s">
        <v>3800</v>
      </c>
      <c r="AT178" t="s">
        <v>1309</v>
      </c>
      <c r="AU178">
        <v>2015</v>
      </c>
      <c r="AV178">
        <v>57</v>
      </c>
      <c r="AW178">
        <v>3</v>
      </c>
      <c r="AX178" t="s">
        <v>74</v>
      </c>
      <c r="AY178" t="s">
        <v>74</v>
      </c>
      <c r="AZ178" t="s">
        <v>74</v>
      </c>
      <c r="BA178" t="s">
        <v>74</v>
      </c>
      <c r="BB178">
        <v>334</v>
      </c>
      <c r="BC178">
        <v>340</v>
      </c>
      <c r="BD178" t="s">
        <v>74</v>
      </c>
      <c r="BE178" t="s">
        <v>3801</v>
      </c>
      <c r="BF178" t="str">
        <f>HYPERLINK("http://dx.doi.org/10.1134/S1066362215030145","http://dx.doi.org/10.1134/S1066362215030145")</f>
        <v>http://dx.doi.org/10.1134/S1066362215030145</v>
      </c>
      <c r="BG178" t="s">
        <v>74</v>
      </c>
      <c r="BH178" t="s">
        <v>74</v>
      </c>
      <c r="BI178">
        <v>7</v>
      </c>
      <c r="BJ178" t="s">
        <v>3802</v>
      </c>
      <c r="BK178" t="s">
        <v>888</v>
      </c>
      <c r="BL178" t="s">
        <v>655</v>
      </c>
      <c r="BM178" t="s">
        <v>3803</v>
      </c>
      <c r="BN178" t="s">
        <v>74</v>
      </c>
      <c r="BO178" t="s">
        <v>74</v>
      </c>
      <c r="BP178" t="s">
        <v>74</v>
      </c>
      <c r="BQ178" t="s">
        <v>74</v>
      </c>
      <c r="BR178" t="s">
        <v>104</v>
      </c>
      <c r="BS178" t="s">
        <v>3804</v>
      </c>
      <c r="BT178" t="str">
        <f>HYPERLINK("https%3A%2F%2Fwww.webofscience.com%2Fwos%2Fwoscc%2Ffull-record%2FWOS:000428375800014","View Full Record in Web of Science")</f>
        <v>View Full Record in Web of Science</v>
      </c>
    </row>
    <row r="179" spans="1:72" x14ac:dyDescent="0.15">
      <c r="A179" t="s">
        <v>72</v>
      </c>
      <c r="B179" t="s">
        <v>3805</v>
      </c>
      <c r="C179" t="s">
        <v>74</v>
      </c>
      <c r="D179" t="s">
        <v>74</v>
      </c>
      <c r="E179" t="s">
        <v>74</v>
      </c>
      <c r="F179" t="s">
        <v>3806</v>
      </c>
      <c r="G179" t="s">
        <v>74</v>
      </c>
      <c r="H179" t="s">
        <v>74</v>
      </c>
      <c r="I179" t="s">
        <v>3807</v>
      </c>
      <c r="J179" t="s">
        <v>3808</v>
      </c>
      <c r="K179" t="s">
        <v>74</v>
      </c>
      <c r="L179" t="s">
        <v>74</v>
      </c>
      <c r="M179" t="s">
        <v>78</v>
      </c>
      <c r="N179" t="s">
        <v>79</v>
      </c>
      <c r="O179" t="s">
        <v>74</v>
      </c>
      <c r="P179" t="s">
        <v>74</v>
      </c>
      <c r="Q179" t="s">
        <v>74</v>
      </c>
      <c r="R179" t="s">
        <v>74</v>
      </c>
      <c r="S179" t="s">
        <v>74</v>
      </c>
      <c r="T179" t="s">
        <v>3809</v>
      </c>
      <c r="U179" t="s">
        <v>3810</v>
      </c>
      <c r="V179" t="s">
        <v>3811</v>
      </c>
      <c r="W179" t="s">
        <v>3812</v>
      </c>
      <c r="X179" t="s">
        <v>3813</v>
      </c>
      <c r="Y179" t="s">
        <v>3814</v>
      </c>
      <c r="Z179" t="s">
        <v>3815</v>
      </c>
      <c r="AA179" t="s">
        <v>74</v>
      </c>
      <c r="AB179" t="s">
        <v>3816</v>
      </c>
      <c r="AC179" t="s">
        <v>3817</v>
      </c>
      <c r="AD179" t="s">
        <v>3818</v>
      </c>
      <c r="AE179" t="s">
        <v>3819</v>
      </c>
      <c r="AF179" t="s">
        <v>74</v>
      </c>
      <c r="AG179">
        <v>93</v>
      </c>
      <c r="AH179">
        <v>23</v>
      </c>
      <c r="AI179">
        <v>24</v>
      </c>
      <c r="AJ179">
        <v>0</v>
      </c>
      <c r="AK179">
        <v>11</v>
      </c>
      <c r="AL179" t="s">
        <v>1039</v>
      </c>
      <c r="AM179" t="s">
        <v>816</v>
      </c>
      <c r="AN179" t="s">
        <v>1040</v>
      </c>
      <c r="AO179" t="s">
        <v>3820</v>
      </c>
      <c r="AP179" t="s">
        <v>3821</v>
      </c>
      <c r="AQ179" t="s">
        <v>74</v>
      </c>
      <c r="AR179" t="s">
        <v>3822</v>
      </c>
      <c r="AS179" t="s">
        <v>3823</v>
      </c>
      <c r="AT179" t="s">
        <v>1309</v>
      </c>
      <c r="AU179">
        <v>2015</v>
      </c>
      <c r="AV179">
        <v>216</v>
      </c>
      <c r="AW179" t="s">
        <v>74</v>
      </c>
      <c r="AX179" t="s">
        <v>74</v>
      </c>
      <c r="AY179" t="s">
        <v>74</v>
      </c>
      <c r="AZ179" t="s">
        <v>74</v>
      </c>
      <c r="BA179" t="s">
        <v>74</v>
      </c>
      <c r="BB179">
        <v>143</v>
      </c>
      <c r="BC179">
        <v>158</v>
      </c>
      <c r="BD179" t="s">
        <v>74</v>
      </c>
      <c r="BE179" t="s">
        <v>3824</v>
      </c>
      <c r="BF179" t="str">
        <f>HYPERLINK("http://dx.doi.org/10.1016/j.revpalbo.2015.01.002","http://dx.doi.org/10.1016/j.revpalbo.2015.01.002")</f>
        <v>http://dx.doi.org/10.1016/j.revpalbo.2015.01.002</v>
      </c>
      <c r="BG179" t="s">
        <v>74</v>
      </c>
      <c r="BH179" t="s">
        <v>74</v>
      </c>
      <c r="BI179">
        <v>16</v>
      </c>
      <c r="BJ179" t="s">
        <v>3825</v>
      </c>
      <c r="BK179" t="s">
        <v>100</v>
      </c>
      <c r="BL179" t="s">
        <v>3825</v>
      </c>
      <c r="BM179" t="s">
        <v>3826</v>
      </c>
      <c r="BN179" t="s">
        <v>74</v>
      </c>
      <c r="BO179" t="s">
        <v>751</v>
      </c>
      <c r="BP179" t="s">
        <v>74</v>
      </c>
      <c r="BQ179" t="s">
        <v>74</v>
      </c>
      <c r="BR179" t="s">
        <v>104</v>
      </c>
      <c r="BS179" t="s">
        <v>3827</v>
      </c>
      <c r="BT179" t="str">
        <f>HYPERLINK("https%3A%2F%2Fwww.webofscience.com%2Fwos%2Fwoscc%2Ffull-record%2FWOS:000353426800011","View Full Record in Web of Science")</f>
        <v>View Full Record in Web of Science</v>
      </c>
    </row>
    <row r="180" spans="1:72" x14ac:dyDescent="0.15">
      <c r="A180" t="s">
        <v>72</v>
      </c>
      <c r="B180" t="s">
        <v>3828</v>
      </c>
      <c r="C180" t="s">
        <v>74</v>
      </c>
      <c r="D180" t="s">
        <v>74</v>
      </c>
      <c r="E180" t="s">
        <v>74</v>
      </c>
      <c r="F180" t="s">
        <v>3829</v>
      </c>
      <c r="G180" t="s">
        <v>74</v>
      </c>
      <c r="H180" t="s">
        <v>74</v>
      </c>
      <c r="I180" t="s">
        <v>3830</v>
      </c>
      <c r="J180" t="s">
        <v>3831</v>
      </c>
      <c r="K180" t="s">
        <v>74</v>
      </c>
      <c r="L180" t="s">
        <v>74</v>
      </c>
      <c r="M180" t="s">
        <v>78</v>
      </c>
      <c r="N180" t="s">
        <v>79</v>
      </c>
      <c r="O180" t="s">
        <v>74</v>
      </c>
      <c r="P180" t="s">
        <v>74</v>
      </c>
      <c r="Q180" t="s">
        <v>74</v>
      </c>
      <c r="R180" t="s">
        <v>74</v>
      </c>
      <c r="S180" t="s">
        <v>74</v>
      </c>
      <c r="T180" t="s">
        <v>3832</v>
      </c>
      <c r="U180" t="s">
        <v>3833</v>
      </c>
      <c r="V180" t="s">
        <v>3834</v>
      </c>
      <c r="W180" t="s">
        <v>3835</v>
      </c>
      <c r="X180" t="s">
        <v>3836</v>
      </c>
      <c r="Y180" t="s">
        <v>3837</v>
      </c>
      <c r="Z180" t="s">
        <v>3838</v>
      </c>
      <c r="AA180" t="s">
        <v>3839</v>
      </c>
      <c r="AB180" t="s">
        <v>3840</v>
      </c>
      <c r="AC180" t="s">
        <v>3841</v>
      </c>
      <c r="AD180" t="s">
        <v>3842</v>
      </c>
      <c r="AE180" t="s">
        <v>3843</v>
      </c>
      <c r="AF180" t="s">
        <v>74</v>
      </c>
      <c r="AG180">
        <v>35</v>
      </c>
      <c r="AH180">
        <v>37</v>
      </c>
      <c r="AI180">
        <v>39</v>
      </c>
      <c r="AJ180">
        <v>4</v>
      </c>
      <c r="AK180">
        <v>37</v>
      </c>
      <c r="AL180" t="s">
        <v>1113</v>
      </c>
      <c r="AM180" t="s">
        <v>378</v>
      </c>
      <c r="AN180" t="s">
        <v>1114</v>
      </c>
      <c r="AO180" t="s">
        <v>3844</v>
      </c>
      <c r="AP180" t="s">
        <v>74</v>
      </c>
      <c r="AQ180" t="s">
        <v>74</v>
      </c>
      <c r="AR180" t="s">
        <v>3845</v>
      </c>
      <c r="AS180" t="s">
        <v>3846</v>
      </c>
      <c r="AT180" t="s">
        <v>1309</v>
      </c>
      <c r="AU180">
        <v>2015</v>
      </c>
      <c r="AV180">
        <v>2</v>
      </c>
      <c r="AW180">
        <v>5</v>
      </c>
      <c r="AX180" t="s">
        <v>74</v>
      </c>
      <c r="AY180" t="s">
        <v>74</v>
      </c>
      <c r="AZ180" t="s">
        <v>74</v>
      </c>
      <c r="BA180" t="s">
        <v>74</v>
      </c>
      <c r="BB180" t="s">
        <v>74</v>
      </c>
      <c r="BC180" t="s">
        <v>74</v>
      </c>
      <c r="BD180">
        <v>140456</v>
      </c>
      <c r="BE180" t="s">
        <v>3847</v>
      </c>
      <c r="BF180" t="str">
        <f>HYPERLINK("http://dx.doi.org/10.1098/rsos.140456","http://dx.doi.org/10.1098/rsos.140456")</f>
        <v>http://dx.doi.org/10.1098/rsos.140456</v>
      </c>
      <c r="BG180" t="s">
        <v>74</v>
      </c>
      <c r="BH180" t="s">
        <v>74</v>
      </c>
      <c r="BI180">
        <v>7</v>
      </c>
      <c r="BJ180" t="s">
        <v>429</v>
      </c>
      <c r="BK180" t="s">
        <v>100</v>
      </c>
      <c r="BL180" t="s">
        <v>430</v>
      </c>
      <c r="BM180" t="s">
        <v>3848</v>
      </c>
      <c r="BN180">
        <v>26064653</v>
      </c>
      <c r="BO180" t="s">
        <v>1067</v>
      </c>
      <c r="BP180" t="s">
        <v>74</v>
      </c>
      <c r="BQ180" t="s">
        <v>74</v>
      </c>
      <c r="BR180" t="s">
        <v>104</v>
      </c>
      <c r="BS180" t="s">
        <v>3849</v>
      </c>
      <c r="BT180" t="str">
        <f>HYPERLINK("https%3A%2F%2Fwww.webofscience.com%2Fwos%2Fwoscc%2Ffull-record%2FWOS:000377965600007","View Full Record in Web of Science")</f>
        <v>View Full Record in Web of Science</v>
      </c>
    </row>
    <row r="181" spans="1:72" x14ac:dyDescent="0.15">
      <c r="A181" t="s">
        <v>72</v>
      </c>
      <c r="B181" t="s">
        <v>3850</v>
      </c>
      <c r="C181" t="s">
        <v>74</v>
      </c>
      <c r="D181" t="s">
        <v>74</v>
      </c>
      <c r="E181" t="s">
        <v>74</v>
      </c>
      <c r="F181" t="s">
        <v>3851</v>
      </c>
      <c r="G181" t="s">
        <v>74</v>
      </c>
      <c r="H181" t="s">
        <v>74</v>
      </c>
      <c r="I181" t="s">
        <v>3852</v>
      </c>
      <c r="J181" t="s">
        <v>3853</v>
      </c>
      <c r="K181" t="s">
        <v>74</v>
      </c>
      <c r="L181" t="s">
        <v>74</v>
      </c>
      <c r="M181" t="s">
        <v>78</v>
      </c>
      <c r="N181" t="s">
        <v>79</v>
      </c>
      <c r="O181" t="s">
        <v>74</v>
      </c>
      <c r="P181" t="s">
        <v>74</v>
      </c>
      <c r="Q181" t="s">
        <v>74</v>
      </c>
      <c r="R181" t="s">
        <v>74</v>
      </c>
      <c r="S181" t="s">
        <v>74</v>
      </c>
      <c r="T181" t="s">
        <v>3854</v>
      </c>
      <c r="U181" t="s">
        <v>3855</v>
      </c>
      <c r="V181" t="s">
        <v>3856</v>
      </c>
      <c r="W181" t="s">
        <v>3857</v>
      </c>
      <c r="X181" t="s">
        <v>3858</v>
      </c>
      <c r="Y181" t="s">
        <v>3859</v>
      </c>
      <c r="Z181" t="s">
        <v>3860</v>
      </c>
      <c r="AA181" t="s">
        <v>74</v>
      </c>
      <c r="AB181" t="s">
        <v>74</v>
      </c>
      <c r="AC181" t="s">
        <v>3861</v>
      </c>
      <c r="AD181" t="s">
        <v>3862</v>
      </c>
      <c r="AE181" t="s">
        <v>3863</v>
      </c>
      <c r="AF181" t="s">
        <v>74</v>
      </c>
      <c r="AG181">
        <v>28</v>
      </c>
      <c r="AH181">
        <v>8</v>
      </c>
      <c r="AI181">
        <v>9</v>
      </c>
      <c r="AJ181">
        <v>1</v>
      </c>
      <c r="AK181">
        <v>31</v>
      </c>
      <c r="AL181" t="s">
        <v>2028</v>
      </c>
      <c r="AM181" t="s">
        <v>2029</v>
      </c>
      <c r="AN181" t="s">
        <v>2030</v>
      </c>
      <c r="AO181" t="s">
        <v>3864</v>
      </c>
      <c r="AP181" t="s">
        <v>3865</v>
      </c>
      <c r="AQ181" t="s">
        <v>74</v>
      </c>
      <c r="AR181" t="s">
        <v>3866</v>
      </c>
      <c r="AS181" t="s">
        <v>3867</v>
      </c>
      <c r="AT181" t="s">
        <v>1309</v>
      </c>
      <c r="AU181">
        <v>2015</v>
      </c>
      <c r="AV181">
        <v>58</v>
      </c>
      <c r="AW181">
        <v>5</v>
      </c>
      <c r="AX181" t="s">
        <v>74</v>
      </c>
      <c r="AY181" t="s">
        <v>74</v>
      </c>
      <c r="AZ181" t="s">
        <v>74</v>
      </c>
      <c r="BA181" t="s">
        <v>74</v>
      </c>
      <c r="BB181">
        <v>927</v>
      </c>
      <c r="BC181">
        <v>934</v>
      </c>
      <c r="BD181" t="s">
        <v>74</v>
      </c>
      <c r="BE181" t="s">
        <v>3868</v>
      </c>
      <c r="BF181" t="str">
        <f>HYPERLINK("http://dx.doi.org/10.1007/s11431-015-5799-y","http://dx.doi.org/10.1007/s11431-015-5799-y")</f>
        <v>http://dx.doi.org/10.1007/s11431-015-5799-y</v>
      </c>
      <c r="BG181" t="s">
        <v>74</v>
      </c>
      <c r="BH181" t="s">
        <v>74</v>
      </c>
      <c r="BI181">
        <v>8</v>
      </c>
      <c r="BJ181" t="s">
        <v>3869</v>
      </c>
      <c r="BK181" t="s">
        <v>100</v>
      </c>
      <c r="BL181" t="s">
        <v>3870</v>
      </c>
      <c r="BM181" t="s">
        <v>3871</v>
      </c>
      <c r="BN181" t="s">
        <v>74</v>
      </c>
      <c r="BO181" t="s">
        <v>74</v>
      </c>
      <c r="BP181" t="s">
        <v>74</v>
      </c>
      <c r="BQ181" t="s">
        <v>74</v>
      </c>
      <c r="BR181" t="s">
        <v>104</v>
      </c>
      <c r="BS181" t="s">
        <v>3872</v>
      </c>
      <c r="BT181" t="str">
        <f>HYPERLINK("https%3A%2F%2Fwww.webofscience.com%2Fwos%2Fwoscc%2Ffull-record%2FWOS:000354250000020","View Full Record in Web of Science")</f>
        <v>View Full Record in Web of Science</v>
      </c>
    </row>
    <row r="182" spans="1:72" x14ac:dyDescent="0.15">
      <c r="A182" t="s">
        <v>72</v>
      </c>
      <c r="B182" t="s">
        <v>3873</v>
      </c>
      <c r="C182" t="s">
        <v>74</v>
      </c>
      <c r="D182" t="s">
        <v>74</v>
      </c>
      <c r="E182" t="s">
        <v>74</v>
      </c>
      <c r="F182" t="s">
        <v>3874</v>
      </c>
      <c r="G182" t="s">
        <v>74</v>
      </c>
      <c r="H182" t="s">
        <v>74</v>
      </c>
      <c r="I182" t="s">
        <v>3875</v>
      </c>
      <c r="J182" t="s">
        <v>3876</v>
      </c>
      <c r="K182" t="s">
        <v>74</v>
      </c>
      <c r="L182" t="s">
        <v>74</v>
      </c>
      <c r="M182" t="s">
        <v>78</v>
      </c>
      <c r="N182" t="s">
        <v>79</v>
      </c>
      <c r="O182" t="s">
        <v>74</v>
      </c>
      <c r="P182" t="s">
        <v>74</v>
      </c>
      <c r="Q182" t="s">
        <v>74</v>
      </c>
      <c r="R182" t="s">
        <v>74</v>
      </c>
      <c r="S182" t="s">
        <v>74</v>
      </c>
      <c r="T182" t="s">
        <v>3877</v>
      </c>
      <c r="U182" t="s">
        <v>3878</v>
      </c>
      <c r="V182" t="s">
        <v>3879</v>
      </c>
      <c r="W182" t="s">
        <v>3880</v>
      </c>
      <c r="X182" t="s">
        <v>3881</v>
      </c>
      <c r="Y182" t="s">
        <v>3882</v>
      </c>
      <c r="Z182" t="s">
        <v>3883</v>
      </c>
      <c r="AA182" t="s">
        <v>3884</v>
      </c>
      <c r="AB182" t="s">
        <v>3885</v>
      </c>
      <c r="AC182" t="s">
        <v>3886</v>
      </c>
      <c r="AD182" t="s">
        <v>3887</v>
      </c>
      <c r="AE182" t="s">
        <v>3888</v>
      </c>
      <c r="AF182" t="s">
        <v>74</v>
      </c>
      <c r="AG182">
        <v>27</v>
      </c>
      <c r="AH182">
        <v>50</v>
      </c>
      <c r="AI182">
        <v>51</v>
      </c>
      <c r="AJ182">
        <v>0</v>
      </c>
      <c r="AK182">
        <v>13</v>
      </c>
      <c r="AL182" t="s">
        <v>1621</v>
      </c>
      <c r="AM182" t="s">
        <v>787</v>
      </c>
      <c r="AN182" t="s">
        <v>1622</v>
      </c>
      <c r="AO182" t="s">
        <v>3889</v>
      </c>
      <c r="AP182" t="s">
        <v>3890</v>
      </c>
      <c r="AQ182" t="s">
        <v>74</v>
      </c>
      <c r="AR182" t="s">
        <v>3891</v>
      </c>
      <c r="AS182" t="s">
        <v>3892</v>
      </c>
      <c r="AT182" t="s">
        <v>1309</v>
      </c>
      <c r="AU182">
        <v>2015</v>
      </c>
      <c r="AV182">
        <v>64</v>
      </c>
      <c r="AW182">
        <v>3</v>
      </c>
      <c r="AX182" t="s">
        <v>74</v>
      </c>
      <c r="AY182" t="s">
        <v>74</v>
      </c>
      <c r="AZ182" t="s">
        <v>74</v>
      </c>
      <c r="BA182" t="s">
        <v>74</v>
      </c>
      <c r="BB182">
        <v>432</v>
      </c>
      <c r="BC182">
        <v>440</v>
      </c>
      <c r="BD182" t="s">
        <v>74</v>
      </c>
      <c r="BE182" t="s">
        <v>3893</v>
      </c>
      <c r="BF182" t="str">
        <f>HYPERLINK("http://dx.doi.org/10.1093/sysbio/syv001","http://dx.doi.org/10.1093/sysbio/syv001")</f>
        <v>http://dx.doi.org/10.1093/sysbio/syv001</v>
      </c>
      <c r="BG182" t="s">
        <v>74</v>
      </c>
      <c r="BH182" t="s">
        <v>74</v>
      </c>
      <c r="BI182">
        <v>9</v>
      </c>
      <c r="BJ182" t="s">
        <v>3894</v>
      </c>
      <c r="BK182" t="s">
        <v>100</v>
      </c>
      <c r="BL182" t="s">
        <v>3894</v>
      </c>
      <c r="BM182" t="s">
        <v>3895</v>
      </c>
      <c r="BN182">
        <v>25575504</v>
      </c>
      <c r="BO182" t="s">
        <v>3896</v>
      </c>
      <c r="BP182" t="s">
        <v>74</v>
      </c>
      <c r="BQ182" t="s">
        <v>74</v>
      </c>
      <c r="BR182" t="s">
        <v>104</v>
      </c>
      <c r="BS182" t="s">
        <v>3897</v>
      </c>
      <c r="BT182" t="str">
        <f>HYPERLINK("https%3A%2F%2Fwww.webofscience.com%2Fwos%2Fwoscc%2Ffull-record%2FWOS:000355283000006","View Full Record in Web of Science")</f>
        <v>View Full Record in Web of Science</v>
      </c>
    </row>
    <row r="183" spans="1:72" x14ac:dyDescent="0.15">
      <c r="A183" t="s">
        <v>72</v>
      </c>
      <c r="B183" t="s">
        <v>3898</v>
      </c>
      <c r="C183" t="s">
        <v>74</v>
      </c>
      <c r="D183" t="s">
        <v>74</v>
      </c>
      <c r="E183" t="s">
        <v>74</v>
      </c>
      <c r="F183" t="s">
        <v>3899</v>
      </c>
      <c r="G183" t="s">
        <v>74</v>
      </c>
      <c r="H183" t="s">
        <v>74</v>
      </c>
      <c r="I183" t="s">
        <v>3900</v>
      </c>
      <c r="J183" t="s">
        <v>3901</v>
      </c>
      <c r="K183" t="s">
        <v>74</v>
      </c>
      <c r="L183" t="s">
        <v>74</v>
      </c>
      <c r="M183" t="s">
        <v>78</v>
      </c>
      <c r="N183" t="s">
        <v>79</v>
      </c>
      <c r="O183" t="s">
        <v>74</v>
      </c>
      <c r="P183" t="s">
        <v>74</v>
      </c>
      <c r="Q183" t="s">
        <v>74</v>
      </c>
      <c r="R183" t="s">
        <v>74</v>
      </c>
      <c r="S183" t="s">
        <v>74</v>
      </c>
      <c r="T183" t="s">
        <v>74</v>
      </c>
      <c r="U183" t="s">
        <v>3902</v>
      </c>
      <c r="V183" t="s">
        <v>3903</v>
      </c>
      <c r="W183" t="s">
        <v>3904</v>
      </c>
      <c r="X183" t="s">
        <v>3905</v>
      </c>
      <c r="Y183" t="s">
        <v>3906</v>
      </c>
      <c r="Z183" t="s">
        <v>3907</v>
      </c>
      <c r="AA183" t="s">
        <v>3908</v>
      </c>
      <c r="AB183" t="s">
        <v>3909</v>
      </c>
      <c r="AC183" t="s">
        <v>3910</v>
      </c>
      <c r="AD183" t="s">
        <v>3911</v>
      </c>
      <c r="AE183" t="s">
        <v>3912</v>
      </c>
      <c r="AF183" t="s">
        <v>74</v>
      </c>
      <c r="AG183">
        <v>41</v>
      </c>
      <c r="AH183">
        <v>61</v>
      </c>
      <c r="AI183">
        <v>68</v>
      </c>
      <c r="AJ183">
        <v>1</v>
      </c>
      <c r="AK183">
        <v>41</v>
      </c>
      <c r="AL183" t="s">
        <v>3913</v>
      </c>
      <c r="AM183" t="s">
        <v>3914</v>
      </c>
      <c r="AN183" t="s">
        <v>3915</v>
      </c>
      <c r="AO183" t="s">
        <v>3916</v>
      </c>
      <c r="AP183" t="s">
        <v>3917</v>
      </c>
      <c r="AQ183" t="s">
        <v>74</v>
      </c>
      <c r="AR183" t="s">
        <v>3918</v>
      </c>
      <c r="AS183" t="s">
        <v>3919</v>
      </c>
      <c r="AT183" t="s">
        <v>1309</v>
      </c>
      <c r="AU183">
        <v>2015</v>
      </c>
      <c r="AV183">
        <v>120</v>
      </c>
      <c r="AW183" t="s">
        <v>3920</v>
      </c>
      <c r="AX183" t="s">
        <v>74</v>
      </c>
      <c r="AY183" t="s">
        <v>74</v>
      </c>
      <c r="AZ183" t="s">
        <v>74</v>
      </c>
      <c r="BA183" t="s">
        <v>74</v>
      </c>
      <c r="BB183">
        <v>521</v>
      </c>
      <c r="BC183">
        <v>531</v>
      </c>
      <c r="BD183" t="s">
        <v>74</v>
      </c>
      <c r="BE183" t="s">
        <v>3921</v>
      </c>
      <c r="BF183" t="str">
        <f>HYPERLINK("http://dx.doi.org/10.1007/s00704-014-1187-y","http://dx.doi.org/10.1007/s00704-014-1187-y")</f>
        <v>http://dx.doi.org/10.1007/s00704-014-1187-y</v>
      </c>
      <c r="BG183" t="s">
        <v>74</v>
      </c>
      <c r="BH183" t="s">
        <v>74</v>
      </c>
      <c r="BI183">
        <v>11</v>
      </c>
      <c r="BJ183" t="s">
        <v>406</v>
      </c>
      <c r="BK183" t="s">
        <v>100</v>
      </c>
      <c r="BL183" t="s">
        <v>406</v>
      </c>
      <c r="BM183" t="s">
        <v>3922</v>
      </c>
      <c r="BN183" t="s">
        <v>74</v>
      </c>
      <c r="BO183" t="s">
        <v>74</v>
      </c>
      <c r="BP183" t="s">
        <v>74</v>
      </c>
      <c r="BQ183" t="s">
        <v>74</v>
      </c>
      <c r="BR183" t="s">
        <v>104</v>
      </c>
      <c r="BS183" t="s">
        <v>3923</v>
      </c>
      <c r="BT183" t="str">
        <f>HYPERLINK("https%3A%2F%2Fwww.webofscience.com%2Fwos%2Fwoscc%2Ffull-record%2FWOS:000353220700010","View Full Record in Web of Science")</f>
        <v>View Full Record in Web of Science</v>
      </c>
    </row>
    <row r="184" spans="1:72" x14ac:dyDescent="0.15">
      <c r="A184" t="s">
        <v>72</v>
      </c>
      <c r="B184" t="s">
        <v>3924</v>
      </c>
      <c r="C184" t="s">
        <v>74</v>
      </c>
      <c r="D184" t="s">
        <v>74</v>
      </c>
      <c r="E184" t="s">
        <v>74</v>
      </c>
      <c r="F184" t="s">
        <v>3925</v>
      </c>
      <c r="G184" t="s">
        <v>74</v>
      </c>
      <c r="H184" t="s">
        <v>74</v>
      </c>
      <c r="I184" t="s">
        <v>3926</v>
      </c>
      <c r="J184" t="s">
        <v>3927</v>
      </c>
      <c r="K184" t="s">
        <v>74</v>
      </c>
      <c r="L184" t="s">
        <v>74</v>
      </c>
      <c r="M184" t="s">
        <v>78</v>
      </c>
      <c r="N184" t="s">
        <v>79</v>
      </c>
      <c r="O184" t="s">
        <v>74</v>
      </c>
      <c r="P184" t="s">
        <v>74</v>
      </c>
      <c r="Q184" t="s">
        <v>74</v>
      </c>
      <c r="R184" t="s">
        <v>74</v>
      </c>
      <c r="S184" t="s">
        <v>74</v>
      </c>
      <c r="T184" t="s">
        <v>74</v>
      </c>
      <c r="U184" t="s">
        <v>3928</v>
      </c>
      <c r="V184" t="s">
        <v>3929</v>
      </c>
      <c r="W184" t="s">
        <v>3930</v>
      </c>
      <c r="X184" t="s">
        <v>3931</v>
      </c>
      <c r="Y184" t="s">
        <v>3932</v>
      </c>
      <c r="Z184" t="s">
        <v>3933</v>
      </c>
      <c r="AA184" t="s">
        <v>3934</v>
      </c>
      <c r="AB184" t="s">
        <v>3935</v>
      </c>
      <c r="AC184" t="s">
        <v>3936</v>
      </c>
      <c r="AD184" t="s">
        <v>3937</v>
      </c>
      <c r="AE184" t="s">
        <v>3938</v>
      </c>
      <c r="AF184" t="s">
        <v>74</v>
      </c>
      <c r="AG184">
        <v>113</v>
      </c>
      <c r="AH184">
        <v>24</v>
      </c>
      <c r="AI184">
        <v>27</v>
      </c>
      <c r="AJ184">
        <v>0</v>
      </c>
      <c r="AK184">
        <v>25</v>
      </c>
      <c r="AL184" t="s">
        <v>1508</v>
      </c>
      <c r="AM184" t="s">
        <v>92</v>
      </c>
      <c r="AN184" t="s">
        <v>93</v>
      </c>
      <c r="AO184" t="s">
        <v>3939</v>
      </c>
      <c r="AP184" t="s">
        <v>3940</v>
      </c>
      <c r="AQ184" t="s">
        <v>74</v>
      </c>
      <c r="AR184" t="s">
        <v>3941</v>
      </c>
      <c r="AS184" t="s">
        <v>3942</v>
      </c>
      <c r="AT184" t="s">
        <v>1309</v>
      </c>
      <c r="AU184">
        <v>2015</v>
      </c>
      <c r="AV184">
        <v>44</v>
      </c>
      <c r="AW184">
        <v>3</v>
      </c>
      <c r="AX184" t="s">
        <v>74</v>
      </c>
      <c r="AY184" t="s">
        <v>74</v>
      </c>
      <c r="AZ184" t="s">
        <v>74</v>
      </c>
      <c r="BA184" t="s">
        <v>74</v>
      </c>
      <c r="BB184">
        <v>334</v>
      </c>
      <c r="BC184">
        <v>347</v>
      </c>
      <c r="BD184" t="s">
        <v>74</v>
      </c>
      <c r="BE184" t="s">
        <v>3943</v>
      </c>
      <c r="BF184" t="str">
        <f>HYPERLINK("http://dx.doi.org/10.1111/zsc.12103","http://dx.doi.org/10.1111/zsc.12103")</f>
        <v>http://dx.doi.org/10.1111/zsc.12103</v>
      </c>
      <c r="BG184" t="s">
        <v>74</v>
      </c>
      <c r="BH184" t="s">
        <v>74</v>
      </c>
      <c r="BI184">
        <v>14</v>
      </c>
      <c r="BJ184" t="s">
        <v>3944</v>
      </c>
      <c r="BK184" t="s">
        <v>100</v>
      </c>
      <c r="BL184" t="s">
        <v>3944</v>
      </c>
      <c r="BM184" t="s">
        <v>3945</v>
      </c>
      <c r="BN184" t="s">
        <v>74</v>
      </c>
      <c r="BO184" t="s">
        <v>74</v>
      </c>
      <c r="BP184" t="s">
        <v>74</v>
      </c>
      <c r="BQ184" t="s">
        <v>74</v>
      </c>
      <c r="BR184" t="s">
        <v>104</v>
      </c>
      <c r="BS184" t="s">
        <v>3946</v>
      </c>
      <c r="BT184" t="str">
        <f>HYPERLINK("https%3A%2F%2Fwww.webofscience.com%2Fwos%2Fwoscc%2Ffull-record%2FWOS:000352608600008","View Full Record in Web of Science")</f>
        <v>View Full Record in Web of Science</v>
      </c>
    </row>
    <row r="185" spans="1:72" x14ac:dyDescent="0.15">
      <c r="A185" t="s">
        <v>72</v>
      </c>
      <c r="B185" t="s">
        <v>3947</v>
      </c>
      <c r="C185" t="s">
        <v>74</v>
      </c>
      <c r="D185" t="s">
        <v>74</v>
      </c>
      <c r="E185" t="s">
        <v>74</v>
      </c>
      <c r="F185" t="s">
        <v>3948</v>
      </c>
      <c r="G185" t="s">
        <v>74</v>
      </c>
      <c r="H185" t="s">
        <v>74</v>
      </c>
      <c r="I185" t="s">
        <v>3949</v>
      </c>
      <c r="J185" t="s">
        <v>3950</v>
      </c>
      <c r="K185" t="s">
        <v>74</v>
      </c>
      <c r="L185" t="s">
        <v>74</v>
      </c>
      <c r="M185" t="s">
        <v>78</v>
      </c>
      <c r="N185" t="s">
        <v>79</v>
      </c>
      <c r="O185" t="s">
        <v>74</v>
      </c>
      <c r="P185" t="s">
        <v>74</v>
      </c>
      <c r="Q185" t="s">
        <v>74</v>
      </c>
      <c r="R185" t="s">
        <v>74</v>
      </c>
      <c r="S185" t="s">
        <v>74</v>
      </c>
      <c r="T185" t="s">
        <v>3951</v>
      </c>
      <c r="U185" t="s">
        <v>3952</v>
      </c>
      <c r="V185" t="s">
        <v>3953</v>
      </c>
      <c r="W185" t="s">
        <v>3954</v>
      </c>
      <c r="X185" t="s">
        <v>3955</v>
      </c>
      <c r="Y185" t="s">
        <v>3956</v>
      </c>
      <c r="Z185" t="s">
        <v>3957</v>
      </c>
      <c r="AA185" t="s">
        <v>3958</v>
      </c>
      <c r="AB185" t="s">
        <v>3959</v>
      </c>
      <c r="AC185" t="s">
        <v>3960</v>
      </c>
      <c r="AD185" t="s">
        <v>3961</v>
      </c>
      <c r="AE185" t="s">
        <v>3962</v>
      </c>
      <c r="AF185" t="s">
        <v>74</v>
      </c>
      <c r="AG185">
        <v>66</v>
      </c>
      <c r="AH185">
        <v>24</v>
      </c>
      <c r="AI185">
        <v>24</v>
      </c>
      <c r="AJ185">
        <v>1</v>
      </c>
      <c r="AK185">
        <v>34</v>
      </c>
      <c r="AL185" t="s">
        <v>1621</v>
      </c>
      <c r="AM185" t="s">
        <v>787</v>
      </c>
      <c r="AN185" t="s">
        <v>1622</v>
      </c>
      <c r="AO185" t="s">
        <v>3963</v>
      </c>
      <c r="AP185" t="s">
        <v>3964</v>
      </c>
      <c r="AQ185" t="s">
        <v>74</v>
      </c>
      <c r="AR185" t="s">
        <v>3965</v>
      </c>
      <c r="AS185" t="s">
        <v>3966</v>
      </c>
      <c r="AT185" t="s">
        <v>1309</v>
      </c>
      <c r="AU185">
        <v>2015</v>
      </c>
      <c r="AV185">
        <v>174</v>
      </c>
      <c r="AW185">
        <v>1</v>
      </c>
      <c r="AX185" t="s">
        <v>74</v>
      </c>
      <c r="AY185" t="s">
        <v>74</v>
      </c>
      <c r="AZ185" t="s">
        <v>74</v>
      </c>
      <c r="BA185" t="s">
        <v>74</v>
      </c>
      <c r="BB185">
        <v>93</v>
      </c>
      <c r="BC185">
        <v>113</v>
      </c>
      <c r="BD185" t="s">
        <v>74</v>
      </c>
      <c r="BE185" t="s">
        <v>3967</v>
      </c>
      <c r="BF185" t="str">
        <f>HYPERLINK("http://dx.doi.org/10.1111/zoj.12229","http://dx.doi.org/10.1111/zoj.12229")</f>
        <v>http://dx.doi.org/10.1111/zoj.12229</v>
      </c>
      <c r="BG185" t="s">
        <v>74</v>
      </c>
      <c r="BH185" t="s">
        <v>74</v>
      </c>
      <c r="BI185">
        <v>21</v>
      </c>
      <c r="BJ185" t="s">
        <v>509</v>
      </c>
      <c r="BK185" t="s">
        <v>100</v>
      </c>
      <c r="BL185" t="s">
        <v>509</v>
      </c>
      <c r="BM185" t="s">
        <v>3968</v>
      </c>
      <c r="BN185" t="s">
        <v>74</v>
      </c>
      <c r="BO185" t="s">
        <v>156</v>
      </c>
      <c r="BP185" t="s">
        <v>74</v>
      </c>
      <c r="BQ185" t="s">
        <v>74</v>
      </c>
      <c r="BR185" t="s">
        <v>104</v>
      </c>
      <c r="BS185" t="s">
        <v>3969</v>
      </c>
      <c r="BT185" t="str">
        <f>HYPERLINK("https%3A%2F%2Fwww.webofscience.com%2Fwos%2Fwoscc%2Ffull-record%2FWOS:000353397200004","View Full Record in Web of Science")</f>
        <v>View Full Record in Web of Science</v>
      </c>
    </row>
    <row r="186" spans="1:72" x14ac:dyDescent="0.15">
      <c r="A186" t="s">
        <v>72</v>
      </c>
      <c r="B186" t="s">
        <v>3970</v>
      </c>
      <c r="C186" t="s">
        <v>74</v>
      </c>
      <c r="D186" t="s">
        <v>74</v>
      </c>
      <c r="E186" t="s">
        <v>74</v>
      </c>
      <c r="F186" t="s">
        <v>3971</v>
      </c>
      <c r="G186" t="s">
        <v>74</v>
      </c>
      <c r="H186" t="s">
        <v>74</v>
      </c>
      <c r="I186" t="s">
        <v>3972</v>
      </c>
      <c r="J186" t="s">
        <v>3973</v>
      </c>
      <c r="K186" t="s">
        <v>74</v>
      </c>
      <c r="L186" t="s">
        <v>74</v>
      </c>
      <c r="M186" t="s">
        <v>78</v>
      </c>
      <c r="N186" t="s">
        <v>79</v>
      </c>
      <c r="O186" t="s">
        <v>74</v>
      </c>
      <c r="P186" t="s">
        <v>74</v>
      </c>
      <c r="Q186" t="s">
        <v>74</v>
      </c>
      <c r="R186" t="s">
        <v>74</v>
      </c>
      <c r="S186" t="s">
        <v>74</v>
      </c>
      <c r="T186" t="s">
        <v>3974</v>
      </c>
      <c r="U186" t="s">
        <v>3975</v>
      </c>
      <c r="V186" t="s">
        <v>3976</v>
      </c>
      <c r="W186" t="s">
        <v>3977</v>
      </c>
      <c r="X186" t="s">
        <v>3978</v>
      </c>
      <c r="Y186" t="s">
        <v>3979</v>
      </c>
      <c r="Z186" t="s">
        <v>3980</v>
      </c>
      <c r="AA186" t="s">
        <v>3981</v>
      </c>
      <c r="AB186" t="s">
        <v>3982</v>
      </c>
      <c r="AC186" t="s">
        <v>3983</v>
      </c>
      <c r="AD186" t="s">
        <v>3984</v>
      </c>
      <c r="AE186" t="s">
        <v>3985</v>
      </c>
      <c r="AF186" t="s">
        <v>74</v>
      </c>
      <c r="AG186">
        <v>45</v>
      </c>
      <c r="AH186">
        <v>2</v>
      </c>
      <c r="AI186">
        <v>5</v>
      </c>
      <c r="AJ186">
        <v>0</v>
      </c>
      <c r="AK186">
        <v>26</v>
      </c>
      <c r="AL186" t="s">
        <v>3986</v>
      </c>
      <c r="AM186" t="s">
        <v>121</v>
      </c>
      <c r="AN186" t="s">
        <v>3987</v>
      </c>
      <c r="AO186" t="s">
        <v>3988</v>
      </c>
      <c r="AP186" t="s">
        <v>3989</v>
      </c>
      <c r="AQ186" t="s">
        <v>74</v>
      </c>
      <c r="AR186" t="s">
        <v>3990</v>
      </c>
      <c r="AS186" t="s">
        <v>3991</v>
      </c>
      <c r="AT186" t="s">
        <v>2079</v>
      </c>
      <c r="AU186">
        <v>2015</v>
      </c>
      <c r="AV186">
        <v>158</v>
      </c>
      <c r="AW186" t="s">
        <v>74</v>
      </c>
      <c r="AX186" t="s">
        <v>74</v>
      </c>
      <c r="AY186" t="s">
        <v>74</v>
      </c>
      <c r="AZ186" t="s">
        <v>74</v>
      </c>
      <c r="BA186" t="s">
        <v>74</v>
      </c>
      <c r="BB186">
        <v>79</v>
      </c>
      <c r="BC186">
        <v>87</v>
      </c>
      <c r="BD186" t="s">
        <v>74</v>
      </c>
      <c r="BE186" t="s">
        <v>3992</v>
      </c>
      <c r="BF186" t="str">
        <f>HYPERLINK("http://dx.doi.org/10.1016/j.atmosres.2015.02.008","http://dx.doi.org/10.1016/j.atmosres.2015.02.008")</f>
        <v>http://dx.doi.org/10.1016/j.atmosres.2015.02.008</v>
      </c>
      <c r="BG186" t="s">
        <v>74</v>
      </c>
      <c r="BH186" t="s">
        <v>74</v>
      </c>
      <c r="BI186">
        <v>9</v>
      </c>
      <c r="BJ186" t="s">
        <v>406</v>
      </c>
      <c r="BK186" t="s">
        <v>100</v>
      </c>
      <c r="BL186" t="s">
        <v>406</v>
      </c>
      <c r="BM186" t="s">
        <v>3993</v>
      </c>
      <c r="BN186" t="s">
        <v>74</v>
      </c>
      <c r="BO186" t="s">
        <v>74</v>
      </c>
      <c r="BP186" t="s">
        <v>74</v>
      </c>
      <c r="BQ186" t="s">
        <v>74</v>
      </c>
      <c r="BR186" t="s">
        <v>104</v>
      </c>
      <c r="BS186" t="s">
        <v>3994</v>
      </c>
      <c r="BT186" t="str">
        <f>HYPERLINK("https%3A%2F%2Fwww.webofscience.com%2Fwos%2Fwoscc%2Ffull-record%2FWOS:000352328900007","View Full Record in Web of Science")</f>
        <v>View Full Record in Web of Science</v>
      </c>
    </row>
    <row r="187" spans="1:72" x14ac:dyDescent="0.15">
      <c r="A187" t="s">
        <v>72</v>
      </c>
      <c r="B187" t="s">
        <v>3995</v>
      </c>
      <c r="C187" t="s">
        <v>74</v>
      </c>
      <c r="D187" t="s">
        <v>74</v>
      </c>
      <c r="E187" t="s">
        <v>74</v>
      </c>
      <c r="F187" t="s">
        <v>3996</v>
      </c>
      <c r="G187" t="s">
        <v>74</v>
      </c>
      <c r="H187" t="s">
        <v>74</v>
      </c>
      <c r="I187" t="s">
        <v>3997</v>
      </c>
      <c r="J187" t="s">
        <v>3998</v>
      </c>
      <c r="K187" t="s">
        <v>74</v>
      </c>
      <c r="L187" t="s">
        <v>74</v>
      </c>
      <c r="M187" t="s">
        <v>78</v>
      </c>
      <c r="N187" t="s">
        <v>79</v>
      </c>
      <c r="O187" t="s">
        <v>74</v>
      </c>
      <c r="P187" t="s">
        <v>74</v>
      </c>
      <c r="Q187" t="s">
        <v>74</v>
      </c>
      <c r="R187" t="s">
        <v>74</v>
      </c>
      <c r="S187" t="s">
        <v>74</v>
      </c>
      <c r="T187" t="s">
        <v>3999</v>
      </c>
      <c r="U187" t="s">
        <v>74</v>
      </c>
      <c r="V187" t="s">
        <v>4000</v>
      </c>
      <c r="W187" t="s">
        <v>4001</v>
      </c>
      <c r="X187" t="s">
        <v>4002</v>
      </c>
      <c r="Y187" t="s">
        <v>4003</v>
      </c>
      <c r="Z187" t="s">
        <v>4004</v>
      </c>
      <c r="AA187" t="s">
        <v>4005</v>
      </c>
      <c r="AB187" t="s">
        <v>4006</v>
      </c>
      <c r="AC187" t="s">
        <v>4007</v>
      </c>
      <c r="AD187" t="s">
        <v>4007</v>
      </c>
      <c r="AE187" t="s">
        <v>4008</v>
      </c>
      <c r="AF187" t="s">
        <v>74</v>
      </c>
      <c r="AG187">
        <v>31</v>
      </c>
      <c r="AH187">
        <v>9</v>
      </c>
      <c r="AI187">
        <v>10</v>
      </c>
      <c r="AJ187">
        <v>1</v>
      </c>
      <c r="AK187">
        <v>21</v>
      </c>
      <c r="AL187" t="s">
        <v>815</v>
      </c>
      <c r="AM187" t="s">
        <v>816</v>
      </c>
      <c r="AN187" t="s">
        <v>817</v>
      </c>
      <c r="AO187" t="s">
        <v>4009</v>
      </c>
      <c r="AP187" t="s">
        <v>4010</v>
      </c>
      <c r="AQ187" t="s">
        <v>74</v>
      </c>
      <c r="AR187" t="s">
        <v>4011</v>
      </c>
      <c r="AS187" t="s">
        <v>4012</v>
      </c>
      <c r="AT187" t="s">
        <v>1309</v>
      </c>
      <c r="AU187">
        <v>2015</v>
      </c>
      <c r="AV187">
        <v>113</v>
      </c>
      <c r="AW187" t="s">
        <v>74</v>
      </c>
      <c r="AX187" t="s">
        <v>74</v>
      </c>
      <c r="AY187" t="s">
        <v>74</v>
      </c>
      <c r="AZ187" t="s">
        <v>74</v>
      </c>
      <c r="BA187" t="s">
        <v>74</v>
      </c>
      <c r="BB187">
        <v>31</v>
      </c>
      <c r="BC187">
        <v>39</v>
      </c>
      <c r="BD187" t="s">
        <v>74</v>
      </c>
      <c r="BE187" t="s">
        <v>4013</v>
      </c>
      <c r="BF187" t="str">
        <f>HYPERLINK("http://dx.doi.org/10.1016/j.coldregions.2015.02.001","http://dx.doi.org/10.1016/j.coldregions.2015.02.001")</f>
        <v>http://dx.doi.org/10.1016/j.coldregions.2015.02.001</v>
      </c>
      <c r="BG187" t="s">
        <v>74</v>
      </c>
      <c r="BH187" t="s">
        <v>74</v>
      </c>
      <c r="BI187">
        <v>9</v>
      </c>
      <c r="BJ187" t="s">
        <v>4014</v>
      </c>
      <c r="BK187" t="s">
        <v>100</v>
      </c>
      <c r="BL187" t="s">
        <v>4015</v>
      </c>
      <c r="BM187" t="s">
        <v>4016</v>
      </c>
      <c r="BN187" t="s">
        <v>74</v>
      </c>
      <c r="BO187" t="s">
        <v>74</v>
      </c>
      <c r="BP187" t="s">
        <v>74</v>
      </c>
      <c r="BQ187" t="s">
        <v>74</v>
      </c>
      <c r="BR187" t="s">
        <v>104</v>
      </c>
      <c r="BS187" t="s">
        <v>4017</v>
      </c>
      <c r="BT187" t="str">
        <f>HYPERLINK("https%3A%2F%2Fwww.webofscience.com%2Fwos%2Fwoscc%2Ffull-record%2FWOS:000352048800004","View Full Record in Web of Science")</f>
        <v>View Full Record in Web of Science</v>
      </c>
    </row>
    <row r="188" spans="1:72" x14ac:dyDescent="0.15">
      <c r="A188" t="s">
        <v>72</v>
      </c>
      <c r="B188" t="s">
        <v>4018</v>
      </c>
      <c r="C188" t="s">
        <v>74</v>
      </c>
      <c r="D188" t="s">
        <v>74</v>
      </c>
      <c r="E188" t="s">
        <v>74</v>
      </c>
      <c r="F188" t="s">
        <v>4019</v>
      </c>
      <c r="G188" t="s">
        <v>74</v>
      </c>
      <c r="H188" t="s">
        <v>74</v>
      </c>
      <c r="I188" t="s">
        <v>4020</v>
      </c>
      <c r="J188" t="s">
        <v>3998</v>
      </c>
      <c r="K188" t="s">
        <v>74</v>
      </c>
      <c r="L188" t="s">
        <v>74</v>
      </c>
      <c r="M188" t="s">
        <v>78</v>
      </c>
      <c r="N188" t="s">
        <v>79</v>
      </c>
      <c r="O188" t="s">
        <v>74</v>
      </c>
      <c r="P188" t="s">
        <v>74</v>
      </c>
      <c r="Q188" t="s">
        <v>74</v>
      </c>
      <c r="R188" t="s">
        <v>74</v>
      </c>
      <c r="S188" t="s">
        <v>74</v>
      </c>
      <c r="T188" t="s">
        <v>4021</v>
      </c>
      <c r="U188" t="s">
        <v>4022</v>
      </c>
      <c r="V188" t="s">
        <v>4023</v>
      </c>
      <c r="W188" t="s">
        <v>4024</v>
      </c>
      <c r="X188" t="s">
        <v>4025</v>
      </c>
      <c r="Y188" t="s">
        <v>4026</v>
      </c>
      <c r="Z188" t="s">
        <v>4027</v>
      </c>
      <c r="AA188" t="s">
        <v>4028</v>
      </c>
      <c r="AB188" t="s">
        <v>4029</v>
      </c>
      <c r="AC188" t="s">
        <v>4030</v>
      </c>
      <c r="AD188" t="s">
        <v>1638</v>
      </c>
      <c r="AE188" t="s">
        <v>4031</v>
      </c>
      <c r="AF188" t="s">
        <v>74</v>
      </c>
      <c r="AG188">
        <v>64</v>
      </c>
      <c r="AH188">
        <v>27</v>
      </c>
      <c r="AI188">
        <v>27</v>
      </c>
      <c r="AJ188">
        <v>1</v>
      </c>
      <c r="AK188">
        <v>42</v>
      </c>
      <c r="AL188" t="s">
        <v>815</v>
      </c>
      <c r="AM188" t="s">
        <v>816</v>
      </c>
      <c r="AN188" t="s">
        <v>817</v>
      </c>
      <c r="AO188" t="s">
        <v>4009</v>
      </c>
      <c r="AP188" t="s">
        <v>4010</v>
      </c>
      <c r="AQ188" t="s">
        <v>74</v>
      </c>
      <c r="AR188" t="s">
        <v>4011</v>
      </c>
      <c r="AS188" t="s">
        <v>4012</v>
      </c>
      <c r="AT188" t="s">
        <v>1309</v>
      </c>
      <c r="AU188">
        <v>2015</v>
      </c>
      <c r="AV188">
        <v>113</v>
      </c>
      <c r="AW188" t="s">
        <v>74</v>
      </c>
      <c r="AX188" t="s">
        <v>74</v>
      </c>
      <c r="AY188" t="s">
        <v>74</v>
      </c>
      <c r="AZ188" t="s">
        <v>74</v>
      </c>
      <c r="BA188" t="s">
        <v>74</v>
      </c>
      <c r="BB188">
        <v>52</v>
      </c>
      <c r="BC188">
        <v>62</v>
      </c>
      <c r="BD188" t="s">
        <v>74</v>
      </c>
      <c r="BE188" t="s">
        <v>4032</v>
      </c>
      <c r="BF188" t="str">
        <f>HYPERLINK("http://dx.doi.org/10.1016/j.coldregions.2015.02.006","http://dx.doi.org/10.1016/j.coldregions.2015.02.006")</f>
        <v>http://dx.doi.org/10.1016/j.coldregions.2015.02.006</v>
      </c>
      <c r="BG188" t="s">
        <v>74</v>
      </c>
      <c r="BH188" t="s">
        <v>74</v>
      </c>
      <c r="BI188">
        <v>11</v>
      </c>
      <c r="BJ188" t="s">
        <v>4014</v>
      </c>
      <c r="BK188" t="s">
        <v>100</v>
      </c>
      <c r="BL188" t="s">
        <v>4015</v>
      </c>
      <c r="BM188" t="s">
        <v>4016</v>
      </c>
      <c r="BN188" t="s">
        <v>74</v>
      </c>
      <c r="BO188" t="s">
        <v>74</v>
      </c>
      <c r="BP188" t="s">
        <v>74</v>
      </c>
      <c r="BQ188" t="s">
        <v>74</v>
      </c>
      <c r="BR188" t="s">
        <v>104</v>
      </c>
      <c r="BS188" t="s">
        <v>4033</v>
      </c>
      <c r="BT188" t="str">
        <f>HYPERLINK("https%3A%2F%2Fwww.webofscience.com%2Fwos%2Fwoscc%2Ffull-record%2FWOS:000352048800006","View Full Record in Web of Science")</f>
        <v>View Full Record in Web of Science</v>
      </c>
    </row>
    <row r="189" spans="1:72" x14ac:dyDescent="0.15">
      <c r="A189" t="s">
        <v>72</v>
      </c>
      <c r="B189" t="s">
        <v>4034</v>
      </c>
      <c r="C189" t="s">
        <v>74</v>
      </c>
      <c r="D189" t="s">
        <v>74</v>
      </c>
      <c r="E189" t="s">
        <v>74</v>
      </c>
      <c r="F189" t="s">
        <v>4035</v>
      </c>
      <c r="G189" t="s">
        <v>74</v>
      </c>
      <c r="H189" t="s">
        <v>74</v>
      </c>
      <c r="I189" t="s">
        <v>4036</v>
      </c>
      <c r="J189" t="s">
        <v>3998</v>
      </c>
      <c r="K189" t="s">
        <v>74</v>
      </c>
      <c r="L189" t="s">
        <v>74</v>
      </c>
      <c r="M189" t="s">
        <v>78</v>
      </c>
      <c r="N189" t="s">
        <v>79</v>
      </c>
      <c r="O189" t="s">
        <v>74</v>
      </c>
      <c r="P189" t="s">
        <v>74</v>
      </c>
      <c r="Q189" t="s">
        <v>74</v>
      </c>
      <c r="R189" t="s">
        <v>74</v>
      </c>
      <c r="S189" t="s">
        <v>74</v>
      </c>
      <c r="T189" t="s">
        <v>4037</v>
      </c>
      <c r="U189" t="s">
        <v>4038</v>
      </c>
      <c r="V189" t="s">
        <v>4039</v>
      </c>
      <c r="W189" t="s">
        <v>4040</v>
      </c>
      <c r="X189" t="s">
        <v>4041</v>
      </c>
      <c r="Y189" t="s">
        <v>4042</v>
      </c>
      <c r="Z189" t="s">
        <v>4043</v>
      </c>
      <c r="AA189" t="s">
        <v>4044</v>
      </c>
      <c r="AB189" t="s">
        <v>4045</v>
      </c>
      <c r="AC189" t="s">
        <v>4046</v>
      </c>
      <c r="AD189" t="s">
        <v>4047</v>
      </c>
      <c r="AE189" t="s">
        <v>4048</v>
      </c>
      <c r="AF189" t="s">
        <v>74</v>
      </c>
      <c r="AG189">
        <v>43</v>
      </c>
      <c r="AH189">
        <v>8</v>
      </c>
      <c r="AI189">
        <v>8</v>
      </c>
      <c r="AJ189">
        <v>0</v>
      </c>
      <c r="AK189">
        <v>26</v>
      </c>
      <c r="AL189" t="s">
        <v>1039</v>
      </c>
      <c r="AM189" t="s">
        <v>816</v>
      </c>
      <c r="AN189" t="s">
        <v>1040</v>
      </c>
      <c r="AO189" t="s">
        <v>4009</v>
      </c>
      <c r="AP189" t="s">
        <v>4010</v>
      </c>
      <c r="AQ189" t="s">
        <v>74</v>
      </c>
      <c r="AR189" t="s">
        <v>4011</v>
      </c>
      <c r="AS189" t="s">
        <v>4012</v>
      </c>
      <c r="AT189" t="s">
        <v>1309</v>
      </c>
      <c r="AU189">
        <v>2015</v>
      </c>
      <c r="AV189">
        <v>113</v>
      </c>
      <c r="AW189" t="s">
        <v>74</v>
      </c>
      <c r="AX189" t="s">
        <v>74</v>
      </c>
      <c r="AY189" t="s">
        <v>74</v>
      </c>
      <c r="AZ189" t="s">
        <v>74</v>
      </c>
      <c r="BA189" t="s">
        <v>74</v>
      </c>
      <c r="BB189">
        <v>63</v>
      </c>
      <c r="BC189">
        <v>70</v>
      </c>
      <c r="BD189" t="s">
        <v>74</v>
      </c>
      <c r="BE189" t="s">
        <v>4049</v>
      </c>
      <c r="BF189" t="str">
        <f>HYPERLINK("http://dx.doi.org/10.1016/j.coldregions.2015.01.007","http://dx.doi.org/10.1016/j.coldregions.2015.01.007")</f>
        <v>http://dx.doi.org/10.1016/j.coldregions.2015.01.007</v>
      </c>
      <c r="BG189" t="s">
        <v>74</v>
      </c>
      <c r="BH189" t="s">
        <v>74</v>
      </c>
      <c r="BI189">
        <v>8</v>
      </c>
      <c r="BJ189" t="s">
        <v>4014</v>
      </c>
      <c r="BK189" t="s">
        <v>100</v>
      </c>
      <c r="BL189" t="s">
        <v>4015</v>
      </c>
      <c r="BM189" t="s">
        <v>4016</v>
      </c>
      <c r="BN189" t="s">
        <v>74</v>
      </c>
      <c r="BO189" t="s">
        <v>74</v>
      </c>
      <c r="BP189" t="s">
        <v>74</v>
      </c>
      <c r="BQ189" t="s">
        <v>74</v>
      </c>
      <c r="BR189" t="s">
        <v>104</v>
      </c>
      <c r="BS189" t="s">
        <v>4050</v>
      </c>
      <c r="BT189" t="str">
        <f>HYPERLINK("https%3A%2F%2Fwww.webofscience.com%2Fwos%2Fwoscc%2Ffull-record%2FWOS:000352048800007","View Full Record in Web of Science")</f>
        <v>View Full Record in Web of Science</v>
      </c>
    </row>
    <row r="190" spans="1:72" x14ac:dyDescent="0.15">
      <c r="A190" t="s">
        <v>72</v>
      </c>
      <c r="B190" t="s">
        <v>4051</v>
      </c>
      <c r="C190" t="s">
        <v>74</v>
      </c>
      <c r="D190" t="s">
        <v>74</v>
      </c>
      <c r="E190" t="s">
        <v>74</v>
      </c>
      <c r="F190" t="s">
        <v>4052</v>
      </c>
      <c r="G190" t="s">
        <v>74</v>
      </c>
      <c r="H190" t="s">
        <v>74</v>
      </c>
      <c r="I190" t="s">
        <v>4053</v>
      </c>
      <c r="J190" t="s">
        <v>3274</v>
      </c>
      <c r="K190" t="s">
        <v>74</v>
      </c>
      <c r="L190" t="s">
        <v>74</v>
      </c>
      <c r="M190" t="s">
        <v>78</v>
      </c>
      <c r="N190" t="s">
        <v>79</v>
      </c>
      <c r="O190" t="s">
        <v>74</v>
      </c>
      <c r="P190" t="s">
        <v>74</v>
      </c>
      <c r="Q190" t="s">
        <v>74</v>
      </c>
      <c r="R190" t="s">
        <v>74</v>
      </c>
      <c r="S190" t="s">
        <v>74</v>
      </c>
      <c r="T190" t="s">
        <v>4054</v>
      </c>
      <c r="U190" t="s">
        <v>4055</v>
      </c>
      <c r="V190" t="s">
        <v>4056</v>
      </c>
      <c r="W190" t="s">
        <v>4057</v>
      </c>
      <c r="X190" t="s">
        <v>4058</v>
      </c>
      <c r="Y190" t="s">
        <v>4059</v>
      </c>
      <c r="Z190" t="s">
        <v>4060</v>
      </c>
      <c r="AA190" t="s">
        <v>4061</v>
      </c>
      <c r="AB190" t="s">
        <v>4062</v>
      </c>
      <c r="AC190" t="s">
        <v>4063</v>
      </c>
      <c r="AD190" t="s">
        <v>4064</v>
      </c>
      <c r="AE190" t="s">
        <v>4065</v>
      </c>
      <c r="AF190" t="s">
        <v>74</v>
      </c>
      <c r="AG190">
        <v>88</v>
      </c>
      <c r="AH190">
        <v>11</v>
      </c>
      <c r="AI190">
        <v>11</v>
      </c>
      <c r="AJ190">
        <v>2</v>
      </c>
      <c r="AK190">
        <v>36</v>
      </c>
      <c r="AL190" t="s">
        <v>1039</v>
      </c>
      <c r="AM190" t="s">
        <v>816</v>
      </c>
      <c r="AN190" t="s">
        <v>1040</v>
      </c>
      <c r="AO190" t="s">
        <v>3287</v>
      </c>
      <c r="AP190" t="s">
        <v>3288</v>
      </c>
      <c r="AQ190" t="s">
        <v>74</v>
      </c>
      <c r="AR190" t="s">
        <v>3289</v>
      </c>
      <c r="AS190" t="s">
        <v>3290</v>
      </c>
      <c r="AT190" t="s">
        <v>1309</v>
      </c>
      <c r="AU190">
        <v>2015</v>
      </c>
      <c r="AV190">
        <v>466</v>
      </c>
      <c r="AW190" t="s">
        <v>74</v>
      </c>
      <c r="AX190" t="s">
        <v>74</v>
      </c>
      <c r="AY190" t="s">
        <v>74</v>
      </c>
      <c r="AZ190" t="s">
        <v>74</v>
      </c>
      <c r="BA190" t="s">
        <v>74</v>
      </c>
      <c r="BB190">
        <v>49</v>
      </c>
      <c r="BC190">
        <v>58</v>
      </c>
      <c r="BD190" t="s">
        <v>74</v>
      </c>
      <c r="BE190" t="s">
        <v>4066</v>
      </c>
      <c r="BF190" t="str">
        <f>HYPERLINK("http://dx.doi.org/10.1016/j.jembe.2015.02.002","http://dx.doi.org/10.1016/j.jembe.2015.02.002")</f>
        <v>http://dx.doi.org/10.1016/j.jembe.2015.02.002</v>
      </c>
      <c r="BG190" t="s">
        <v>74</v>
      </c>
      <c r="BH190" t="s">
        <v>74</v>
      </c>
      <c r="BI190">
        <v>10</v>
      </c>
      <c r="BJ190" t="s">
        <v>3292</v>
      </c>
      <c r="BK190" t="s">
        <v>100</v>
      </c>
      <c r="BL190" t="s">
        <v>3293</v>
      </c>
      <c r="BM190" t="s">
        <v>3294</v>
      </c>
      <c r="BN190" t="s">
        <v>74</v>
      </c>
      <c r="BO190" t="s">
        <v>74</v>
      </c>
      <c r="BP190" t="s">
        <v>74</v>
      </c>
      <c r="BQ190" t="s">
        <v>74</v>
      </c>
      <c r="BR190" t="s">
        <v>104</v>
      </c>
      <c r="BS190" t="s">
        <v>4067</v>
      </c>
      <c r="BT190" t="str">
        <f>HYPERLINK("https%3A%2F%2Fwww.webofscience.com%2Fwos%2Fwoscc%2Ffull-record%2FWOS:000352667500006","View Full Record in Web of Science")</f>
        <v>View Full Record in Web of Science</v>
      </c>
    </row>
    <row r="191" spans="1:72" x14ac:dyDescent="0.15">
      <c r="A191" t="s">
        <v>72</v>
      </c>
      <c r="B191" t="s">
        <v>4068</v>
      </c>
      <c r="C191" t="s">
        <v>74</v>
      </c>
      <c r="D191" t="s">
        <v>74</v>
      </c>
      <c r="E191" t="s">
        <v>74</v>
      </c>
      <c r="F191" t="s">
        <v>4069</v>
      </c>
      <c r="G191" t="s">
        <v>74</v>
      </c>
      <c r="H191" t="s">
        <v>74</v>
      </c>
      <c r="I191" t="s">
        <v>4070</v>
      </c>
      <c r="J191" t="s">
        <v>2940</v>
      </c>
      <c r="K191" t="s">
        <v>74</v>
      </c>
      <c r="L191" t="s">
        <v>74</v>
      </c>
      <c r="M191" t="s">
        <v>78</v>
      </c>
      <c r="N191" t="s">
        <v>79</v>
      </c>
      <c r="O191" t="s">
        <v>74</v>
      </c>
      <c r="P191" t="s">
        <v>74</v>
      </c>
      <c r="Q191" t="s">
        <v>74</v>
      </c>
      <c r="R191" t="s">
        <v>74</v>
      </c>
      <c r="S191" t="s">
        <v>74</v>
      </c>
      <c r="T191" t="s">
        <v>4071</v>
      </c>
      <c r="U191" t="s">
        <v>4072</v>
      </c>
      <c r="V191" t="s">
        <v>4073</v>
      </c>
      <c r="W191" t="s">
        <v>4074</v>
      </c>
      <c r="X191" t="s">
        <v>4075</v>
      </c>
      <c r="Y191" t="s">
        <v>4076</v>
      </c>
      <c r="Z191" t="s">
        <v>4077</v>
      </c>
      <c r="AA191" t="s">
        <v>4078</v>
      </c>
      <c r="AB191" t="s">
        <v>4079</v>
      </c>
      <c r="AC191" t="s">
        <v>74</v>
      </c>
      <c r="AD191" t="s">
        <v>74</v>
      </c>
      <c r="AE191" t="s">
        <v>74</v>
      </c>
      <c r="AF191" t="s">
        <v>74</v>
      </c>
      <c r="AG191">
        <v>31</v>
      </c>
      <c r="AH191">
        <v>6</v>
      </c>
      <c r="AI191">
        <v>9</v>
      </c>
      <c r="AJ191">
        <v>0</v>
      </c>
      <c r="AK191">
        <v>38</v>
      </c>
      <c r="AL191" t="s">
        <v>786</v>
      </c>
      <c r="AM191" t="s">
        <v>787</v>
      </c>
      <c r="AN191" t="s">
        <v>788</v>
      </c>
      <c r="AO191" t="s">
        <v>2953</v>
      </c>
      <c r="AP191" t="s">
        <v>2954</v>
      </c>
      <c r="AQ191" t="s">
        <v>74</v>
      </c>
      <c r="AR191" t="s">
        <v>2940</v>
      </c>
      <c r="AS191" t="s">
        <v>2955</v>
      </c>
      <c r="AT191" t="s">
        <v>1309</v>
      </c>
      <c r="AU191">
        <v>2015</v>
      </c>
      <c r="AV191">
        <v>126</v>
      </c>
      <c r="AW191" t="s">
        <v>74</v>
      </c>
      <c r="AX191" t="s">
        <v>74</v>
      </c>
      <c r="AY191" t="s">
        <v>74</v>
      </c>
      <c r="AZ191" t="s">
        <v>74</v>
      </c>
      <c r="BA191" t="s">
        <v>74</v>
      </c>
      <c r="BB191">
        <v>11</v>
      </c>
      <c r="BC191">
        <v>17</v>
      </c>
      <c r="BD191" t="s">
        <v>74</v>
      </c>
      <c r="BE191" t="s">
        <v>4080</v>
      </c>
      <c r="BF191" t="str">
        <f>HYPERLINK("http://dx.doi.org/10.1016/j.chemosphere.2014.12.074","http://dx.doi.org/10.1016/j.chemosphere.2014.12.074")</f>
        <v>http://dx.doi.org/10.1016/j.chemosphere.2014.12.074</v>
      </c>
      <c r="BG191" t="s">
        <v>74</v>
      </c>
      <c r="BH191" t="s">
        <v>74</v>
      </c>
      <c r="BI191">
        <v>7</v>
      </c>
      <c r="BJ191" t="s">
        <v>2957</v>
      </c>
      <c r="BK191" t="s">
        <v>100</v>
      </c>
      <c r="BL191" t="s">
        <v>1048</v>
      </c>
      <c r="BM191" t="s">
        <v>2958</v>
      </c>
      <c r="BN191">
        <v>25637712</v>
      </c>
      <c r="BO191" t="s">
        <v>74</v>
      </c>
      <c r="BP191" t="s">
        <v>74</v>
      </c>
      <c r="BQ191" t="s">
        <v>74</v>
      </c>
      <c r="BR191" t="s">
        <v>104</v>
      </c>
      <c r="BS191" t="s">
        <v>4081</v>
      </c>
      <c r="BT191" t="str">
        <f>HYPERLINK("https%3A%2F%2Fwww.webofscience.com%2Fwos%2Fwoscc%2Ffull-record%2FWOS:000351979800002","View Full Record in Web of Science")</f>
        <v>View Full Record in Web of Science</v>
      </c>
    </row>
    <row r="192" spans="1:72" x14ac:dyDescent="0.15">
      <c r="A192" t="s">
        <v>72</v>
      </c>
      <c r="B192" t="s">
        <v>4082</v>
      </c>
      <c r="C192" t="s">
        <v>74</v>
      </c>
      <c r="D192" t="s">
        <v>74</v>
      </c>
      <c r="E192" t="s">
        <v>74</v>
      </c>
      <c r="F192" t="s">
        <v>4083</v>
      </c>
      <c r="G192" t="s">
        <v>74</v>
      </c>
      <c r="H192" t="s">
        <v>74</v>
      </c>
      <c r="I192" t="s">
        <v>4084</v>
      </c>
      <c r="J192" t="s">
        <v>4085</v>
      </c>
      <c r="K192" t="s">
        <v>74</v>
      </c>
      <c r="L192" t="s">
        <v>74</v>
      </c>
      <c r="M192" t="s">
        <v>78</v>
      </c>
      <c r="N192" t="s">
        <v>79</v>
      </c>
      <c r="O192" t="s">
        <v>74</v>
      </c>
      <c r="P192" t="s">
        <v>74</v>
      </c>
      <c r="Q192" t="s">
        <v>74</v>
      </c>
      <c r="R192" t="s">
        <v>74</v>
      </c>
      <c r="S192" t="s">
        <v>74</v>
      </c>
      <c r="T192" t="s">
        <v>4086</v>
      </c>
      <c r="U192" t="s">
        <v>4087</v>
      </c>
      <c r="V192" t="s">
        <v>4088</v>
      </c>
      <c r="W192" t="s">
        <v>4089</v>
      </c>
      <c r="X192" t="s">
        <v>4090</v>
      </c>
      <c r="Y192" t="s">
        <v>4091</v>
      </c>
      <c r="Z192" t="s">
        <v>4092</v>
      </c>
      <c r="AA192" t="s">
        <v>4093</v>
      </c>
      <c r="AB192" t="s">
        <v>4094</v>
      </c>
      <c r="AC192" t="s">
        <v>1638</v>
      </c>
      <c r="AD192" t="s">
        <v>1638</v>
      </c>
      <c r="AE192" t="s">
        <v>4095</v>
      </c>
      <c r="AF192" t="s">
        <v>74</v>
      </c>
      <c r="AG192">
        <v>28</v>
      </c>
      <c r="AH192">
        <v>8</v>
      </c>
      <c r="AI192">
        <v>8</v>
      </c>
      <c r="AJ192">
        <v>2</v>
      </c>
      <c r="AK192">
        <v>44</v>
      </c>
      <c r="AL192" t="s">
        <v>120</v>
      </c>
      <c r="AM192" t="s">
        <v>121</v>
      </c>
      <c r="AN192" t="s">
        <v>1304</v>
      </c>
      <c r="AO192" t="s">
        <v>4096</v>
      </c>
      <c r="AP192" t="s">
        <v>4097</v>
      </c>
      <c r="AQ192" t="s">
        <v>74</v>
      </c>
      <c r="AR192" t="s">
        <v>4098</v>
      </c>
      <c r="AS192" t="s">
        <v>4099</v>
      </c>
      <c r="AT192" t="s">
        <v>1309</v>
      </c>
      <c r="AU192">
        <v>2015</v>
      </c>
      <c r="AV192">
        <v>44</v>
      </c>
      <c r="AW192" t="s">
        <v>4100</v>
      </c>
      <c r="AX192" t="s">
        <v>74</v>
      </c>
      <c r="AY192" t="s">
        <v>74</v>
      </c>
      <c r="AZ192" t="s">
        <v>74</v>
      </c>
      <c r="BA192" t="s">
        <v>74</v>
      </c>
      <c r="BB192">
        <v>2571</v>
      </c>
      <c r="BC192">
        <v>2587</v>
      </c>
      <c r="BD192" t="s">
        <v>74</v>
      </c>
      <c r="BE192" t="s">
        <v>4101</v>
      </c>
      <c r="BF192" t="str">
        <f>HYPERLINK("http://dx.doi.org/10.1007/s00382-014-2177-6","http://dx.doi.org/10.1007/s00382-014-2177-6")</f>
        <v>http://dx.doi.org/10.1007/s00382-014-2177-6</v>
      </c>
      <c r="BG192" t="s">
        <v>74</v>
      </c>
      <c r="BH192" t="s">
        <v>74</v>
      </c>
      <c r="BI192">
        <v>17</v>
      </c>
      <c r="BJ192" t="s">
        <v>406</v>
      </c>
      <c r="BK192" t="s">
        <v>100</v>
      </c>
      <c r="BL192" t="s">
        <v>406</v>
      </c>
      <c r="BM192" t="s">
        <v>4102</v>
      </c>
      <c r="BN192" t="s">
        <v>74</v>
      </c>
      <c r="BO192" t="s">
        <v>248</v>
      </c>
      <c r="BP192" t="s">
        <v>74</v>
      </c>
      <c r="BQ192" t="s">
        <v>74</v>
      </c>
      <c r="BR192" t="s">
        <v>104</v>
      </c>
      <c r="BS192" t="s">
        <v>4103</v>
      </c>
      <c r="BT192" t="str">
        <f>HYPERLINK("https%3A%2F%2Fwww.webofscience.com%2Fwos%2Fwoscc%2Ffull-record%2FWOS:000351459800014","View Full Record in Web of Science")</f>
        <v>View Full Record in Web of Science</v>
      </c>
    </row>
    <row r="193" spans="1:72" x14ac:dyDescent="0.15">
      <c r="A193" t="s">
        <v>72</v>
      </c>
      <c r="B193" t="s">
        <v>4104</v>
      </c>
      <c r="C193" t="s">
        <v>74</v>
      </c>
      <c r="D193" t="s">
        <v>74</v>
      </c>
      <c r="E193" t="s">
        <v>74</v>
      </c>
      <c r="F193" t="s">
        <v>4105</v>
      </c>
      <c r="G193" t="s">
        <v>74</v>
      </c>
      <c r="H193" t="s">
        <v>74</v>
      </c>
      <c r="I193" t="s">
        <v>4106</v>
      </c>
      <c r="J193" t="s">
        <v>4085</v>
      </c>
      <c r="K193" t="s">
        <v>74</v>
      </c>
      <c r="L193" t="s">
        <v>74</v>
      </c>
      <c r="M193" t="s">
        <v>78</v>
      </c>
      <c r="N193" t="s">
        <v>79</v>
      </c>
      <c r="O193" t="s">
        <v>74</v>
      </c>
      <c r="P193" t="s">
        <v>74</v>
      </c>
      <c r="Q193" t="s">
        <v>74</v>
      </c>
      <c r="R193" t="s">
        <v>74</v>
      </c>
      <c r="S193" t="s">
        <v>74</v>
      </c>
      <c r="T193" t="s">
        <v>4107</v>
      </c>
      <c r="U193" t="s">
        <v>4108</v>
      </c>
      <c r="V193" t="s">
        <v>4109</v>
      </c>
      <c r="W193" t="s">
        <v>4110</v>
      </c>
      <c r="X193" t="s">
        <v>4111</v>
      </c>
      <c r="Y193" t="s">
        <v>4112</v>
      </c>
      <c r="Z193" t="s">
        <v>4113</v>
      </c>
      <c r="AA193" t="s">
        <v>4114</v>
      </c>
      <c r="AB193" t="s">
        <v>4115</v>
      </c>
      <c r="AC193" t="s">
        <v>4116</v>
      </c>
      <c r="AD193" t="s">
        <v>4117</v>
      </c>
      <c r="AE193" t="s">
        <v>4118</v>
      </c>
      <c r="AF193" t="s">
        <v>74</v>
      </c>
      <c r="AG193">
        <v>50</v>
      </c>
      <c r="AH193">
        <v>18</v>
      </c>
      <c r="AI193">
        <v>20</v>
      </c>
      <c r="AJ193">
        <v>2</v>
      </c>
      <c r="AK193">
        <v>56</v>
      </c>
      <c r="AL193" t="s">
        <v>120</v>
      </c>
      <c r="AM193" t="s">
        <v>121</v>
      </c>
      <c r="AN193" t="s">
        <v>1304</v>
      </c>
      <c r="AO193" t="s">
        <v>4096</v>
      </c>
      <c r="AP193" t="s">
        <v>4097</v>
      </c>
      <c r="AQ193" t="s">
        <v>74</v>
      </c>
      <c r="AR193" t="s">
        <v>4098</v>
      </c>
      <c r="AS193" t="s">
        <v>4099</v>
      </c>
      <c r="AT193" t="s">
        <v>1309</v>
      </c>
      <c r="AU193">
        <v>2015</v>
      </c>
      <c r="AV193">
        <v>44</v>
      </c>
      <c r="AW193" t="s">
        <v>4100</v>
      </c>
      <c r="AX193" t="s">
        <v>74</v>
      </c>
      <c r="AY193" t="s">
        <v>74</v>
      </c>
      <c r="AZ193" t="s">
        <v>74</v>
      </c>
      <c r="BA193" t="s">
        <v>74</v>
      </c>
      <c r="BB193">
        <v>2897</v>
      </c>
      <c r="BC193">
        <v>2908</v>
      </c>
      <c r="BD193" t="s">
        <v>74</v>
      </c>
      <c r="BE193" t="s">
        <v>4119</v>
      </c>
      <c r="BF193" t="str">
        <f>HYPERLINK("http://dx.doi.org/10.1007/s00382-014-2211-8","http://dx.doi.org/10.1007/s00382-014-2211-8")</f>
        <v>http://dx.doi.org/10.1007/s00382-014-2211-8</v>
      </c>
      <c r="BG193" t="s">
        <v>74</v>
      </c>
      <c r="BH193" t="s">
        <v>74</v>
      </c>
      <c r="BI193">
        <v>12</v>
      </c>
      <c r="BJ193" t="s">
        <v>406</v>
      </c>
      <c r="BK193" t="s">
        <v>100</v>
      </c>
      <c r="BL193" t="s">
        <v>406</v>
      </c>
      <c r="BM193" t="s">
        <v>4102</v>
      </c>
      <c r="BN193" t="s">
        <v>74</v>
      </c>
      <c r="BO193" t="s">
        <v>74</v>
      </c>
      <c r="BP193" t="s">
        <v>74</v>
      </c>
      <c r="BQ193" t="s">
        <v>74</v>
      </c>
      <c r="BR193" t="s">
        <v>104</v>
      </c>
      <c r="BS193" t="s">
        <v>4120</v>
      </c>
      <c r="BT193" t="str">
        <f>HYPERLINK("https%3A%2F%2Fwww.webofscience.com%2Fwos%2Fwoscc%2Ffull-record%2FWOS:000351459800032","View Full Record in Web of Science")</f>
        <v>View Full Record in Web of Science</v>
      </c>
    </row>
    <row r="194" spans="1:72" x14ac:dyDescent="0.15">
      <c r="A194" t="s">
        <v>72</v>
      </c>
      <c r="B194" t="s">
        <v>4121</v>
      </c>
      <c r="C194" t="s">
        <v>74</v>
      </c>
      <c r="D194" t="s">
        <v>74</v>
      </c>
      <c r="E194" t="s">
        <v>74</v>
      </c>
      <c r="F194" t="s">
        <v>4122</v>
      </c>
      <c r="G194" t="s">
        <v>74</v>
      </c>
      <c r="H194" t="s">
        <v>74</v>
      </c>
      <c r="I194" t="s">
        <v>4123</v>
      </c>
      <c r="J194" t="s">
        <v>848</v>
      </c>
      <c r="K194" t="s">
        <v>74</v>
      </c>
      <c r="L194" t="s">
        <v>74</v>
      </c>
      <c r="M194" t="s">
        <v>78</v>
      </c>
      <c r="N194" t="s">
        <v>79</v>
      </c>
      <c r="O194" t="s">
        <v>74</v>
      </c>
      <c r="P194" t="s">
        <v>74</v>
      </c>
      <c r="Q194" t="s">
        <v>74</v>
      </c>
      <c r="R194" t="s">
        <v>74</v>
      </c>
      <c r="S194" t="s">
        <v>74</v>
      </c>
      <c r="T194" t="s">
        <v>4124</v>
      </c>
      <c r="U194" t="s">
        <v>4125</v>
      </c>
      <c r="V194" t="s">
        <v>4126</v>
      </c>
      <c r="W194" t="s">
        <v>4127</v>
      </c>
      <c r="X194" t="s">
        <v>4128</v>
      </c>
      <c r="Y194" t="s">
        <v>4129</v>
      </c>
      <c r="Z194" t="s">
        <v>4130</v>
      </c>
      <c r="AA194" t="s">
        <v>74</v>
      </c>
      <c r="AB194" t="s">
        <v>4131</v>
      </c>
      <c r="AC194" t="s">
        <v>4132</v>
      </c>
      <c r="AD194" t="s">
        <v>4133</v>
      </c>
      <c r="AE194" t="s">
        <v>4134</v>
      </c>
      <c r="AF194" t="s">
        <v>74</v>
      </c>
      <c r="AG194">
        <v>77</v>
      </c>
      <c r="AH194">
        <v>16</v>
      </c>
      <c r="AI194">
        <v>20</v>
      </c>
      <c r="AJ194">
        <v>1</v>
      </c>
      <c r="AK194">
        <v>32</v>
      </c>
      <c r="AL194" t="s">
        <v>1039</v>
      </c>
      <c r="AM194" t="s">
        <v>816</v>
      </c>
      <c r="AN194" t="s">
        <v>1040</v>
      </c>
      <c r="AO194" t="s">
        <v>858</v>
      </c>
      <c r="AP194" t="s">
        <v>859</v>
      </c>
      <c r="AQ194" t="s">
        <v>74</v>
      </c>
      <c r="AR194" t="s">
        <v>860</v>
      </c>
      <c r="AS194" t="s">
        <v>861</v>
      </c>
      <c r="AT194" t="s">
        <v>2079</v>
      </c>
      <c r="AU194">
        <v>2015</v>
      </c>
      <c r="AV194">
        <v>417</v>
      </c>
      <c r="AW194" t="s">
        <v>74</v>
      </c>
      <c r="AX194" t="s">
        <v>74</v>
      </c>
      <c r="AY194" t="s">
        <v>74</v>
      </c>
      <c r="AZ194" t="s">
        <v>74</v>
      </c>
      <c r="BA194" t="s">
        <v>74</v>
      </c>
      <c r="BB194">
        <v>78</v>
      </c>
      <c r="BC194">
        <v>86</v>
      </c>
      <c r="BD194" t="s">
        <v>74</v>
      </c>
      <c r="BE194" t="s">
        <v>4135</v>
      </c>
      <c r="BF194" t="str">
        <f>HYPERLINK("http://dx.doi.org/10.1016/j.epsl.2015.02.017","http://dx.doi.org/10.1016/j.epsl.2015.02.017")</f>
        <v>http://dx.doi.org/10.1016/j.epsl.2015.02.017</v>
      </c>
      <c r="BG194" t="s">
        <v>74</v>
      </c>
      <c r="BH194" t="s">
        <v>74</v>
      </c>
      <c r="BI194">
        <v>9</v>
      </c>
      <c r="BJ194" t="s">
        <v>863</v>
      </c>
      <c r="BK194" t="s">
        <v>100</v>
      </c>
      <c r="BL194" t="s">
        <v>863</v>
      </c>
      <c r="BM194" t="s">
        <v>4136</v>
      </c>
      <c r="BN194" t="s">
        <v>74</v>
      </c>
      <c r="BO194" t="s">
        <v>2481</v>
      </c>
      <c r="BP194" t="s">
        <v>74</v>
      </c>
      <c r="BQ194" t="s">
        <v>74</v>
      </c>
      <c r="BR194" t="s">
        <v>104</v>
      </c>
      <c r="BS194" t="s">
        <v>4137</v>
      </c>
      <c r="BT194" t="str">
        <f>HYPERLINK("https%3A%2F%2Fwww.webofscience.com%2Fwos%2Fwoscc%2Ffull-record%2FWOS:000351799400009","View Full Record in Web of Science")</f>
        <v>View Full Record in Web of Science</v>
      </c>
    </row>
    <row r="195" spans="1:72" x14ac:dyDescent="0.15">
      <c r="A195" t="s">
        <v>72</v>
      </c>
      <c r="B195" t="s">
        <v>4138</v>
      </c>
      <c r="C195" t="s">
        <v>74</v>
      </c>
      <c r="D195" t="s">
        <v>74</v>
      </c>
      <c r="E195" t="s">
        <v>74</v>
      </c>
      <c r="F195" t="s">
        <v>4139</v>
      </c>
      <c r="G195" t="s">
        <v>74</v>
      </c>
      <c r="H195" t="s">
        <v>74</v>
      </c>
      <c r="I195" t="s">
        <v>4140</v>
      </c>
      <c r="J195" t="s">
        <v>2963</v>
      </c>
      <c r="K195" t="s">
        <v>74</v>
      </c>
      <c r="L195" t="s">
        <v>74</v>
      </c>
      <c r="M195" t="s">
        <v>78</v>
      </c>
      <c r="N195" t="s">
        <v>79</v>
      </c>
      <c r="O195" t="s">
        <v>74</v>
      </c>
      <c r="P195" t="s">
        <v>74</v>
      </c>
      <c r="Q195" t="s">
        <v>74</v>
      </c>
      <c r="R195" t="s">
        <v>74</v>
      </c>
      <c r="S195" t="s">
        <v>74</v>
      </c>
      <c r="T195" t="s">
        <v>4141</v>
      </c>
      <c r="U195" t="s">
        <v>4142</v>
      </c>
      <c r="V195" t="s">
        <v>4143</v>
      </c>
      <c r="W195" t="s">
        <v>4144</v>
      </c>
      <c r="X195" t="s">
        <v>4145</v>
      </c>
      <c r="Y195" t="s">
        <v>4146</v>
      </c>
      <c r="Z195" t="s">
        <v>4147</v>
      </c>
      <c r="AA195" t="s">
        <v>4148</v>
      </c>
      <c r="AB195" t="s">
        <v>4149</v>
      </c>
      <c r="AC195" t="s">
        <v>4150</v>
      </c>
      <c r="AD195" t="s">
        <v>4151</v>
      </c>
      <c r="AE195" t="s">
        <v>4152</v>
      </c>
      <c r="AF195" t="s">
        <v>74</v>
      </c>
      <c r="AG195">
        <v>41</v>
      </c>
      <c r="AH195">
        <v>5</v>
      </c>
      <c r="AI195">
        <v>5</v>
      </c>
      <c r="AJ195">
        <v>0</v>
      </c>
      <c r="AK195">
        <v>31</v>
      </c>
      <c r="AL195" t="s">
        <v>1039</v>
      </c>
      <c r="AM195" t="s">
        <v>816</v>
      </c>
      <c r="AN195" t="s">
        <v>1040</v>
      </c>
      <c r="AO195" t="s">
        <v>2975</v>
      </c>
      <c r="AP195" t="s">
        <v>2976</v>
      </c>
      <c r="AQ195" t="s">
        <v>74</v>
      </c>
      <c r="AR195" t="s">
        <v>2977</v>
      </c>
      <c r="AS195" t="s">
        <v>2978</v>
      </c>
      <c r="AT195" t="s">
        <v>1309</v>
      </c>
      <c r="AU195">
        <v>2015</v>
      </c>
      <c r="AV195">
        <v>52</v>
      </c>
      <c r="AW195" t="s">
        <v>74</v>
      </c>
      <c r="AX195" t="s">
        <v>74</v>
      </c>
      <c r="AY195" t="s">
        <v>74</v>
      </c>
      <c r="AZ195" t="s">
        <v>74</v>
      </c>
      <c r="BA195" t="s">
        <v>74</v>
      </c>
      <c r="BB195">
        <v>48</v>
      </c>
      <c r="BC195">
        <v>56</v>
      </c>
      <c r="BD195" t="s">
        <v>74</v>
      </c>
      <c r="BE195" t="s">
        <v>4153</v>
      </c>
      <c r="BF195" t="str">
        <f>HYPERLINK("http://dx.doi.org/10.1016/j.ecolind.2014.11.027","http://dx.doi.org/10.1016/j.ecolind.2014.11.027")</f>
        <v>http://dx.doi.org/10.1016/j.ecolind.2014.11.027</v>
      </c>
      <c r="BG195" t="s">
        <v>74</v>
      </c>
      <c r="BH195" t="s">
        <v>74</v>
      </c>
      <c r="BI195">
        <v>9</v>
      </c>
      <c r="BJ195" t="s">
        <v>2980</v>
      </c>
      <c r="BK195" t="s">
        <v>100</v>
      </c>
      <c r="BL195" t="s">
        <v>154</v>
      </c>
      <c r="BM195" t="s">
        <v>2981</v>
      </c>
      <c r="BN195" t="s">
        <v>74</v>
      </c>
      <c r="BO195" t="s">
        <v>74</v>
      </c>
      <c r="BP195" t="s">
        <v>74</v>
      </c>
      <c r="BQ195" t="s">
        <v>74</v>
      </c>
      <c r="BR195" t="s">
        <v>104</v>
      </c>
      <c r="BS195" t="s">
        <v>4154</v>
      </c>
      <c r="BT195" t="str">
        <f>HYPERLINK("https%3A%2F%2Fwww.webofscience.com%2Fwos%2Fwoscc%2Ffull-record%2FWOS:000350918600007","View Full Record in Web of Science")</f>
        <v>View Full Record in Web of Science</v>
      </c>
    </row>
    <row r="196" spans="1:72" x14ac:dyDescent="0.15">
      <c r="A196" t="s">
        <v>72</v>
      </c>
      <c r="B196" t="s">
        <v>4155</v>
      </c>
      <c r="C196" t="s">
        <v>74</v>
      </c>
      <c r="D196" t="s">
        <v>74</v>
      </c>
      <c r="E196" t="s">
        <v>74</v>
      </c>
      <c r="F196" t="s">
        <v>4156</v>
      </c>
      <c r="G196" t="s">
        <v>74</v>
      </c>
      <c r="H196" t="s">
        <v>74</v>
      </c>
      <c r="I196" t="s">
        <v>4157</v>
      </c>
      <c r="J196" t="s">
        <v>4158</v>
      </c>
      <c r="K196" t="s">
        <v>74</v>
      </c>
      <c r="L196" t="s">
        <v>74</v>
      </c>
      <c r="M196" t="s">
        <v>78</v>
      </c>
      <c r="N196" t="s">
        <v>79</v>
      </c>
      <c r="O196" t="s">
        <v>74</v>
      </c>
      <c r="P196" t="s">
        <v>74</v>
      </c>
      <c r="Q196" t="s">
        <v>74</v>
      </c>
      <c r="R196" t="s">
        <v>74</v>
      </c>
      <c r="S196" t="s">
        <v>74</v>
      </c>
      <c r="T196" t="s">
        <v>4159</v>
      </c>
      <c r="U196" t="s">
        <v>4160</v>
      </c>
      <c r="V196" t="s">
        <v>4161</v>
      </c>
      <c r="W196" t="s">
        <v>4162</v>
      </c>
      <c r="X196" t="s">
        <v>4163</v>
      </c>
      <c r="Y196" t="s">
        <v>4164</v>
      </c>
      <c r="Z196" t="s">
        <v>4165</v>
      </c>
      <c r="AA196" t="s">
        <v>4166</v>
      </c>
      <c r="AB196" t="s">
        <v>4167</v>
      </c>
      <c r="AC196" t="s">
        <v>4168</v>
      </c>
      <c r="AD196" t="s">
        <v>4168</v>
      </c>
      <c r="AE196" t="s">
        <v>4169</v>
      </c>
      <c r="AF196" t="s">
        <v>74</v>
      </c>
      <c r="AG196">
        <v>68</v>
      </c>
      <c r="AH196">
        <v>26</v>
      </c>
      <c r="AI196">
        <v>29</v>
      </c>
      <c r="AJ196">
        <v>0</v>
      </c>
      <c r="AK196">
        <v>47</v>
      </c>
      <c r="AL196" t="s">
        <v>120</v>
      </c>
      <c r="AM196" t="s">
        <v>121</v>
      </c>
      <c r="AN196" t="s">
        <v>1304</v>
      </c>
      <c r="AO196" t="s">
        <v>4170</v>
      </c>
      <c r="AP196" t="s">
        <v>4171</v>
      </c>
      <c r="AQ196" t="s">
        <v>74</v>
      </c>
      <c r="AR196" t="s">
        <v>4172</v>
      </c>
      <c r="AS196" t="s">
        <v>4173</v>
      </c>
      <c r="AT196" t="s">
        <v>1309</v>
      </c>
      <c r="AU196">
        <v>2015</v>
      </c>
      <c r="AV196">
        <v>38</v>
      </c>
      <c r="AW196">
        <v>3</v>
      </c>
      <c r="AX196" t="s">
        <v>74</v>
      </c>
      <c r="AY196" t="s">
        <v>74</v>
      </c>
      <c r="AZ196" t="s">
        <v>74</v>
      </c>
      <c r="BA196" t="s">
        <v>74</v>
      </c>
      <c r="BB196">
        <v>927</v>
      </c>
      <c r="BC196">
        <v>940</v>
      </c>
      <c r="BD196" t="s">
        <v>74</v>
      </c>
      <c r="BE196" t="s">
        <v>4174</v>
      </c>
      <c r="BF196" t="str">
        <f>HYPERLINK("http://dx.doi.org/10.1007/s12237-014-9850-1","http://dx.doi.org/10.1007/s12237-014-9850-1")</f>
        <v>http://dx.doi.org/10.1007/s12237-014-9850-1</v>
      </c>
      <c r="BG196" t="s">
        <v>74</v>
      </c>
      <c r="BH196" t="s">
        <v>74</v>
      </c>
      <c r="BI196">
        <v>14</v>
      </c>
      <c r="BJ196" t="s">
        <v>4175</v>
      </c>
      <c r="BK196" t="s">
        <v>100</v>
      </c>
      <c r="BL196" t="s">
        <v>3293</v>
      </c>
      <c r="BM196" t="s">
        <v>4176</v>
      </c>
      <c r="BN196" t="s">
        <v>74</v>
      </c>
      <c r="BO196" t="s">
        <v>74</v>
      </c>
      <c r="BP196" t="s">
        <v>74</v>
      </c>
      <c r="BQ196" t="s">
        <v>74</v>
      </c>
      <c r="BR196" t="s">
        <v>104</v>
      </c>
      <c r="BS196" t="s">
        <v>4177</v>
      </c>
      <c r="BT196" t="str">
        <f>HYPERLINK("https%3A%2F%2Fwww.webofscience.com%2Fwos%2Fwoscc%2Ffull-record%2FWOS:000351613100017","View Full Record in Web of Science")</f>
        <v>View Full Record in Web of Science</v>
      </c>
    </row>
    <row r="197" spans="1:72" x14ac:dyDescent="0.15">
      <c r="A197" t="s">
        <v>72</v>
      </c>
      <c r="B197" t="s">
        <v>4178</v>
      </c>
      <c r="C197" t="s">
        <v>74</v>
      </c>
      <c r="D197" t="s">
        <v>74</v>
      </c>
      <c r="E197" t="s">
        <v>74</v>
      </c>
      <c r="F197" t="s">
        <v>4179</v>
      </c>
      <c r="G197" t="s">
        <v>74</v>
      </c>
      <c r="H197" t="s">
        <v>74</v>
      </c>
      <c r="I197" t="s">
        <v>4180</v>
      </c>
      <c r="J197" t="s">
        <v>4181</v>
      </c>
      <c r="K197" t="s">
        <v>74</v>
      </c>
      <c r="L197" t="s">
        <v>74</v>
      </c>
      <c r="M197" t="s">
        <v>78</v>
      </c>
      <c r="N197" t="s">
        <v>79</v>
      </c>
      <c r="O197" t="s">
        <v>74</v>
      </c>
      <c r="P197" t="s">
        <v>74</v>
      </c>
      <c r="Q197" t="s">
        <v>74</v>
      </c>
      <c r="R197" t="s">
        <v>74</v>
      </c>
      <c r="S197" t="s">
        <v>74</v>
      </c>
      <c r="T197" t="s">
        <v>4182</v>
      </c>
      <c r="U197" t="s">
        <v>4183</v>
      </c>
      <c r="V197" t="s">
        <v>4184</v>
      </c>
      <c r="W197" t="s">
        <v>4185</v>
      </c>
      <c r="X197" t="s">
        <v>4186</v>
      </c>
      <c r="Y197" t="s">
        <v>4187</v>
      </c>
      <c r="Z197" t="s">
        <v>4188</v>
      </c>
      <c r="AA197" t="s">
        <v>4189</v>
      </c>
      <c r="AB197" t="s">
        <v>4190</v>
      </c>
      <c r="AC197" t="s">
        <v>4191</v>
      </c>
      <c r="AD197" t="s">
        <v>4192</v>
      </c>
      <c r="AE197" t="s">
        <v>4193</v>
      </c>
      <c r="AF197" t="s">
        <v>74</v>
      </c>
      <c r="AG197">
        <v>28</v>
      </c>
      <c r="AH197">
        <v>47</v>
      </c>
      <c r="AI197">
        <v>50</v>
      </c>
      <c r="AJ197">
        <v>2</v>
      </c>
      <c r="AK197">
        <v>43</v>
      </c>
      <c r="AL197" t="s">
        <v>239</v>
      </c>
      <c r="AM197" t="s">
        <v>240</v>
      </c>
      <c r="AN197" t="s">
        <v>241</v>
      </c>
      <c r="AO197" t="s">
        <v>4194</v>
      </c>
      <c r="AP197" t="s">
        <v>4195</v>
      </c>
      <c r="AQ197" t="s">
        <v>74</v>
      </c>
      <c r="AR197" t="s">
        <v>4196</v>
      </c>
      <c r="AS197" t="s">
        <v>4197</v>
      </c>
      <c r="AT197" t="s">
        <v>1309</v>
      </c>
      <c r="AU197">
        <v>2015</v>
      </c>
      <c r="AV197">
        <v>39</v>
      </c>
      <c r="AW197" t="s">
        <v>74</v>
      </c>
      <c r="AX197" t="s">
        <v>74</v>
      </c>
      <c r="AY197" t="s">
        <v>74</v>
      </c>
      <c r="AZ197" t="s">
        <v>74</v>
      </c>
      <c r="BA197" t="s">
        <v>74</v>
      </c>
      <c r="BB197">
        <v>69</v>
      </c>
      <c r="BC197">
        <v>76</v>
      </c>
      <c r="BD197" t="s">
        <v>74</v>
      </c>
      <c r="BE197" t="s">
        <v>4198</v>
      </c>
      <c r="BF197" t="str">
        <f>HYPERLINK("http://dx.doi.org/10.1016/j.jfca.2014.11.010","http://dx.doi.org/10.1016/j.jfca.2014.11.010")</f>
        <v>http://dx.doi.org/10.1016/j.jfca.2014.11.010</v>
      </c>
      <c r="BG197" t="s">
        <v>74</v>
      </c>
      <c r="BH197" t="s">
        <v>74</v>
      </c>
      <c r="BI197">
        <v>8</v>
      </c>
      <c r="BJ197" t="s">
        <v>4199</v>
      </c>
      <c r="BK197" t="s">
        <v>100</v>
      </c>
      <c r="BL197" t="s">
        <v>4200</v>
      </c>
      <c r="BM197" t="s">
        <v>4201</v>
      </c>
      <c r="BN197" t="s">
        <v>74</v>
      </c>
      <c r="BO197" t="s">
        <v>74</v>
      </c>
      <c r="BP197" t="s">
        <v>74</v>
      </c>
      <c r="BQ197" t="s">
        <v>74</v>
      </c>
      <c r="BR197" t="s">
        <v>104</v>
      </c>
      <c r="BS197" t="s">
        <v>4202</v>
      </c>
      <c r="BT197" t="str">
        <f>HYPERLINK("https%3A%2F%2Fwww.webofscience.com%2Fwos%2Fwoscc%2Ffull-record%2FWOS:000350784200010","View Full Record in Web of Science")</f>
        <v>View Full Record in Web of Science</v>
      </c>
    </row>
    <row r="198" spans="1:72" x14ac:dyDescent="0.15">
      <c r="A198" t="s">
        <v>72</v>
      </c>
      <c r="B198" t="s">
        <v>4203</v>
      </c>
      <c r="C198" t="s">
        <v>74</v>
      </c>
      <c r="D198" t="s">
        <v>74</v>
      </c>
      <c r="E198" t="s">
        <v>74</v>
      </c>
      <c r="F198" t="s">
        <v>4204</v>
      </c>
      <c r="G198" t="s">
        <v>74</v>
      </c>
      <c r="H198" t="s">
        <v>74</v>
      </c>
      <c r="I198" t="s">
        <v>4205</v>
      </c>
      <c r="J198" t="s">
        <v>4206</v>
      </c>
      <c r="K198" t="s">
        <v>74</v>
      </c>
      <c r="L198" t="s">
        <v>74</v>
      </c>
      <c r="M198" t="s">
        <v>78</v>
      </c>
      <c r="N198" t="s">
        <v>79</v>
      </c>
      <c r="O198" t="s">
        <v>74</v>
      </c>
      <c r="P198" t="s">
        <v>74</v>
      </c>
      <c r="Q198" t="s">
        <v>74</v>
      </c>
      <c r="R198" t="s">
        <v>74</v>
      </c>
      <c r="S198" t="s">
        <v>74</v>
      </c>
      <c r="T198" t="s">
        <v>4207</v>
      </c>
      <c r="U198" t="s">
        <v>4208</v>
      </c>
      <c r="V198" t="s">
        <v>4209</v>
      </c>
      <c r="W198" t="s">
        <v>4210</v>
      </c>
      <c r="X198" t="s">
        <v>4211</v>
      </c>
      <c r="Y198" t="s">
        <v>4212</v>
      </c>
      <c r="Z198" t="s">
        <v>4213</v>
      </c>
      <c r="AA198" t="s">
        <v>4214</v>
      </c>
      <c r="AB198" t="s">
        <v>4215</v>
      </c>
      <c r="AC198" t="s">
        <v>4216</v>
      </c>
      <c r="AD198" t="s">
        <v>4217</v>
      </c>
      <c r="AE198" t="s">
        <v>4218</v>
      </c>
      <c r="AF198" t="s">
        <v>74</v>
      </c>
      <c r="AG198">
        <v>57</v>
      </c>
      <c r="AH198">
        <v>12</v>
      </c>
      <c r="AI198">
        <v>13</v>
      </c>
      <c r="AJ198">
        <v>0</v>
      </c>
      <c r="AK198">
        <v>22</v>
      </c>
      <c r="AL198" t="s">
        <v>1039</v>
      </c>
      <c r="AM198" t="s">
        <v>816</v>
      </c>
      <c r="AN198" t="s">
        <v>1040</v>
      </c>
      <c r="AO198" t="s">
        <v>4219</v>
      </c>
      <c r="AP198" t="s">
        <v>4220</v>
      </c>
      <c r="AQ198" t="s">
        <v>74</v>
      </c>
      <c r="AR198" t="s">
        <v>4221</v>
      </c>
      <c r="AS198" t="s">
        <v>4222</v>
      </c>
      <c r="AT198" t="s">
        <v>1309</v>
      </c>
      <c r="AU198">
        <v>2015</v>
      </c>
      <c r="AV198">
        <v>145</v>
      </c>
      <c r="AW198" t="s">
        <v>74</v>
      </c>
      <c r="AX198" t="s">
        <v>74</v>
      </c>
      <c r="AY198" t="s">
        <v>74</v>
      </c>
      <c r="AZ198" t="s">
        <v>74</v>
      </c>
      <c r="BA198" t="s">
        <v>74</v>
      </c>
      <c r="BB198">
        <v>1</v>
      </c>
      <c r="BC198">
        <v>14</v>
      </c>
      <c r="BD198" t="s">
        <v>74</v>
      </c>
      <c r="BE198" t="s">
        <v>4223</v>
      </c>
      <c r="BF198" t="str">
        <f>HYPERLINK("http://dx.doi.org/10.1016/j.jmarsys.2014.12.002","http://dx.doi.org/10.1016/j.jmarsys.2014.12.002")</f>
        <v>http://dx.doi.org/10.1016/j.jmarsys.2014.12.002</v>
      </c>
      <c r="BG198" t="s">
        <v>74</v>
      </c>
      <c r="BH198" t="s">
        <v>74</v>
      </c>
      <c r="BI198">
        <v>14</v>
      </c>
      <c r="BJ198" t="s">
        <v>4224</v>
      </c>
      <c r="BK198" t="s">
        <v>100</v>
      </c>
      <c r="BL198" t="s">
        <v>4225</v>
      </c>
      <c r="BM198" t="s">
        <v>4226</v>
      </c>
      <c r="BN198" t="s">
        <v>74</v>
      </c>
      <c r="BO198" t="s">
        <v>74</v>
      </c>
      <c r="BP198" t="s">
        <v>74</v>
      </c>
      <c r="BQ198" t="s">
        <v>74</v>
      </c>
      <c r="BR198" t="s">
        <v>104</v>
      </c>
      <c r="BS198" t="s">
        <v>4227</v>
      </c>
      <c r="BT198" t="str">
        <f>HYPERLINK("https%3A%2F%2Fwww.webofscience.com%2Fwos%2Fwoscc%2Ffull-record%2FWOS:000350919900001","View Full Record in Web of Science")</f>
        <v>View Full Record in Web of Science</v>
      </c>
    </row>
    <row r="199" spans="1:72" x14ac:dyDescent="0.15">
      <c r="A199" t="s">
        <v>72</v>
      </c>
      <c r="B199" t="s">
        <v>4228</v>
      </c>
      <c r="C199" t="s">
        <v>74</v>
      </c>
      <c r="D199" t="s">
        <v>74</v>
      </c>
      <c r="E199" t="s">
        <v>74</v>
      </c>
      <c r="F199" t="s">
        <v>4229</v>
      </c>
      <c r="G199" t="s">
        <v>74</v>
      </c>
      <c r="H199" t="s">
        <v>74</v>
      </c>
      <c r="I199" t="s">
        <v>4230</v>
      </c>
      <c r="J199" t="s">
        <v>4231</v>
      </c>
      <c r="K199" t="s">
        <v>74</v>
      </c>
      <c r="L199" t="s">
        <v>74</v>
      </c>
      <c r="M199" t="s">
        <v>78</v>
      </c>
      <c r="N199" t="s">
        <v>79</v>
      </c>
      <c r="O199" t="s">
        <v>74</v>
      </c>
      <c r="P199" t="s">
        <v>74</v>
      </c>
      <c r="Q199" t="s">
        <v>74</v>
      </c>
      <c r="R199" t="s">
        <v>74</v>
      </c>
      <c r="S199" t="s">
        <v>74</v>
      </c>
      <c r="T199" t="s">
        <v>4232</v>
      </c>
      <c r="U199" t="s">
        <v>4233</v>
      </c>
      <c r="V199" t="s">
        <v>4234</v>
      </c>
      <c r="W199" t="s">
        <v>4235</v>
      </c>
      <c r="X199" t="s">
        <v>4236</v>
      </c>
      <c r="Y199" t="s">
        <v>4237</v>
      </c>
      <c r="Z199" t="s">
        <v>4238</v>
      </c>
      <c r="AA199" t="s">
        <v>4239</v>
      </c>
      <c r="AB199" t="s">
        <v>4240</v>
      </c>
      <c r="AC199" t="s">
        <v>4241</v>
      </c>
      <c r="AD199" t="s">
        <v>4242</v>
      </c>
      <c r="AE199" t="s">
        <v>4243</v>
      </c>
      <c r="AF199" t="s">
        <v>74</v>
      </c>
      <c r="AG199">
        <v>37</v>
      </c>
      <c r="AH199">
        <v>18</v>
      </c>
      <c r="AI199">
        <v>20</v>
      </c>
      <c r="AJ199">
        <v>0</v>
      </c>
      <c r="AK199">
        <v>50</v>
      </c>
      <c r="AL199" t="s">
        <v>1039</v>
      </c>
      <c r="AM199" t="s">
        <v>816</v>
      </c>
      <c r="AN199" t="s">
        <v>1040</v>
      </c>
      <c r="AO199" t="s">
        <v>4244</v>
      </c>
      <c r="AP199" t="s">
        <v>4245</v>
      </c>
      <c r="AQ199" t="s">
        <v>74</v>
      </c>
      <c r="AR199" t="s">
        <v>4231</v>
      </c>
      <c r="AS199" t="s">
        <v>4246</v>
      </c>
      <c r="AT199" t="s">
        <v>1309</v>
      </c>
      <c r="AU199">
        <v>2015</v>
      </c>
      <c r="AV199">
        <v>245</v>
      </c>
      <c r="AW199" t="s">
        <v>74</v>
      </c>
      <c r="AX199" t="s">
        <v>74</v>
      </c>
      <c r="AY199" t="s">
        <v>74</v>
      </c>
      <c r="AZ199" t="s">
        <v>74</v>
      </c>
      <c r="BA199" t="s">
        <v>74</v>
      </c>
      <c r="BB199">
        <v>104</v>
      </c>
      <c r="BC199">
        <v>111</v>
      </c>
      <c r="BD199" t="s">
        <v>74</v>
      </c>
      <c r="BE199" t="s">
        <v>4247</v>
      </c>
      <c r="BF199" t="str">
        <f>HYPERLINK("http://dx.doi.org/10.1016/j.geoderma.2015.01.017","http://dx.doi.org/10.1016/j.geoderma.2015.01.017")</f>
        <v>http://dx.doi.org/10.1016/j.geoderma.2015.01.017</v>
      </c>
      <c r="BG199" t="s">
        <v>74</v>
      </c>
      <c r="BH199" t="s">
        <v>74</v>
      </c>
      <c r="BI199">
        <v>8</v>
      </c>
      <c r="BJ199" t="s">
        <v>4248</v>
      </c>
      <c r="BK199" t="s">
        <v>100</v>
      </c>
      <c r="BL199" t="s">
        <v>4249</v>
      </c>
      <c r="BM199" t="s">
        <v>4250</v>
      </c>
      <c r="BN199" t="s">
        <v>74</v>
      </c>
      <c r="BO199" t="s">
        <v>74</v>
      </c>
      <c r="BP199" t="s">
        <v>74</v>
      </c>
      <c r="BQ199" t="s">
        <v>74</v>
      </c>
      <c r="BR199" t="s">
        <v>104</v>
      </c>
      <c r="BS199" t="s">
        <v>4251</v>
      </c>
      <c r="BT199" t="str">
        <f>HYPERLINK("https%3A%2F%2Fwww.webofscience.com%2Fwos%2Fwoscc%2Ffull-record%2FWOS:000350520000013","View Full Record in Web of Science")</f>
        <v>View Full Record in Web of Science</v>
      </c>
    </row>
    <row r="200" spans="1:72" x14ac:dyDescent="0.15">
      <c r="A200" t="s">
        <v>72</v>
      </c>
      <c r="B200" t="s">
        <v>4252</v>
      </c>
      <c r="C200" t="s">
        <v>74</v>
      </c>
      <c r="D200" t="s">
        <v>74</v>
      </c>
      <c r="E200" t="s">
        <v>74</v>
      </c>
      <c r="F200" t="s">
        <v>4253</v>
      </c>
      <c r="G200" t="s">
        <v>74</v>
      </c>
      <c r="H200" t="s">
        <v>74</v>
      </c>
      <c r="I200" t="s">
        <v>4254</v>
      </c>
      <c r="J200" t="s">
        <v>4255</v>
      </c>
      <c r="K200" t="s">
        <v>74</v>
      </c>
      <c r="L200" t="s">
        <v>74</v>
      </c>
      <c r="M200" t="s">
        <v>78</v>
      </c>
      <c r="N200" t="s">
        <v>79</v>
      </c>
      <c r="O200" t="s">
        <v>74</v>
      </c>
      <c r="P200" t="s">
        <v>74</v>
      </c>
      <c r="Q200" t="s">
        <v>74</v>
      </c>
      <c r="R200" t="s">
        <v>74</v>
      </c>
      <c r="S200" t="s">
        <v>74</v>
      </c>
      <c r="T200" t="s">
        <v>4256</v>
      </c>
      <c r="U200" t="s">
        <v>4257</v>
      </c>
      <c r="V200" t="s">
        <v>4258</v>
      </c>
      <c r="W200" t="s">
        <v>4259</v>
      </c>
      <c r="X200" t="s">
        <v>4260</v>
      </c>
      <c r="Y200" t="s">
        <v>4261</v>
      </c>
      <c r="Z200" t="s">
        <v>4262</v>
      </c>
      <c r="AA200" t="s">
        <v>4263</v>
      </c>
      <c r="AB200" t="s">
        <v>4264</v>
      </c>
      <c r="AC200" t="s">
        <v>4265</v>
      </c>
      <c r="AD200" t="s">
        <v>4266</v>
      </c>
      <c r="AE200" t="s">
        <v>4267</v>
      </c>
      <c r="AF200" t="s">
        <v>74</v>
      </c>
      <c r="AG200">
        <v>25</v>
      </c>
      <c r="AH200">
        <v>2</v>
      </c>
      <c r="AI200">
        <v>2</v>
      </c>
      <c r="AJ200">
        <v>0</v>
      </c>
      <c r="AK200">
        <v>7</v>
      </c>
      <c r="AL200" t="s">
        <v>447</v>
      </c>
      <c r="AM200" t="s">
        <v>448</v>
      </c>
      <c r="AN200" t="s">
        <v>449</v>
      </c>
      <c r="AO200" t="s">
        <v>4268</v>
      </c>
      <c r="AP200" t="s">
        <v>4269</v>
      </c>
      <c r="AQ200" t="s">
        <v>74</v>
      </c>
      <c r="AR200" t="s">
        <v>4270</v>
      </c>
      <c r="AS200" t="s">
        <v>4271</v>
      </c>
      <c r="AT200" t="s">
        <v>1309</v>
      </c>
      <c r="AU200">
        <v>2015</v>
      </c>
      <c r="AV200">
        <v>60</v>
      </c>
      <c r="AW200">
        <v>3</v>
      </c>
      <c r="AX200" t="s">
        <v>74</v>
      </c>
      <c r="AY200" t="s">
        <v>74</v>
      </c>
      <c r="AZ200" t="s">
        <v>74</v>
      </c>
      <c r="BA200" t="s">
        <v>74</v>
      </c>
      <c r="BB200">
        <v>211</v>
      </c>
      <c r="BC200">
        <v>216</v>
      </c>
      <c r="BD200" t="s">
        <v>74</v>
      </c>
      <c r="BE200" t="s">
        <v>4272</v>
      </c>
      <c r="BF200" t="str">
        <f>HYPERLINK("http://dx.doi.org/10.1179/2047058414Y.0000000138","http://dx.doi.org/10.1179/2047058414Y.0000000138")</f>
        <v>http://dx.doi.org/10.1179/2047058414Y.0000000138</v>
      </c>
      <c r="BG200" t="s">
        <v>74</v>
      </c>
      <c r="BH200" t="s">
        <v>74</v>
      </c>
      <c r="BI200">
        <v>6</v>
      </c>
      <c r="BJ200" t="s">
        <v>4273</v>
      </c>
      <c r="BK200" t="s">
        <v>4274</v>
      </c>
      <c r="BL200" t="s">
        <v>4275</v>
      </c>
      <c r="BM200" t="s">
        <v>4276</v>
      </c>
      <c r="BN200" t="s">
        <v>74</v>
      </c>
      <c r="BO200" t="s">
        <v>74</v>
      </c>
      <c r="BP200" t="s">
        <v>74</v>
      </c>
      <c r="BQ200" t="s">
        <v>74</v>
      </c>
      <c r="BR200" t="s">
        <v>104</v>
      </c>
      <c r="BS200" t="s">
        <v>4277</v>
      </c>
      <c r="BT200" t="str">
        <f>HYPERLINK("https%3A%2F%2Fwww.webofscience.com%2Fwos%2Fwoscc%2Ffull-record%2FWOS:000353707600007","View Full Record in Web of Science")</f>
        <v>View Full Record in Web of Science</v>
      </c>
    </row>
    <row r="201" spans="1:72" x14ac:dyDescent="0.15">
      <c r="A201" t="s">
        <v>72</v>
      </c>
      <c r="B201" t="s">
        <v>4278</v>
      </c>
      <c r="C201" t="s">
        <v>74</v>
      </c>
      <c r="D201" t="s">
        <v>74</v>
      </c>
      <c r="E201" t="s">
        <v>74</v>
      </c>
      <c r="F201" t="s">
        <v>4279</v>
      </c>
      <c r="G201" t="s">
        <v>74</v>
      </c>
      <c r="H201" t="s">
        <v>74</v>
      </c>
      <c r="I201" t="s">
        <v>4280</v>
      </c>
      <c r="J201" t="s">
        <v>4281</v>
      </c>
      <c r="K201" t="s">
        <v>74</v>
      </c>
      <c r="L201" t="s">
        <v>74</v>
      </c>
      <c r="M201" t="s">
        <v>78</v>
      </c>
      <c r="N201" t="s">
        <v>1291</v>
      </c>
      <c r="O201" t="s">
        <v>74</v>
      </c>
      <c r="P201" t="s">
        <v>74</v>
      </c>
      <c r="Q201" t="s">
        <v>74</v>
      </c>
      <c r="R201" t="s">
        <v>74</v>
      </c>
      <c r="S201" t="s">
        <v>74</v>
      </c>
      <c r="T201" t="s">
        <v>4282</v>
      </c>
      <c r="U201" t="s">
        <v>4283</v>
      </c>
      <c r="V201" t="s">
        <v>4284</v>
      </c>
      <c r="W201" t="s">
        <v>4285</v>
      </c>
      <c r="X201" t="s">
        <v>4286</v>
      </c>
      <c r="Y201" t="s">
        <v>4287</v>
      </c>
      <c r="Z201" t="s">
        <v>4288</v>
      </c>
      <c r="AA201" t="s">
        <v>4289</v>
      </c>
      <c r="AB201" t="s">
        <v>4290</v>
      </c>
      <c r="AC201" t="s">
        <v>4291</v>
      </c>
      <c r="AD201" t="s">
        <v>713</v>
      </c>
      <c r="AE201" t="s">
        <v>74</v>
      </c>
      <c r="AF201" t="s">
        <v>74</v>
      </c>
      <c r="AG201">
        <v>94</v>
      </c>
      <c r="AH201">
        <v>4</v>
      </c>
      <c r="AI201">
        <v>5</v>
      </c>
      <c r="AJ201">
        <v>3</v>
      </c>
      <c r="AK201">
        <v>14</v>
      </c>
      <c r="AL201" t="s">
        <v>1239</v>
      </c>
      <c r="AM201" t="s">
        <v>448</v>
      </c>
      <c r="AN201" t="s">
        <v>1240</v>
      </c>
      <c r="AO201" t="s">
        <v>4292</v>
      </c>
      <c r="AP201" t="s">
        <v>4293</v>
      </c>
      <c r="AQ201" t="s">
        <v>74</v>
      </c>
      <c r="AR201" t="s">
        <v>4294</v>
      </c>
      <c r="AS201" t="s">
        <v>4295</v>
      </c>
      <c r="AT201" t="s">
        <v>4296</v>
      </c>
      <c r="AU201">
        <v>2015</v>
      </c>
      <c r="AV201">
        <v>49</v>
      </c>
      <c r="AW201" t="s">
        <v>4297</v>
      </c>
      <c r="AX201" t="s">
        <v>74</v>
      </c>
      <c r="AY201" t="s">
        <v>74</v>
      </c>
      <c r="AZ201" t="s">
        <v>454</v>
      </c>
      <c r="BA201" t="s">
        <v>74</v>
      </c>
      <c r="BB201">
        <v>1235</v>
      </c>
      <c r="BC201">
        <v>1266</v>
      </c>
      <c r="BD201" t="s">
        <v>74</v>
      </c>
      <c r="BE201" t="s">
        <v>4298</v>
      </c>
      <c r="BF201" t="str">
        <f>HYPERLINK("http://dx.doi.org/10.1080/00222933.2015.1037088","http://dx.doi.org/10.1080/00222933.2015.1037088")</f>
        <v>http://dx.doi.org/10.1080/00222933.2015.1037088</v>
      </c>
      <c r="BG201" t="s">
        <v>74</v>
      </c>
      <c r="BH201" t="s">
        <v>74</v>
      </c>
      <c r="BI201">
        <v>32</v>
      </c>
      <c r="BJ201" t="s">
        <v>4299</v>
      </c>
      <c r="BK201" t="s">
        <v>100</v>
      </c>
      <c r="BL201" t="s">
        <v>4300</v>
      </c>
      <c r="BM201" t="s">
        <v>4301</v>
      </c>
      <c r="BN201" t="s">
        <v>74</v>
      </c>
      <c r="BO201" t="s">
        <v>74</v>
      </c>
      <c r="BP201" t="s">
        <v>74</v>
      </c>
      <c r="BQ201" t="s">
        <v>74</v>
      </c>
      <c r="BR201" t="s">
        <v>104</v>
      </c>
      <c r="BS201" t="s">
        <v>4302</v>
      </c>
      <c r="BT201" t="str">
        <f>HYPERLINK("https%3A%2F%2Fwww.webofscience.com%2Fwos%2Fwoscc%2Ffull-record%2FWOS:000354474700001","View Full Record in Web of Science")</f>
        <v>View Full Record in Web of Science</v>
      </c>
    </row>
    <row r="202" spans="1:72" x14ac:dyDescent="0.15">
      <c r="A202" t="s">
        <v>72</v>
      </c>
      <c r="B202" t="s">
        <v>4303</v>
      </c>
      <c r="C202" t="s">
        <v>74</v>
      </c>
      <c r="D202" t="s">
        <v>74</v>
      </c>
      <c r="E202" t="s">
        <v>74</v>
      </c>
      <c r="F202" t="s">
        <v>4304</v>
      </c>
      <c r="G202" t="s">
        <v>74</v>
      </c>
      <c r="H202" t="s">
        <v>74</v>
      </c>
      <c r="I202" t="s">
        <v>4305</v>
      </c>
      <c r="J202" t="s">
        <v>4306</v>
      </c>
      <c r="K202" t="s">
        <v>74</v>
      </c>
      <c r="L202" t="s">
        <v>74</v>
      </c>
      <c r="M202" t="s">
        <v>78</v>
      </c>
      <c r="N202" t="s">
        <v>2805</v>
      </c>
      <c r="O202" t="s">
        <v>74</v>
      </c>
      <c r="P202" t="s">
        <v>74</v>
      </c>
      <c r="Q202" t="s">
        <v>74</v>
      </c>
      <c r="R202" t="s">
        <v>74</v>
      </c>
      <c r="S202" t="s">
        <v>74</v>
      </c>
      <c r="T202" t="s">
        <v>74</v>
      </c>
      <c r="U202" t="s">
        <v>4307</v>
      </c>
      <c r="V202" t="s">
        <v>4308</v>
      </c>
      <c r="W202" t="s">
        <v>4309</v>
      </c>
      <c r="X202" t="s">
        <v>4310</v>
      </c>
      <c r="Y202" t="s">
        <v>4311</v>
      </c>
      <c r="Z202" t="s">
        <v>4312</v>
      </c>
      <c r="AA202" t="s">
        <v>4313</v>
      </c>
      <c r="AB202" t="s">
        <v>4314</v>
      </c>
      <c r="AC202" t="s">
        <v>74</v>
      </c>
      <c r="AD202" t="s">
        <v>74</v>
      </c>
      <c r="AE202" t="s">
        <v>74</v>
      </c>
      <c r="AF202" t="s">
        <v>74</v>
      </c>
      <c r="AG202">
        <v>9</v>
      </c>
      <c r="AH202">
        <v>4</v>
      </c>
      <c r="AI202">
        <v>4</v>
      </c>
      <c r="AJ202">
        <v>0</v>
      </c>
      <c r="AK202">
        <v>9</v>
      </c>
      <c r="AL202" t="s">
        <v>2539</v>
      </c>
      <c r="AM202" t="s">
        <v>378</v>
      </c>
      <c r="AN202" t="s">
        <v>4315</v>
      </c>
      <c r="AO202" t="s">
        <v>4316</v>
      </c>
      <c r="AP202" t="s">
        <v>4317</v>
      </c>
      <c r="AQ202" t="s">
        <v>74</v>
      </c>
      <c r="AR202" t="s">
        <v>4306</v>
      </c>
      <c r="AS202" t="s">
        <v>4318</v>
      </c>
      <c r="AT202" t="s">
        <v>4296</v>
      </c>
      <c r="AU202">
        <v>2015</v>
      </c>
      <c r="AV202">
        <v>520</v>
      </c>
      <c r="AW202">
        <v>7549</v>
      </c>
      <c r="AX202" t="s">
        <v>74</v>
      </c>
      <c r="AY202" t="s">
        <v>74</v>
      </c>
      <c r="AZ202" t="s">
        <v>74</v>
      </c>
      <c r="BA202" t="s">
        <v>74</v>
      </c>
      <c r="BB202">
        <v>630</v>
      </c>
      <c r="BC202">
        <v>631</v>
      </c>
      <c r="BD202" t="s">
        <v>74</v>
      </c>
      <c r="BE202" t="s">
        <v>4319</v>
      </c>
      <c r="BF202" t="str">
        <f>HYPERLINK("http://dx.doi.org/10.1038/520630a","http://dx.doi.org/10.1038/520630a")</f>
        <v>http://dx.doi.org/10.1038/520630a</v>
      </c>
      <c r="BG202" t="s">
        <v>74</v>
      </c>
      <c r="BH202" t="s">
        <v>74</v>
      </c>
      <c r="BI202">
        <v>2</v>
      </c>
      <c r="BJ202" t="s">
        <v>429</v>
      </c>
      <c r="BK202" t="s">
        <v>100</v>
      </c>
      <c r="BL202" t="s">
        <v>430</v>
      </c>
      <c r="BM202" t="s">
        <v>4320</v>
      </c>
      <c r="BN202">
        <v>25925474</v>
      </c>
      <c r="BO202" t="s">
        <v>74</v>
      </c>
      <c r="BP202" t="s">
        <v>74</v>
      </c>
      <c r="BQ202" t="s">
        <v>74</v>
      </c>
      <c r="BR202" t="s">
        <v>104</v>
      </c>
      <c r="BS202" t="s">
        <v>4321</v>
      </c>
      <c r="BT202" t="str">
        <f>HYPERLINK("https%3A%2F%2Fwww.webofscience.com%2Fwos%2Fwoscc%2Ffull-record%2FWOS:000353689700039","View Full Record in Web of Science")</f>
        <v>View Full Record in Web of Science</v>
      </c>
    </row>
    <row r="203" spans="1:72" x14ac:dyDescent="0.15">
      <c r="A203" t="s">
        <v>72</v>
      </c>
      <c r="B203" t="s">
        <v>4322</v>
      </c>
      <c r="C203" t="s">
        <v>74</v>
      </c>
      <c r="D203" t="s">
        <v>74</v>
      </c>
      <c r="E203" t="s">
        <v>74</v>
      </c>
      <c r="F203" t="s">
        <v>4323</v>
      </c>
      <c r="G203" t="s">
        <v>74</v>
      </c>
      <c r="H203" t="s">
        <v>4324</v>
      </c>
      <c r="I203" t="s">
        <v>4325</v>
      </c>
      <c r="J203" t="s">
        <v>4306</v>
      </c>
      <c r="K203" t="s">
        <v>74</v>
      </c>
      <c r="L203" t="s">
        <v>74</v>
      </c>
      <c r="M203" t="s">
        <v>78</v>
      </c>
      <c r="N203" t="s">
        <v>79</v>
      </c>
      <c r="O203" t="s">
        <v>74</v>
      </c>
      <c r="P203" t="s">
        <v>74</v>
      </c>
      <c r="Q203" t="s">
        <v>74</v>
      </c>
      <c r="R203" t="s">
        <v>74</v>
      </c>
      <c r="S203" t="s">
        <v>74</v>
      </c>
      <c r="T203" t="s">
        <v>74</v>
      </c>
      <c r="U203" t="s">
        <v>4326</v>
      </c>
      <c r="V203" t="s">
        <v>4327</v>
      </c>
      <c r="W203" t="s">
        <v>4328</v>
      </c>
      <c r="X203" t="s">
        <v>4329</v>
      </c>
      <c r="Y203" t="s">
        <v>4330</v>
      </c>
      <c r="Z203" t="s">
        <v>4331</v>
      </c>
      <c r="AA203" t="s">
        <v>4332</v>
      </c>
      <c r="AB203" t="s">
        <v>4333</v>
      </c>
      <c r="AC203" t="s">
        <v>4334</v>
      </c>
      <c r="AD203" t="s">
        <v>4335</v>
      </c>
      <c r="AE203" t="s">
        <v>4336</v>
      </c>
      <c r="AF203" t="s">
        <v>74</v>
      </c>
      <c r="AG203">
        <v>69</v>
      </c>
      <c r="AH203">
        <v>253</v>
      </c>
      <c r="AI203">
        <v>286</v>
      </c>
      <c r="AJ203">
        <v>19</v>
      </c>
      <c r="AK203">
        <v>313</v>
      </c>
      <c r="AL203" t="s">
        <v>2539</v>
      </c>
      <c r="AM203" t="s">
        <v>378</v>
      </c>
      <c r="AN203" t="s">
        <v>4315</v>
      </c>
      <c r="AO203" t="s">
        <v>4316</v>
      </c>
      <c r="AP203" t="s">
        <v>4317</v>
      </c>
      <c r="AQ203" t="s">
        <v>74</v>
      </c>
      <c r="AR203" t="s">
        <v>4306</v>
      </c>
      <c r="AS203" t="s">
        <v>4318</v>
      </c>
      <c r="AT203" t="s">
        <v>4296</v>
      </c>
      <c r="AU203">
        <v>2015</v>
      </c>
      <c r="AV203">
        <v>520</v>
      </c>
      <c r="AW203">
        <v>7549</v>
      </c>
      <c r="AX203" t="s">
        <v>74</v>
      </c>
      <c r="AY203" t="s">
        <v>74</v>
      </c>
      <c r="AZ203" t="s">
        <v>74</v>
      </c>
      <c r="BA203" t="s">
        <v>74</v>
      </c>
      <c r="BB203">
        <v>661</v>
      </c>
      <c r="BC203" t="s">
        <v>4337</v>
      </c>
      <c r="BD203" t="s">
        <v>74</v>
      </c>
      <c r="BE203" t="s">
        <v>4338</v>
      </c>
      <c r="BF203" t="str">
        <f>HYPERLINK("http://dx.doi.org/10.1038/nature14401","http://dx.doi.org/10.1038/nature14401")</f>
        <v>http://dx.doi.org/10.1038/nature14401</v>
      </c>
      <c r="BG203" t="s">
        <v>74</v>
      </c>
      <c r="BH203" t="s">
        <v>74</v>
      </c>
      <c r="BI203">
        <v>16</v>
      </c>
      <c r="BJ203" t="s">
        <v>429</v>
      </c>
      <c r="BK203" t="s">
        <v>100</v>
      </c>
      <c r="BL203" t="s">
        <v>430</v>
      </c>
      <c r="BM203" t="s">
        <v>4320</v>
      </c>
      <c r="BN203">
        <v>25925479</v>
      </c>
      <c r="BO203" t="s">
        <v>103</v>
      </c>
      <c r="BP203" t="s">
        <v>4339</v>
      </c>
      <c r="BQ203" t="s">
        <v>4340</v>
      </c>
      <c r="BR203" t="s">
        <v>104</v>
      </c>
      <c r="BS203" t="s">
        <v>4341</v>
      </c>
      <c r="BT203" t="str">
        <f>HYPERLINK("https%3A%2F%2Fwww.webofscience.com%2Fwos%2Fwoscc%2Ffull-record%2FWOS:000353689700046","View Full Record in Web of Science")</f>
        <v>View Full Record in Web of Science</v>
      </c>
    </row>
    <row r="204" spans="1:72" x14ac:dyDescent="0.15">
      <c r="A204" t="s">
        <v>72</v>
      </c>
      <c r="B204" t="s">
        <v>4342</v>
      </c>
      <c r="C204" t="s">
        <v>74</v>
      </c>
      <c r="D204" t="s">
        <v>74</v>
      </c>
      <c r="E204" t="s">
        <v>74</v>
      </c>
      <c r="F204" t="s">
        <v>4343</v>
      </c>
      <c r="G204" t="s">
        <v>74</v>
      </c>
      <c r="H204" t="s">
        <v>74</v>
      </c>
      <c r="I204" t="s">
        <v>4344</v>
      </c>
      <c r="J204" t="s">
        <v>253</v>
      </c>
      <c r="K204" t="s">
        <v>74</v>
      </c>
      <c r="L204" t="s">
        <v>74</v>
      </c>
      <c r="M204" t="s">
        <v>78</v>
      </c>
      <c r="N204" t="s">
        <v>79</v>
      </c>
      <c r="O204" t="s">
        <v>74</v>
      </c>
      <c r="P204" t="s">
        <v>74</v>
      </c>
      <c r="Q204" t="s">
        <v>74</v>
      </c>
      <c r="R204" t="s">
        <v>74</v>
      </c>
      <c r="S204" t="s">
        <v>74</v>
      </c>
      <c r="T204" t="s">
        <v>4345</v>
      </c>
      <c r="U204" t="s">
        <v>4346</v>
      </c>
      <c r="V204" t="s">
        <v>4347</v>
      </c>
      <c r="W204" t="s">
        <v>4348</v>
      </c>
      <c r="X204" t="s">
        <v>4349</v>
      </c>
      <c r="Y204" t="s">
        <v>4350</v>
      </c>
      <c r="Z204" t="s">
        <v>4351</v>
      </c>
      <c r="AA204" t="s">
        <v>4352</v>
      </c>
      <c r="AB204" t="s">
        <v>4353</v>
      </c>
      <c r="AC204" t="s">
        <v>4354</v>
      </c>
      <c r="AD204" t="s">
        <v>4355</v>
      </c>
      <c r="AE204" t="s">
        <v>4356</v>
      </c>
      <c r="AF204" t="s">
        <v>74</v>
      </c>
      <c r="AG204">
        <v>32</v>
      </c>
      <c r="AH204">
        <v>39</v>
      </c>
      <c r="AI204">
        <v>46</v>
      </c>
      <c r="AJ204">
        <v>0</v>
      </c>
      <c r="AK204">
        <v>24</v>
      </c>
      <c r="AL204" t="s">
        <v>266</v>
      </c>
      <c r="AM204" t="s">
        <v>267</v>
      </c>
      <c r="AN204" t="s">
        <v>268</v>
      </c>
      <c r="AO204" t="s">
        <v>269</v>
      </c>
      <c r="AP204" t="s">
        <v>270</v>
      </c>
      <c r="AQ204" t="s">
        <v>74</v>
      </c>
      <c r="AR204" t="s">
        <v>271</v>
      </c>
      <c r="AS204" t="s">
        <v>272</v>
      </c>
      <c r="AT204" t="s">
        <v>4357</v>
      </c>
      <c r="AU204">
        <v>2015</v>
      </c>
      <c r="AV204">
        <v>42</v>
      </c>
      <c r="AW204">
        <v>8</v>
      </c>
      <c r="AX204" t="s">
        <v>74</v>
      </c>
      <c r="AY204" t="s">
        <v>74</v>
      </c>
      <c r="AZ204" t="s">
        <v>74</v>
      </c>
      <c r="BA204" t="s">
        <v>74</v>
      </c>
      <c r="BB204">
        <v>2893</v>
      </c>
      <c r="BC204">
        <v>2900</v>
      </c>
      <c r="BD204" t="s">
        <v>74</v>
      </c>
      <c r="BE204" t="s">
        <v>4358</v>
      </c>
      <c r="BF204" t="str">
        <f>HYPERLINK("http://dx.doi.org/10.1002/2014GL062180","http://dx.doi.org/10.1002/2014GL062180")</f>
        <v>http://dx.doi.org/10.1002/2014GL062180</v>
      </c>
      <c r="BG204" t="s">
        <v>74</v>
      </c>
      <c r="BH204" t="s">
        <v>74</v>
      </c>
      <c r="BI204">
        <v>8</v>
      </c>
      <c r="BJ204" t="s">
        <v>219</v>
      </c>
      <c r="BK204" t="s">
        <v>100</v>
      </c>
      <c r="BL204" t="s">
        <v>220</v>
      </c>
      <c r="BM204" t="s">
        <v>4359</v>
      </c>
      <c r="BN204" t="s">
        <v>74</v>
      </c>
      <c r="BO204" t="s">
        <v>4360</v>
      </c>
      <c r="BP204" t="s">
        <v>74</v>
      </c>
      <c r="BQ204" t="s">
        <v>74</v>
      </c>
      <c r="BR204" t="s">
        <v>104</v>
      </c>
      <c r="BS204" t="s">
        <v>4361</v>
      </c>
      <c r="BT204" t="str">
        <f>HYPERLINK("https%3A%2F%2Fwww.webofscience.com%2Fwos%2Fwoscc%2Ffull-record%2FWOS:000354560800042","View Full Record in Web of Science")</f>
        <v>View Full Record in Web of Science</v>
      </c>
    </row>
    <row r="205" spans="1:72" x14ac:dyDescent="0.15">
      <c r="A205" t="s">
        <v>72</v>
      </c>
      <c r="B205" t="s">
        <v>4362</v>
      </c>
      <c r="C205" t="s">
        <v>74</v>
      </c>
      <c r="D205" t="s">
        <v>74</v>
      </c>
      <c r="E205" t="s">
        <v>74</v>
      </c>
      <c r="F205" t="s">
        <v>4363</v>
      </c>
      <c r="G205" t="s">
        <v>74</v>
      </c>
      <c r="H205" t="s">
        <v>74</v>
      </c>
      <c r="I205" t="s">
        <v>4364</v>
      </c>
      <c r="J205" t="s">
        <v>253</v>
      </c>
      <c r="K205" t="s">
        <v>74</v>
      </c>
      <c r="L205" t="s">
        <v>74</v>
      </c>
      <c r="M205" t="s">
        <v>78</v>
      </c>
      <c r="N205" t="s">
        <v>79</v>
      </c>
      <c r="O205" t="s">
        <v>74</v>
      </c>
      <c r="P205" t="s">
        <v>74</v>
      </c>
      <c r="Q205" t="s">
        <v>74</v>
      </c>
      <c r="R205" t="s">
        <v>74</v>
      </c>
      <c r="S205" t="s">
        <v>74</v>
      </c>
      <c r="T205" t="s">
        <v>4365</v>
      </c>
      <c r="U205" t="s">
        <v>4366</v>
      </c>
      <c r="V205" t="s">
        <v>4367</v>
      </c>
      <c r="W205" t="s">
        <v>4368</v>
      </c>
      <c r="X205" t="s">
        <v>4369</v>
      </c>
      <c r="Y205" t="s">
        <v>4370</v>
      </c>
      <c r="Z205" t="s">
        <v>4371</v>
      </c>
      <c r="AA205" t="s">
        <v>4372</v>
      </c>
      <c r="AB205" t="s">
        <v>4373</v>
      </c>
      <c r="AC205" t="s">
        <v>4374</v>
      </c>
      <c r="AD205" t="s">
        <v>4375</v>
      </c>
      <c r="AE205" t="s">
        <v>4376</v>
      </c>
      <c r="AF205" t="s">
        <v>74</v>
      </c>
      <c r="AG205">
        <v>56</v>
      </c>
      <c r="AH205">
        <v>41</v>
      </c>
      <c r="AI205">
        <v>46</v>
      </c>
      <c r="AJ205">
        <v>2</v>
      </c>
      <c r="AK205">
        <v>36</v>
      </c>
      <c r="AL205" t="s">
        <v>266</v>
      </c>
      <c r="AM205" t="s">
        <v>267</v>
      </c>
      <c r="AN205" t="s">
        <v>268</v>
      </c>
      <c r="AO205" t="s">
        <v>269</v>
      </c>
      <c r="AP205" t="s">
        <v>270</v>
      </c>
      <c r="AQ205" t="s">
        <v>74</v>
      </c>
      <c r="AR205" t="s">
        <v>271</v>
      </c>
      <c r="AS205" t="s">
        <v>272</v>
      </c>
      <c r="AT205" t="s">
        <v>4357</v>
      </c>
      <c r="AU205">
        <v>2015</v>
      </c>
      <c r="AV205">
        <v>42</v>
      </c>
      <c r="AW205">
        <v>8</v>
      </c>
      <c r="AX205" t="s">
        <v>74</v>
      </c>
      <c r="AY205" t="s">
        <v>74</v>
      </c>
      <c r="AZ205" t="s">
        <v>74</v>
      </c>
      <c r="BA205" t="s">
        <v>74</v>
      </c>
      <c r="BB205">
        <v>2934</v>
      </c>
      <c r="BC205">
        <v>2942</v>
      </c>
      <c r="BD205" t="s">
        <v>74</v>
      </c>
      <c r="BE205" t="s">
        <v>4377</v>
      </c>
      <c r="BF205" t="str">
        <f>HYPERLINK("http://dx.doi.org/10.1002/2015GL063796","http://dx.doi.org/10.1002/2015GL063796")</f>
        <v>http://dx.doi.org/10.1002/2015GL063796</v>
      </c>
      <c r="BG205" t="s">
        <v>74</v>
      </c>
      <c r="BH205" t="s">
        <v>74</v>
      </c>
      <c r="BI205">
        <v>9</v>
      </c>
      <c r="BJ205" t="s">
        <v>219</v>
      </c>
      <c r="BK205" t="s">
        <v>100</v>
      </c>
      <c r="BL205" t="s">
        <v>220</v>
      </c>
      <c r="BM205" t="s">
        <v>4359</v>
      </c>
      <c r="BN205" t="s">
        <v>74</v>
      </c>
      <c r="BO205" t="s">
        <v>408</v>
      </c>
      <c r="BP205" t="s">
        <v>74</v>
      </c>
      <c r="BQ205" t="s">
        <v>74</v>
      </c>
      <c r="BR205" t="s">
        <v>104</v>
      </c>
      <c r="BS205" t="s">
        <v>4378</v>
      </c>
      <c r="BT205" t="str">
        <f>HYPERLINK("https%3A%2F%2Fwww.webofscience.com%2Fwos%2Fwoscc%2Ffull-record%2FWOS:000354560800047","View Full Record in Web of Science")</f>
        <v>View Full Record in Web of Science</v>
      </c>
    </row>
    <row r="206" spans="1:72" x14ac:dyDescent="0.15">
      <c r="A206" t="s">
        <v>72</v>
      </c>
      <c r="B206" t="s">
        <v>4379</v>
      </c>
      <c r="C206" t="s">
        <v>74</v>
      </c>
      <c r="D206" t="s">
        <v>74</v>
      </c>
      <c r="E206" t="s">
        <v>74</v>
      </c>
      <c r="F206" t="s">
        <v>4380</v>
      </c>
      <c r="G206" t="s">
        <v>74</v>
      </c>
      <c r="H206" t="s">
        <v>74</v>
      </c>
      <c r="I206" t="s">
        <v>4381</v>
      </c>
      <c r="J206" t="s">
        <v>936</v>
      </c>
      <c r="K206" t="s">
        <v>74</v>
      </c>
      <c r="L206" t="s">
        <v>74</v>
      </c>
      <c r="M206" t="s">
        <v>78</v>
      </c>
      <c r="N206" t="s">
        <v>79</v>
      </c>
      <c r="O206" t="s">
        <v>74</v>
      </c>
      <c r="P206" t="s">
        <v>74</v>
      </c>
      <c r="Q206" t="s">
        <v>74</v>
      </c>
      <c r="R206" t="s">
        <v>74</v>
      </c>
      <c r="S206" t="s">
        <v>74</v>
      </c>
      <c r="T206" t="s">
        <v>74</v>
      </c>
      <c r="U206" t="s">
        <v>4382</v>
      </c>
      <c r="V206" t="s">
        <v>4383</v>
      </c>
      <c r="W206" t="s">
        <v>4384</v>
      </c>
      <c r="X206" t="s">
        <v>1638</v>
      </c>
      <c r="Y206" t="s">
        <v>4385</v>
      </c>
      <c r="Z206" t="s">
        <v>4386</v>
      </c>
      <c r="AA206" t="s">
        <v>74</v>
      </c>
      <c r="AB206" t="s">
        <v>4387</v>
      </c>
      <c r="AC206" t="s">
        <v>4388</v>
      </c>
      <c r="AD206" t="s">
        <v>1638</v>
      </c>
      <c r="AE206" t="s">
        <v>4389</v>
      </c>
      <c r="AF206" t="s">
        <v>74</v>
      </c>
      <c r="AG206">
        <v>53</v>
      </c>
      <c r="AH206">
        <v>5</v>
      </c>
      <c r="AI206">
        <v>5</v>
      </c>
      <c r="AJ206">
        <v>0</v>
      </c>
      <c r="AK206">
        <v>18</v>
      </c>
      <c r="AL206" t="s">
        <v>946</v>
      </c>
      <c r="AM206" t="s">
        <v>947</v>
      </c>
      <c r="AN206" t="s">
        <v>948</v>
      </c>
      <c r="AO206" t="s">
        <v>949</v>
      </c>
      <c r="AP206" t="s">
        <v>74</v>
      </c>
      <c r="AQ206" t="s">
        <v>74</v>
      </c>
      <c r="AR206" t="s">
        <v>936</v>
      </c>
      <c r="AS206" t="s">
        <v>950</v>
      </c>
      <c r="AT206" t="s">
        <v>4390</v>
      </c>
      <c r="AU206">
        <v>2015</v>
      </c>
      <c r="AV206">
        <v>10</v>
      </c>
      <c r="AW206">
        <v>4</v>
      </c>
      <c r="AX206" t="s">
        <v>74</v>
      </c>
      <c r="AY206" t="s">
        <v>74</v>
      </c>
      <c r="AZ206" t="s">
        <v>74</v>
      </c>
      <c r="BA206" t="s">
        <v>74</v>
      </c>
      <c r="BB206" t="s">
        <v>74</v>
      </c>
      <c r="BC206" t="s">
        <v>74</v>
      </c>
      <c r="BD206" t="s">
        <v>4391</v>
      </c>
      <c r="BE206" t="s">
        <v>4392</v>
      </c>
      <c r="BF206" t="str">
        <f>HYPERLINK("http://dx.doi.org/10.1371/journal.pone.0123540","http://dx.doi.org/10.1371/journal.pone.0123540")</f>
        <v>http://dx.doi.org/10.1371/journal.pone.0123540</v>
      </c>
      <c r="BG206" t="s">
        <v>74</v>
      </c>
      <c r="BH206" t="s">
        <v>74</v>
      </c>
      <c r="BI206">
        <v>18</v>
      </c>
      <c r="BJ206" t="s">
        <v>429</v>
      </c>
      <c r="BK206" t="s">
        <v>100</v>
      </c>
      <c r="BL206" t="s">
        <v>430</v>
      </c>
      <c r="BM206" t="s">
        <v>4393</v>
      </c>
      <c r="BN206">
        <v>25909636</v>
      </c>
      <c r="BO206" t="s">
        <v>1067</v>
      </c>
      <c r="BP206" t="s">
        <v>74</v>
      </c>
      <c r="BQ206" t="s">
        <v>74</v>
      </c>
      <c r="BR206" t="s">
        <v>104</v>
      </c>
      <c r="BS206" t="s">
        <v>4394</v>
      </c>
      <c r="BT206" t="str">
        <f>HYPERLINK("https%3A%2F%2Fwww.webofscience.com%2Fwos%2Fwoscc%2Ffull-record%2FWOS:000353376800038","View Full Record in Web of Science")</f>
        <v>View Full Record in Web of Science</v>
      </c>
    </row>
    <row r="207" spans="1:72" x14ac:dyDescent="0.15">
      <c r="A207" t="s">
        <v>72</v>
      </c>
      <c r="B207" t="s">
        <v>4395</v>
      </c>
      <c r="C207" t="s">
        <v>74</v>
      </c>
      <c r="D207" t="s">
        <v>74</v>
      </c>
      <c r="E207" t="s">
        <v>74</v>
      </c>
      <c r="F207" t="s">
        <v>4396</v>
      </c>
      <c r="G207" t="s">
        <v>74</v>
      </c>
      <c r="H207" t="s">
        <v>74</v>
      </c>
      <c r="I207" t="s">
        <v>4397</v>
      </c>
      <c r="J207" t="s">
        <v>1072</v>
      </c>
      <c r="K207" t="s">
        <v>74</v>
      </c>
      <c r="L207" t="s">
        <v>74</v>
      </c>
      <c r="M207" t="s">
        <v>78</v>
      </c>
      <c r="N207" t="s">
        <v>79</v>
      </c>
      <c r="O207" t="s">
        <v>74</v>
      </c>
      <c r="P207" t="s">
        <v>74</v>
      </c>
      <c r="Q207" t="s">
        <v>74</v>
      </c>
      <c r="R207" t="s">
        <v>74</v>
      </c>
      <c r="S207" t="s">
        <v>74</v>
      </c>
      <c r="T207" t="s">
        <v>4398</v>
      </c>
      <c r="U207" t="s">
        <v>4399</v>
      </c>
      <c r="V207" t="s">
        <v>4400</v>
      </c>
      <c r="W207" t="s">
        <v>4401</v>
      </c>
      <c r="X207" t="s">
        <v>4402</v>
      </c>
      <c r="Y207" t="s">
        <v>4403</v>
      </c>
      <c r="Z207" t="s">
        <v>4404</v>
      </c>
      <c r="AA207" t="s">
        <v>4405</v>
      </c>
      <c r="AB207" t="s">
        <v>4406</v>
      </c>
      <c r="AC207" t="s">
        <v>4407</v>
      </c>
      <c r="AD207" t="s">
        <v>4408</v>
      </c>
      <c r="AE207" t="s">
        <v>4409</v>
      </c>
      <c r="AF207" t="s">
        <v>74</v>
      </c>
      <c r="AG207">
        <v>67</v>
      </c>
      <c r="AH207">
        <v>13</v>
      </c>
      <c r="AI207">
        <v>13</v>
      </c>
      <c r="AJ207">
        <v>1</v>
      </c>
      <c r="AK207">
        <v>17</v>
      </c>
      <c r="AL207" t="s">
        <v>1085</v>
      </c>
      <c r="AM207" t="s">
        <v>1086</v>
      </c>
      <c r="AN207" t="s">
        <v>1087</v>
      </c>
      <c r="AO207" t="s">
        <v>1088</v>
      </c>
      <c r="AP207" t="s">
        <v>1089</v>
      </c>
      <c r="AQ207" t="s">
        <v>74</v>
      </c>
      <c r="AR207" t="s">
        <v>1090</v>
      </c>
      <c r="AS207" t="s">
        <v>1091</v>
      </c>
      <c r="AT207" t="s">
        <v>4410</v>
      </c>
      <c r="AU207">
        <v>2015</v>
      </c>
      <c r="AV207">
        <v>526</v>
      </c>
      <c r="AW207" t="s">
        <v>74</v>
      </c>
      <c r="AX207" t="s">
        <v>74</v>
      </c>
      <c r="AY207" t="s">
        <v>74</v>
      </c>
      <c r="AZ207" t="s">
        <v>74</v>
      </c>
      <c r="BA207" t="s">
        <v>74</v>
      </c>
      <c r="BB207">
        <v>169</v>
      </c>
      <c r="BC207">
        <v>181</v>
      </c>
      <c r="BD207" t="s">
        <v>74</v>
      </c>
      <c r="BE207" t="s">
        <v>4411</v>
      </c>
      <c r="BF207" t="str">
        <f>HYPERLINK("http://dx.doi.org/10.3354/meps11203","http://dx.doi.org/10.3354/meps11203")</f>
        <v>http://dx.doi.org/10.3354/meps11203</v>
      </c>
      <c r="BG207" t="s">
        <v>74</v>
      </c>
      <c r="BH207" t="s">
        <v>74</v>
      </c>
      <c r="BI207">
        <v>13</v>
      </c>
      <c r="BJ207" t="s">
        <v>1094</v>
      </c>
      <c r="BK207" t="s">
        <v>100</v>
      </c>
      <c r="BL207" t="s">
        <v>1095</v>
      </c>
      <c r="BM207" t="s">
        <v>4412</v>
      </c>
      <c r="BN207" t="s">
        <v>74</v>
      </c>
      <c r="BO207" t="s">
        <v>156</v>
      </c>
      <c r="BP207" t="s">
        <v>74</v>
      </c>
      <c r="BQ207" t="s">
        <v>74</v>
      </c>
      <c r="BR207" t="s">
        <v>104</v>
      </c>
      <c r="BS207" t="s">
        <v>4413</v>
      </c>
      <c r="BT207" t="str">
        <f>HYPERLINK("https%3A%2F%2Fwww.webofscience.com%2Fwos%2Fwoscc%2Ffull-record%2FWOS:000354394900013","View Full Record in Web of Science")</f>
        <v>View Full Record in Web of Science</v>
      </c>
    </row>
    <row r="208" spans="1:72" x14ac:dyDescent="0.15">
      <c r="A208" t="s">
        <v>72</v>
      </c>
      <c r="B208" t="s">
        <v>4414</v>
      </c>
      <c r="C208" t="s">
        <v>74</v>
      </c>
      <c r="D208" t="s">
        <v>74</v>
      </c>
      <c r="E208" t="s">
        <v>74</v>
      </c>
      <c r="F208" t="s">
        <v>4415</v>
      </c>
      <c r="G208" t="s">
        <v>74</v>
      </c>
      <c r="H208" t="s">
        <v>74</v>
      </c>
      <c r="I208" t="s">
        <v>4416</v>
      </c>
      <c r="J208" t="s">
        <v>1072</v>
      </c>
      <c r="K208" t="s">
        <v>74</v>
      </c>
      <c r="L208" t="s">
        <v>74</v>
      </c>
      <c r="M208" t="s">
        <v>78</v>
      </c>
      <c r="N208" t="s">
        <v>79</v>
      </c>
      <c r="O208" t="s">
        <v>74</v>
      </c>
      <c r="P208" t="s">
        <v>74</v>
      </c>
      <c r="Q208" t="s">
        <v>74</v>
      </c>
      <c r="R208" t="s">
        <v>74</v>
      </c>
      <c r="S208" t="s">
        <v>74</v>
      </c>
      <c r="T208" t="s">
        <v>4417</v>
      </c>
      <c r="U208" t="s">
        <v>4418</v>
      </c>
      <c r="V208" t="s">
        <v>4419</v>
      </c>
      <c r="W208" t="s">
        <v>4420</v>
      </c>
      <c r="X208" t="s">
        <v>4421</v>
      </c>
      <c r="Y208" t="s">
        <v>4422</v>
      </c>
      <c r="Z208" t="s">
        <v>4423</v>
      </c>
      <c r="AA208" t="s">
        <v>4424</v>
      </c>
      <c r="AB208" t="s">
        <v>74</v>
      </c>
      <c r="AC208" t="s">
        <v>4425</v>
      </c>
      <c r="AD208" t="s">
        <v>4426</v>
      </c>
      <c r="AE208" t="s">
        <v>4427</v>
      </c>
      <c r="AF208" t="s">
        <v>74</v>
      </c>
      <c r="AG208">
        <v>68</v>
      </c>
      <c r="AH208">
        <v>10</v>
      </c>
      <c r="AI208">
        <v>10</v>
      </c>
      <c r="AJ208">
        <v>0</v>
      </c>
      <c r="AK208">
        <v>23</v>
      </c>
      <c r="AL208" t="s">
        <v>1085</v>
      </c>
      <c r="AM208" t="s">
        <v>1086</v>
      </c>
      <c r="AN208" t="s">
        <v>1087</v>
      </c>
      <c r="AO208" t="s">
        <v>1088</v>
      </c>
      <c r="AP208" t="s">
        <v>1089</v>
      </c>
      <c r="AQ208" t="s">
        <v>74</v>
      </c>
      <c r="AR208" t="s">
        <v>1090</v>
      </c>
      <c r="AS208" t="s">
        <v>1091</v>
      </c>
      <c r="AT208" t="s">
        <v>4410</v>
      </c>
      <c r="AU208">
        <v>2015</v>
      </c>
      <c r="AV208">
        <v>526</v>
      </c>
      <c r="AW208" t="s">
        <v>74</v>
      </c>
      <c r="AX208" t="s">
        <v>74</v>
      </c>
      <c r="AY208" t="s">
        <v>74</v>
      </c>
      <c r="AZ208" t="s">
        <v>74</v>
      </c>
      <c r="BA208" t="s">
        <v>74</v>
      </c>
      <c r="BB208">
        <v>183</v>
      </c>
      <c r="BC208">
        <v>197</v>
      </c>
      <c r="BD208" t="s">
        <v>74</v>
      </c>
      <c r="BE208" t="s">
        <v>4428</v>
      </c>
      <c r="BF208" t="str">
        <f>HYPERLINK("http://dx.doi.org/10.3354/meps11182","http://dx.doi.org/10.3354/meps11182")</f>
        <v>http://dx.doi.org/10.3354/meps11182</v>
      </c>
      <c r="BG208" t="s">
        <v>74</v>
      </c>
      <c r="BH208" t="s">
        <v>74</v>
      </c>
      <c r="BI208">
        <v>15</v>
      </c>
      <c r="BJ208" t="s">
        <v>1094</v>
      </c>
      <c r="BK208" t="s">
        <v>100</v>
      </c>
      <c r="BL208" t="s">
        <v>1095</v>
      </c>
      <c r="BM208" t="s">
        <v>4412</v>
      </c>
      <c r="BN208" t="s">
        <v>74</v>
      </c>
      <c r="BO208" t="s">
        <v>715</v>
      </c>
      <c r="BP208" t="s">
        <v>74</v>
      </c>
      <c r="BQ208" t="s">
        <v>74</v>
      </c>
      <c r="BR208" t="s">
        <v>104</v>
      </c>
      <c r="BS208" t="s">
        <v>4429</v>
      </c>
      <c r="BT208" t="str">
        <f>HYPERLINK("https%3A%2F%2Fwww.webofscience.com%2Fwos%2Fwoscc%2Ffull-record%2FWOS:000354394900014","View Full Record in Web of Science")</f>
        <v>View Full Record in Web of Science</v>
      </c>
    </row>
    <row r="209" spans="1:72" x14ac:dyDescent="0.15">
      <c r="A209" t="s">
        <v>72</v>
      </c>
      <c r="B209" t="s">
        <v>4430</v>
      </c>
      <c r="C209" t="s">
        <v>74</v>
      </c>
      <c r="D209" t="s">
        <v>74</v>
      </c>
      <c r="E209" t="s">
        <v>74</v>
      </c>
      <c r="F209" t="s">
        <v>4431</v>
      </c>
      <c r="G209" t="s">
        <v>74</v>
      </c>
      <c r="H209" t="s">
        <v>74</v>
      </c>
      <c r="I209" t="s">
        <v>4432</v>
      </c>
      <c r="J209" t="s">
        <v>4433</v>
      </c>
      <c r="K209" t="s">
        <v>74</v>
      </c>
      <c r="L209" t="s">
        <v>74</v>
      </c>
      <c r="M209" t="s">
        <v>78</v>
      </c>
      <c r="N209" t="s">
        <v>79</v>
      </c>
      <c r="O209" t="s">
        <v>74</v>
      </c>
      <c r="P209" t="s">
        <v>74</v>
      </c>
      <c r="Q209" t="s">
        <v>74</v>
      </c>
      <c r="R209" t="s">
        <v>74</v>
      </c>
      <c r="S209" t="s">
        <v>74</v>
      </c>
      <c r="T209" t="s">
        <v>4434</v>
      </c>
      <c r="U209" t="s">
        <v>4435</v>
      </c>
      <c r="V209" t="s">
        <v>4436</v>
      </c>
      <c r="W209" t="s">
        <v>4437</v>
      </c>
      <c r="X209" t="s">
        <v>4438</v>
      </c>
      <c r="Y209" t="s">
        <v>4439</v>
      </c>
      <c r="Z209" t="s">
        <v>4440</v>
      </c>
      <c r="AA209" t="s">
        <v>4441</v>
      </c>
      <c r="AB209" t="s">
        <v>4442</v>
      </c>
      <c r="AC209" t="s">
        <v>4443</v>
      </c>
      <c r="AD209" t="s">
        <v>4444</v>
      </c>
      <c r="AE209" t="s">
        <v>4445</v>
      </c>
      <c r="AF209" t="s">
        <v>74</v>
      </c>
      <c r="AG209">
        <v>33</v>
      </c>
      <c r="AH209">
        <v>63</v>
      </c>
      <c r="AI209">
        <v>67</v>
      </c>
      <c r="AJ209">
        <v>0</v>
      </c>
      <c r="AK209">
        <v>34</v>
      </c>
      <c r="AL209" t="s">
        <v>4446</v>
      </c>
      <c r="AM209" t="s">
        <v>267</v>
      </c>
      <c r="AN209" t="s">
        <v>4447</v>
      </c>
      <c r="AO209" t="s">
        <v>4448</v>
      </c>
      <c r="AP209" t="s">
        <v>74</v>
      </c>
      <c r="AQ209" t="s">
        <v>74</v>
      </c>
      <c r="AR209" t="s">
        <v>4449</v>
      </c>
      <c r="AS209" t="s">
        <v>4450</v>
      </c>
      <c r="AT209" t="s">
        <v>4451</v>
      </c>
      <c r="AU209">
        <v>2015</v>
      </c>
      <c r="AV209">
        <v>112</v>
      </c>
      <c r="AW209">
        <v>16</v>
      </c>
      <c r="AX209" t="s">
        <v>74</v>
      </c>
      <c r="AY209" t="s">
        <v>74</v>
      </c>
      <c r="AZ209" t="s">
        <v>74</v>
      </c>
      <c r="BA209" t="s">
        <v>74</v>
      </c>
      <c r="BB209">
        <v>4958</v>
      </c>
      <c r="BC209">
        <v>4963</v>
      </c>
      <c r="BD209" t="s">
        <v>74</v>
      </c>
      <c r="BE209" t="s">
        <v>4452</v>
      </c>
      <c r="BF209" t="str">
        <f>HYPERLINK("http://dx.doi.org/10.1073/pnas.1415264112","http://dx.doi.org/10.1073/pnas.1415264112")</f>
        <v>http://dx.doi.org/10.1073/pnas.1415264112</v>
      </c>
      <c r="BG209" t="s">
        <v>74</v>
      </c>
      <c r="BH209" t="s">
        <v>74</v>
      </c>
      <c r="BI209">
        <v>6</v>
      </c>
      <c r="BJ209" t="s">
        <v>429</v>
      </c>
      <c r="BK209" t="s">
        <v>100</v>
      </c>
      <c r="BL209" t="s">
        <v>430</v>
      </c>
      <c r="BM209" t="s">
        <v>4453</v>
      </c>
      <c r="BN209">
        <v>25848043</v>
      </c>
      <c r="BO209" t="s">
        <v>4454</v>
      </c>
      <c r="BP209" t="s">
        <v>74</v>
      </c>
      <c r="BQ209" t="s">
        <v>74</v>
      </c>
      <c r="BR209" t="s">
        <v>104</v>
      </c>
      <c r="BS209" t="s">
        <v>4455</v>
      </c>
      <c r="BT209" t="str">
        <f>HYPERLINK("https%3A%2F%2Fwww.webofscience.com%2Fwos%2Fwoscc%2Ffull-record%2FWOS:000353239100046","View Full Record in Web of Science")</f>
        <v>View Full Record in Web of Science</v>
      </c>
    </row>
    <row r="210" spans="1:72" x14ac:dyDescent="0.15">
      <c r="A210" t="s">
        <v>72</v>
      </c>
      <c r="B210" t="s">
        <v>4456</v>
      </c>
      <c r="C210" t="s">
        <v>74</v>
      </c>
      <c r="D210" t="s">
        <v>74</v>
      </c>
      <c r="E210" t="s">
        <v>74</v>
      </c>
      <c r="F210" t="s">
        <v>4457</v>
      </c>
      <c r="G210" t="s">
        <v>74</v>
      </c>
      <c r="H210" t="s">
        <v>74</v>
      </c>
      <c r="I210" t="s">
        <v>4458</v>
      </c>
      <c r="J210" t="s">
        <v>936</v>
      </c>
      <c r="K210" t="s">
        <v>74</v>
      </c>
      <c r="L210" t="s">
        <v>74</v>
      </c>
      <c r="M210" t="s">
        <v>78</v>
      </c>
      <c r="N210" t="s">
        <v>79</v>
      </c>
      <c r="O210" t="s">
        <v>74</v>
      </c>
      <c r="P210" t="s">
        <v>74</v>
      </c>
      <c r="Q210" t="s">
        <v>74</v>
      </c>
      <c r="R210" t="s">
        <v>74</v>
      </c>
      <c r="S210" t="s">
        <v>74</v>
      </c>
      <c r="T210" t="s">
        <v>74</v>
      </c>
      <c r="U210" t="s">
        <v>4459</v>
      </c>
      <c r="V210" t="s">
        <v>4460</v>
      </c>
      <c r="W210" t="s">
        <v>4461</v>
      </c>
      <c r="X210" t="s">
        <v>4462</v>
      </c>
      <c r="Y210" t="s">
        <v>4463</v>
      </c>
      <c r="Z210" t="s">
        <v>4464</v>
      </c>
      <c r="AA210" t="s">
        <v>4465</v>
      </c>
      <c r="AB210" t="s">
        <v>4466</v>
      </c>
      <c r="AC210" t="s">
        <v>4467</v>
      </c>
      <c r="AD210" t="s">
        <v>4468</v>
      </c>
      <c r="AE210" t="s">
        <v>4469</v>
      </c>
      <c r="AF210" t="s">
        <v>74</v>
      </c>
      <c r="AG210">
        <v>50</v>
      </c>
      <c r="AH210">
        <v>20</v>
      </c>
      <c r="AI210">
        <v>22</v>
      </c>
      <c r="AJ210">
        <v>2</v>
      </c>
      <c r="AK210">
        <v>50</v>
      </c>
      <c r="AL210" t="s">
        <v>946</v>
      </c>
      <c r="AM210" t="s">
        <v>947</v>
      </c>
      <c r="AN210" t="s">
        <v>948</v>
      </c>
      <c r="AO210" t="s">
        <v>949</v>
      </c>
      <c r="AP210" t="s">
        <v>74</v>
      </c>
      <c r="AQ210" t="s">
        <v>74</v>
      </c>
      <c r="AR210" t="s">
        <v>936</v>
      </c>
      <c r="AS210" t="s">
        <v>950</v>
      </c>
      <c r="AT210" t="s">
        <v>4470</v>
      </c>
      <c r="AU210">
        <v>2015</v>
      </c>
      <c r="AV210">
        <v>10</v>
      </c>
      <c r="AW210">
        <v>4</v>
      </c>
      <c r="AX210" t="s">
        <v>74</v>
      </c>
      <c r="AY210" t="s">
        <v>74</v>
      </c>
      <c r="AZ210" t="s">
        <v>74</v>
      </c>
      <c r="BA210" t="s">
        <v>74</v>
      </c>
      <c r="BB210" t="s">
        <v>74</v>
      </c>
      <c r="BC210" t="s">
        <v>74</v>
      </c>
      <c r="BD210" t="s">
        <v>4471</v>
      </c>
      <c r="BE210" t="s">
        <v>4472</v>
      </c>
      <c r="BF210" t="str">
        <f>HYPERLINK("http://dx.doi.org/10.1371/journal.pone.0124505","http://dx.doi.org/10.1371/journal.pone.0124505")</f>
        <v>http://dx.doi.org/10.1371/journal.pone.0124505</v>
      </c>
      <c r="BG210" t="s">
        <v>74</v>
      </c>
      <c r="BH210" t="s">
        <v>74</v>
      </c>
      <c r="BI210">
        <v>14</v>
      </c>
      <c r="BJ210" t="s">
        <v>429</v>
      </c>
      <c r="BK210" t="s">
        <v>100</v>
      </c>
      <c r="BL210" t="s">
        <v>430</v>
      </c>
      <c r="BM210" t="s">
        <v>4473</v>
      </c>
      <c r="BN210">
        <v>25894547</v>
      </c>
      <c r="BO210" t="s">
        <v>432</v>
      </c>
      <c r="BP210" t="s">
        <v>74</v>
      </c>
      <c r="BQ210" t="s">
        <v>74</v>
      </c>
      <c r="BR210" t="s">
        <v>104</v>
      </c>
      <c r="BS210" t="s">
        <v>4474</v>
      </c>
      <c r="BT210" t="str">
        <f>HYPERLINK("https%3A%2F%2Fwww.webofscience.com%2Fwos%2Fwoscc%2Ffull-record%2FWOS:000353211700100","View Full Record in Web of Science")</f>
        <v>View Full Record in Web of Science</v>
      </c>
    </row>
    <row r="211" spans="1:72" x14ac:dyDescent="0.15">
      <c r="A211" t="s">
        <v>72</v>
      </c>
      <c r="B211" t="s">
        <v>4475</v>
      </c>
      <c r="C211" t="s">
        <v>74</v>
      </c>
      <c r="D211" t="s">
        <v>74</v>
      </c>
      <c r="E211" t="s">
        <v>74</v>
      </c>
      <c r="F211" t="s">
        <v>4476</v>
      </c>
      <c r="G211" t="s">
        <v>74</v>
      </c>
      <c r="H211" t="s">
        <v>74</v>
      </c>
      <c r="I211" t="s">
        <v>4477</v>
      </c>
      <c r="J211" t="s">
        <v>936</v>
      </c>
      <c r="K211" t="s">
        <v>74</v>
      </c>
      <c r="L211" t="s">
        <v>74</v>
      </c>
      <c r="M211" t="s">
        <v>78</v>
      </c>
      <c r="N211" t="s">
        <v>79</v>
      </c>
      <c r="O211" t="s">
        <v>74</v>
      </c>
      <c r="P211" t="s">
        <v>74</v>
      </c>
      <c r="Q211" t="s">
        <v>74</v>
      </c>
      <c r="R211" t="s">
        <v>74</v>
      </c>
      <c r="S211" t="s">
        <v>74</v>
      </c>
      <c r="T211" t="s">
        <v>74</v>
      </c>
      <c r="U211" t="s">
        <v>4478</v>
      </c>
      <c r="V211" t="s">
        <v>4479</v>
      </c>
      <c r="W211" t="s">
        <v>4480</v>
      </c>
      <c r="X211" t="s">
        <v>4481</v>
      </c>
      <c r="Y211" t="s">
        <v>4482</v>
      </c>
      <c r="Z211" t="s">
        <v>4483</v>
      </c>
      <c r="AA211" t="s">
        <v>4484</v>
      </c>
      <c r="AB211" t="s">
        <v>4485</v>
      </c>
      <c r="AC211" t="s">
        <v>4486</v>
      </c>
      <c r="AD211" t="s">
        <v>4487</v>
      </c>
      <c r="AE211" t="s">
        <v>4488</v>
      </c>
      <c r="AF211" t="s">
        <v>74</v>
      </c>
      <c r="AG211">
        <v>22</v>
      </c>
      <c r="AH211">
        <v>1</v>
      </c>
      <c r="AI211">
        <v>2</v>
      </c>
      <c r="AJ211">
        <v>1</v>
      </c>
      <c r="AK211">
        <v>20</v>
      </c>
      <c r="AL211" t="s">
        <v>946</v>
      </c>
      <c r="AM211" t="s">
        <v>947</v>
      </c>
      <c r="AN211" t="s">
        <v>948</v>
      </c>
      <c r="AO211" t="s">
        <v>949</v>
      </c>
      <c r="AP211" t="s">
        <v>74</v>
      </c>
      <c r="AQ211" t="s">
        <v>74</v>
      </c>
      <c r="AR211" t="s">
        <v>936</v>
      </c>
      <c r="AS211" t="s">
        <v>950</v>
      </c>
      <c r="AT211" t="s">
        <v>4470</v>
      </c>
      <c r="AU211">
        <v>2015</v>
      </c>
      <c r="AV211">
        <v>10</v>
      </c>
      <c r="AW211">
        <v>4</v>
      </c>
      <c r="AX211" t="s">
        <v>74</v>
      </c>
      <c r="AY211" t="s">
        <v>74</v>
      </c>
      <c r="AZ211" t="s">
        <v>74</v>
      </c>
      <c r="BA211" t="s">
        <v>74</v>
      </c>
      <c r="BB211" t="s">
        <v>74</v>
      </c>
      <c r="BC211" t="s">
        <v>74</v>
      </c>
      <c r="BD211" t="s">
        <v>4489</v>
      </c>
      <c r="BE211" t="s">
        <v>4490</v>
      </c>
      <c r="BF211" t="str">
        <f>HYPERLINK("http://dx.doi.org/10.1371/journal.pone.0126292","http://dx.doi.org/10.1371/journal.pone.0126292")</f>
        <v>http://dx.doi.org/10.1371/journal.pone.0126292</v>
      </c>
      <c r="BG211" t="s">
        <v>74</v>
      </c>
      <c r="BH211" t="s">
        <v>74</v>
      </c>
      <c r="BI211">
        <v>19</v>
      </c>
      <c r="BJ211" t="s">
        <v>429</v>
      </c>
      <c r="BK211" t="s">
        <v>100</v>
      </c>
      <c r="BL211" t="s">
        <v>430</v>
      </c>
      <c r="BM211" t="s">
        <v>4473</v>
      </c>
      <c r="BN211">
        <v>25894763</v>
      </c>
      <c r="BO211" t="s">
        <v>1021</v>
      </c>
      <c r="BP211" t="s">
        <v>74</v>
      </c>
      <c r="BQ211" t="s">
        <v>74</v>
      </c>
      <c r="BR211" t="s">
        <v>104</v>
      </c>
      <c r="BS211" t="s">
        <v>4491</v>
      </c>
      <c r="BT211" t="str">
        <f>HYPERLINK("https%3A%2F%2Fwww.webofscience.com%2Fwos%2Fwoscc%2Ffull-record%2FWOS:000353211700142","View Full Record in Web of Science")</f>
        <v>View Full Record in Web of Science</v>
      </c>
    </row>
    <row r="212" spans="1:72" x14ac:dyDescent="0.15">
      <c r="A212" t="s">
        <v>72</v>
      </c>
      <c r="B212" t="s">
        <v>4492</v>
      </c>
      <c r="C212" t="s">
        <v>74</v>
      </c>
      <c r="D212" t="s">
        <v>74</v>
      </c>
      <c r="E212" t="s">
        <v>74</v>
      </c>
      <c r="F212" t="s">
        <v>4493</v>
      </c>
      <c r="G212" t="s">
        <v>74</v>
      </c>
      <c r="H212" t="s">
        <v>74</v>
      </c>
      <c r="I212" t="s">
        <v>4494</v>
      </c>
      <c r="J212" t="s">
        <v>4495</v>
      </c>
      <c r="K212" t="s">
        <v>74</v>
      </c>
      <c r="L212" t="s">
        <v>74</v>
      </c>
      <c r="M212" t="s">
        <v>78</v>
      </c>
      <c r="N212" t="s">
        <v>79</v>
      </c>
      <c r="O212" t="s">
        <v>74</v>
      </c>
      <c r="P212" t="s">
        <v>74</v>
      </c>
      <c r="Q212" t="s">
        <v>74</v>
      </c>
      <c r="R212" t="s">
        <v>74</v>
      </c>
      <c r="S212" t="s">
        <v>74</v>
      </c>
      <c r="T212" t="s">
        <v>74</v>
      </c>
      <c r="U212" t="s">
        <v>4496</v>
      </c>
      <c r="V212" t="s">
        <v>4497</v>
      </c>
      <c r="W212" t="s">
        <v>4498</v>
      </c>
      <c r="X212" t="s">
        <v>4499</v>
      </c>
      <c r="Y212" t="s">
        <v>4500</v>
      </c>
      <c r="Z212" t="s">
        <v>4501</v>
      </c>
      <c r="AA212" t="s">
        <v>4502</v>
      </c>
      <c r="AB212" t="s">
        <v>4503</v>
      </c>
      <c r="AC212" t="s">
        <v>4504</v>
      </c>
      <c r="AD212" t="s">
        <v>4505</v>
      </c>
      <c r="AE212" t="s">
        <v>74</v>
      </c>
      <c r="AF212" t="s">
        <v>74</v>
      </c>
      <c r="AG212">
        <v>81</v>
      </c>
      <c r="AH212">
        <v>54</v>
      </c>
      <c r="AI212">
        <v>59</v>
      </c>
      <c r="AJ212">
        <v>0</v>
      </c>
      <c r="AK212">
        <v>17</v>
      </c>
      <c r="AL212" t="s">
        <v>4506</v>
      </c>
      <c r="AM212" t="s">
        <v>4507</v>
      </c>
      <c r="AN212" t="s">
        <v>4508</v>
      </c>
      <c r="AO212" t="s">
        <v>4509</v>
      </c>
      <c r="AP212" t="s">
        <v>74</v>
      </c>
      <c r="AQ212" t="s">
        <v>74</v>
      </c>
      <c r="AR212" t="s">
        <v>4510</v>
      </c>
      <c r="AS212" t="s">
        <v>4511</v>
      </c>
      <c r="AT212" t="s">
        <v>4512</v>
      </c>
      <c r="AU212">
        <v>2015</v>
      </c>
      <c r="AV212">
        <v>3</v>
      </c>
      <c r="AW212" t="s">
        <v>74</v>
      </c>
      <c r="AX212" t="s">
        <v>74</v>
      </c>
      <c r="AY212" t="s">
        <v>74</v>
      </c>
      <c r="AZ212" t="s">
        <v>74</v>
      </c>
      <c r="BA212" t="s">
        <v>74</v>
      </c>
      <c r="BB212" t="s">
        <v>74</v>
      </c>
      <c r="BC212" t="s">
        <v>74</v>
      </c>
      <c r="BD212">
        <v>46</v>
      </c>
      <c r="BE212" t="s">
        <v>4513</v>
      </c>
      <c r="BF212" t="str">
        <f>HYPERLINK("http://dx.doi.org/10.12952/journal.elementa.000046","http://dx.doi.org/10.12952/journal.elementa.000046")</f>
        <v>http://dx.doi.org/10.12952/journal.elementa.000046</v>
      </c>
      <c r="BG212" t="s">
        <v>74</v>
      </c>
      <c r="BH212" t="s">
        <v>74</v>
      </c>
      <c r="BI212">
        <v>20</v>
      </c>
      <c r="BJ212" t="s">
        <v>1741</v>
      </c>
      <c r="BK212" t="s">
        <v>100</v>
      </c>
      <c r="BL212" t="s">
        <v>1742</v>
      </c>
      <c r="BM212" t="s">
        <v>4514</v>
      </c>
      <c r="BN212" t="s">
        <v>74</v>
      </c>
      <c r="BO212" t="s">
        <v>1490</v>
      </c>
      <c r="BP212" t="s">
        <v>74</v>
      </c>
      <c r="BQ212" t="s">
        <v>74</v>
      </c>
      <c r="BR212" t="s">
        <v>104</v>
      </c>
      <c r="BS212" t="s">
        <v>4515</v>
      </c>
      <c r="BT212" t="str">
        <f>HYPERLINK("https%3A%2F%2Fwww.webofscience.com%2Fwos%2Fwoscc%2Ffull-record%2FWOS:000362110100001","View Full Record in Web of Science")</f>
        <v>View Full Record in Web of Science</v>
      </c>
    </row>
    <row r="213" spans="1:72" x14ac:dyDescent="0.15">
      <c r="A213" t="s">
        <v>72</v>
      </c>
      <c r="B213" t="s">
        <v>4516</v>
      </c>
      <c r="C213" t="s">
        <v>74</v>
      </c>
      <c r="D213" t="s">
        <v>74</v>
      </c>
      <c r="E213" t="s">
        <v>74</v>
      </c>
      <c r="F213" t="s">
        <v>4517</v>
      </c>
      <c r="G213" t="s">
        <v>74</v>
      </c>
      <c r="H213" t="s">
        <v>74</v>
      </c>
      <c r="I213" t="s">
        <v>4518</v>
      </c>
      <c r="J213" t="s">
        <v>539</v>
      </c>
      <c r="K213" t="s">
        <v>74</v>
      </c>
      <c r="L213" t="s">
        <v>74</v>
      </c>
      <c r="M213" t="s">
        <v>78</v>
      </c>
      <c r="N213" t="s">
        <v>79</v>
      </c>
      <c r="O213" t="s">
        <v>74</v>
      </c>
      <c r="P213" t="s">
        <v>74</v>
      </c>
      <c r="Q213" t="s">
        <v>74</v>
      </c>
      <c r="R213" t="s">
        <v>74</v>
      </c>
      <c r="S213" t="s">
        <v>74</v>
      </c>
      <c r="T213" t="s">
        <v>74</v>
      </c>
      <c r="U213" t="s">
        <v>4519</v>
      </c>
      <c r="V213" t="s">
        <v>4520</v>
      </c>
      <c r="W213" t="s">
        <v>4521</v>
      </c>
      <c r="X213" t="s">
        <v>1552</v>
      </c>
      <c r="Y213" t="s">
        <v>4522</v>
      </c>
      <c r="Z213" t="s">
        <v>4523</v>
      </c>
      <c r="AA213" t="s">
        <v>4524</v>
      </c>
      <c r="AB213" t="s">
        <v>4525</v>
      </c>
      <c r="AC213" t="s">
        <v>4526</v>
      </c>
      <c r="AD213" t="s">
        <v>1600</v>
      </c>
      <c r="AE213" t="s">
        <v>4527</v>
      </c>
      <c r="AF213" t="s">
        <v>74</v>
      </c>
      <c r="AG213">
        <v>27</v>
      </c>
      <c r="AH213">
        <v>533</v>
      </c>
      <c r="AI213">
        <v>593</v>
      </c>
      <c r="AJ213">
        <v>9</v>
      </c>
      <c r="AK213">
        <v>191</v>
      </c>
      <c r="AL213" t="s">
        <v>551</v>
      </c>
      <c r="AM213" t="s">
        <v>267</v>
      </c>
      <c r="AN213" t="s">
        <v>552</v>
      </c>
      <c r="AO213" t="s">
        <v>553</v>
      </c>
      <c r="AP213" t="s">
        <v>554</v>
      </c>
      <c r="AQ213" t="s">
        <v>74</v>
      </c>
      <c r="AR213" t="s">
        <v>539</v>
      </c>
      <c r="AS213" t="s">
        <v>555</v>
      </c>
      <c r="AT213" t="s">
        <v>4512</v>
      </c>
      <c r="AU213">
        <v>2015</v>
      </c>
      <c r="AV213">
        <v>348</v>
      </c>
      <c r="AW213">
        <v>6232</v>
      </c>
      <c r="AX213" t="s">
        <v>74</v>
      </c>
      <c r="AY213" t="s">
        <v>74</v>
      </c>
      <c r="AZ213" t="s">
        <v>74</v>
      </c>
      <c r="BA213" t="s">
        <v>74</v>
      </c>
      <c r="BB213">
        <v>327</v>
      </c>
      <c r="BC213">
        <v>331</v>
      </c>
      <c r="BD213" t="s">
        <v>74</v>
      </c>
      <c r="BE213" t="s">
        <v>4528</v>
      </c>
      <c r="BF213" t="str">
        <f>HYPERLINK("http://dx.doi.org/10.1126/science.aaa0940","http://dx.doi.org/10.1126/science.aaa0940")</f>
        <v>http://dx.doi.org/10.1126/science.aaa0940</v>
      </c>
      <c r="BG213" t="s">
        <v>74</v>
      </c>
      <c r="BH213" t="s">
        <v>74</v>
      </c>
      <c r="BI213">
        <v>5</v>
      </c>
      <c r="BJ213" t="s">
        <v>429</v>
      </c>
      <c r="BK213" t="s">
        <v>100</v>
      </c>
      <c r="BL213" t="s">
        <v>430</v>
      </c>
      <c r="BM213" t="s">
        <v>4529</v>
      </c>
      <c r="BN213">
        <v>25814064</v>
      </c>
      <c r="BO213" t="s">
        <v>156</v>
      </c>
      <c r="BP213" t="s">
        <v>4339</v>
      </c>
      <c r="BQ213" t="s">
        <v>4340</v>
      </c>
      <c r="BR213" t="s">
        <v>104</v>
      </c>
      <c r="BS213" t="s">
        <v>4530</v>
      </c>
      <c r="BT213" t="str">
        <f>HYPERLINK("https%3A%2F%2Fwww.webofscience.com%2Fwos%2Fwoscc%2Ffull-record%2FWOS:000352999000042","View Full Record in Web of Science")</f>
        <v>View Full Record in Web of Science</v>
      </c>
    </row>
    <row r="214" spans="1:72" x14ac:dyDescent="0.15">
      <c r="A214" t="s">
        <v>72</v>
      </c>
      <c r="B214" t="s">
        <v>4531</v>
      </c>
      <c r="C214" t="s">
        <v>74</v>
      </c>
      <c r="D214" t="s">
        <v>74</v>
      </c>
      <c r="E214" t="s">
        <v>74</v>
      </c>
      <c r="F214" t="s">
        <v>4532</v>
      </c>
      <c r="G214" t="s">
        <v>74</v>
      </c>
      <c r="H214" t="s">
        <v>74</v>
      </c>
      <c r="I214" t="s">
        <v>4533</v>
      </c>
      <c r="J214" t="s">
        <v>490</v>
      </c>
      <c r="K214" t="s">
        <v>74</v>
      </c>
      <c r="L214" t="s">
        <v>74</v>
      </c>
      <c r="M214" t="s">
        <v>78</v>
      </c>
      <c r="N214" t="s">
        <v>79</v>
      </c>
      <c r="O214" t="s">
        <v>74</v>
      </c>
      <c r="P214" t="s">
        <v>74</v>
      </c>
      <c r="Q214" t="s">
        <v>74</v>
      </c>
      <c r="R214" t="s">
        <v>74</v>
      </c>
      <c r="S214" t="s">
        <v>74</v>
      </c>
      <c r="T214" t="s">
        <v>4534</v>
      </c>
      <c r="U214" t="s">
        <v>4535</v>
      </c>
      <c r="V214" t="s">
        <v>4536</v>
      </c>
      <c r="W214" t="s">
        <v>4537</v>
      </c>
      <c r="X214" t="s">
        <v>4538</v>
      </c>
      <c r="Y214" t="s">
        <v>4539</v>
      </c>
      <c r="Z214" t="s">
        <v>4540</v>
      </c>
      <c r="AA214" t="s">
        <v>74</v>
      </c>
      <c r="AB214" t="s">
        <v>74</v>
      </c>
      <c r="AC214" t="s">
        <v>74</v>
      </c>
      <c r="AD214" t="s">
        <v>74</v>
      </c>
      <c r="AE214" t="s">
        <v>74</v>
      </c>
      <c r="AF214" t="s">
        <v>74</v>
      </c>
      <c r="AG214">
        <v>75</v>
      </c>
      <c r="AH214">
        <v>3</v>
      </c>
      <c r="AI214">
        <v>3</v>
      </c>
      <c r="AJ214">
        <v>0</v>
      </c>
      <c r="AK214">
        <v>5</v>
      </c>
      <c r="AL214" t="s">
        <v>502</v>
      </c>
      <c r="AM214" t="s">
        <v>503</v>
      </c>
      <c r="AN214" t="s">
        <v>504</v>
      </c>
      <c r="AO214" t="s">
        <v>505</v>
      </c>
      <c r="AP214" t="s">
        <v>506</v>
      </c>
      <c r="AQ214" t="s">
        <v>74</v>
      </c>
      <c r="AR214" t="s">
        <v>490</v>
      </c>
      <c r="AS214" t="s">
        <v>507</v>
      </c>
      <c r="AT214" t="s">
        <v>4512</v>
      </c>
      <c r="AU214">
        <v>2015</v>
      </c>
      <c r="AV214">
        <v>3947</v>
      </c>
      <c r="AW214">
        <v>4</v>
      </c>
      <c r="AX214" t="s">
        <v>74</v>
      </c>
      <c r="AY214" t="s">
        <v>74</v>
      </c>
      <c r="AZ214" t="s">
        <v>74</v>
      </c>
      <c r="BA214" t="s">
        <v>74</v>
      </c>
      <c r="BB214">
        <v>451</v>
      </c>
      <c r="BC214">
        <v>488</v>
      </c>
      <c r="BD214" t="s">
        <v>74</v>
      </c>
      <c r="BE214" t="s">
        <v>4541</v>
      </c>
      <c r="BF214" t="str">
        <f>HYPERLINK("http://dx.doi.org/10.11646/zootaxa.3947.4.1","http://dx.doi.org/10.11646/zootaxa.3947.4.1")</f>
        <v>http://dx.doi.org/10.11646/zootaxa.3947.4.1</v>
      </c>
      <c r="BG214" t="s">
        <v>74</v>
      </c>
      <c r="BH214" t="s">
        <v>74</v>
      </c>
      <c r="BI214">
        <v>38</v>
      </c>
      <c r="BJ214" t="s">
        <v>509</v>
      </c>
      <c r="BK214" t="s">
        <v>100</v>
      </c>
      <c r="BL214" t="s">
        <v>509</v>
      </c>
      <c r="BM214" t="s">
        <v>4542</v>
      </c>
      <c r="BN214">
        <v>25947749</v>
      </c>
      <c r="BO214" t="s">
        <v>74</v>
      </c>
      <c r="BP214" t="s">
        <v>74</v>
      </c>
      <c r="BQ214" t="s">
        <v>74</v>
      </c>
      <c r="BR214" t="s">
        <v>104</v>
      </c>
      <c r="BS214" t="s">
        <v>4543</v>
      </c>
      <c r="BT214" t="str">
        <f>HYPERLINK("https%3A%2F%2Fwww.webofscience.com%2Fwos%2Fwoscc%2Ffull-record%2FWOS:000352966100001","View Full Record in Web of Science")</f>
        <v>View Full Record in Web of Science</v>
      </c>
    </row>
    <row r="215" spans="1:72" x14ac:dyDescent="0.15">
      <c r="A215" t="s">
        <v>72</v>
      </c>
      <c r="B215" t="s">
        <v>4544</v>
      </c>
      <c r="C215" t="s">
        <v>74</v>
      </c>
      <c r="D215" t="s">
        <v>74</v>
      </c>
      <c r="E215" t="s">
        <v>74</v>
      </c>
      <c r="F215" t="s">
        <v>4545</v>
      </c>
      <c r="G215" t="s">
        <v>74</v>
      </c>
      <c r="H215" t="s">
        <v>74</v>
      </c>
      <c r="I215" t="s">
        <v>4546</v>
      </c>
      <c r="J215" t="s">
        <v>390</v>
      </c>
      <c r="K215" t="s">
        <v>74</v>
      </c>
      <c r="L215" t="s">
        <v>74</v>
      </c>
      <c r="M215" t="s">
        <v>78</v>
      </c>
      <c r="N215" t="s">
        <v>79</v>
      </c>
      <c r="O215" t="s">
        <v>74</v>
      </c>
      <c r="P215" t="s">
        <v>74</v>
      </c>
      <c r="Q215" t="s">
        <v>74</v>
      </c>
      <c r="R215" t="s">
        <v>74</v>
      </c>
      <c r="S215" t="s">
        <v>74</v>
      </c>
      <c r="T215" t="s">
        <v>4547</v>
      </c>
      <c r="U215" t="s">
        <v>4548</v>
      </c>
      <c r="V215" t="s">
        <v>4549</v>
      </c>
      <c r="W215" t="s">
        <v>4550</v>
      </c>
      <c r="X215" t="s">
        <v>4551</v>
      </c>
      <c r="Y215" t="s">
        <v>4552</v>
      </c>
      <c r="Z215" t="s">
        <v>4553</v>
      </c>
      <c r="AA215" t="s">
        <v>4554</v>
      </c>
      <c r="AB215" t="s">
        <v>4555</v>
      </c>
      <c r="AC215" t="s">
        <v>4556</v>
      </c>
      <c r="AD215" t="s">
        <v>4557</v>
      </c>
      <c r="AE215" t="s">
        <v>4558</v>
      </c>
      <c r="AF215" t="s">
        <v>74</v>
      </c>
      <c r="AG215">
        <v>69</v>
      </c>
      <c r="AH215">
        <v>40</v>
      </c>
      <c r="AI215">
        <v>45</v>
      </c>
      <c r="AJ215">
        <v>1</v>
      </c>
      <c r="AK215">
        <v>17</v>
      </c>
      <c r="AL215" t="s">
        <v>266</v>
      </c>
      <c r="AM215" t="s">
        <v>267</v>
      </c>
      <c r="AN215" t="s">
        <v>268</v>
      </c>
      <c r="AO215" t="s">
        <v>400</v>
      </c>
      <c r="AP215" t="s">
        <v>401</v>
      </c>
      <c r="AQ215" t="s">
        <v>74</v>
      </c>
      <c r="AR215" t="s">
        <v>402</v>
      </c>
      <c r="AS215" t="s">
        <v>403</v>
      </c>
      <c r="AT215" t="s">
        <v>4559</v>
      </c>
      <c r="AU215">
        <v>2015</v>
      </c>
      <c r="AV215">
        <v>120</v>
      </c>
      <c r="AW215">
        <v>7</v>
      </c>
      <c r="AX215" t="s">
        <v>74</v>
      </c>
      <c r="AY215" t="s">
        <v>74</v>
      </c>
      <c r="AZ215" t="s">
        <v>74</v>
      </c>
      <c r="BA215" t="s">
        <v>74</v>
      </c>
      <c r="BB215">
        <v>2719</v>
      </c>
      <c r="BC215">
        <v>2737</v>
      </c>
      <c r="BD215" t="s">
        <v>74</v>
      </c>
      <c r="BE215" t="s">
        <v>4560</v>
      </c>
      <c r="BF215" t="str">
        <f>HYPERLINK("http://dx.doi.org/10.1002/2014JD022751","http://dx.doi.org/10.1002/2014JD022751")</f>
        <v>http://dx.doi.org/10.1002/2014JD022751</v>
      </c>
      <c r="BG215" t="s">
        <v>74</v>
      </c>
      <c r="BH215" t="s">
        <v>74</v>
      </c>
      <c r="BI215">
        <v>19</v>
      </c>
      <c r="BJ215" t="s">
        <v>406</v>
      </c>
      <c r="BK215" t="s">
        <v>100</v>
      </c>
      <c r="BL215" t="s">
        <v>406</v>
      </c>
      <c r="BM215" t="s">
        <v>4561</v>
      </c>
      <c r="BN215" t="s">
        <v>74</v>
      </c>
      <c r="BO215" t="s">
        <v>156</v>
      </c>
      <c r="BP215" t="s">
        <v>74</v>
      </c>
      <c r="BQ215" t="s">
        <v>74</v>
      </c>
      <c r="BR215" t="s">
        <v>104</v>
      </c>
      <c r="BS215" t="s">
        <v>4562</v>
      </c>
      <c r="BT215" t="str">
        <f>HYPERLINK("https%3A%2F%2Fwww.webofscience.com%2Fwos%2Fwoscc%2Ffull-record%2FWOS:000353413800009","View Full Record in Web of Science")</f>
        <v>View Full Record in Web of Science</v>
      </c>
    </row>
    <row r="216" spans="1:72" x14ac:dyDescent="0.15">
      <c r="A216" t="s">
        <v>72</v>
      </c>
      <c r="B216" t="s">
        <v>4563</v>
      </c>
      <c r="C216" t="s">
        <v>74</v>
      </c>
      <c r="D216" t="s">
        <v>74</v>
      </c>
      <c r="E216" t="s">
        <v>74</v>
      </c>
      <c r="F216" t="s">
        <v>4564</v>
      </c>
      <c r="G216" t="s">
        <v>74</v>
      </c>
      <c r="H216" t="s">
        <v>74</v>
      </c>
      <c r="I216" t="s">
        <v>4565</v>
      </c>
      <c r="J216" t="s">
        <v>936</v>
      </c>
      <c r="K216" t="s">
        <v>74</v>
      </c>
      <c r="L216" t="s">
        <v>74</v>
      </c>
      <c r="M216" t="s">
        <v>78</v>
      </c>
      <c r="N216" t="s">
        <v>79</v>
      </c>
      <c r="O216" t="s">
        <v>74</v>
      </c>
      <c r="P216" t="s">
        <v>74</v>
      </c>
      <c r="Q216" t="s">
        <v>74</v>
      </c>
      <c r="R216" t="s">
        <v>74</v>
      </c>
      <c r="S216" t="s">
        <v>74</v>
      </c>
      <c r="T216" t="s">
        <v>74</v>
      </c>
      <c r="U216" t="s">
        <v>4566</v>
      </c>
      <c r="V216" t="s">
        <v>4567</v>
      </c>
      <c r="W216" t="s">
        <v>4568</v>
      </c>
      <c r="X216" t="s">
        <v>4569</v>
      </c>
      <c r="Y216" t="s">
        <v>4570</v>
      </c>
      <c r="Z216" t="s">
        <v>4571</v>
      </c>
      <c r="AA216" t="s">
        <v>4572</v>
      </c>
      <c r="AB216" t="s">
        <v>4573</v>
      </c>
      <c r="AC216" t="s">
        <v>4574</v>
      </c>
      <c r="AD216" t="s">
        <v>4575</v>
      </c>
      <c r="AE216" t="s">
        <v>4576</v>
      </c>
      <c r="AF216" t="s">
        <v>74</v>
      </c>
      <c r="AG216">
        <v>73</v>
      </c>
      <c r="AH216">
        <v>12</v>
      </c>
      <c r="AI216">
        <v>12</v>
      </c>
      <c r="AJ216">
        <v>0</v>
      </c>
      <c r="AK216">
        <v>32</v>
      </c>
      <c r="AL216" t="s">
        <v>946</v>
      </c>
      <c r="AM216" t="s">
        <v>947</v>
      </c>
      <c r="AN216" t="s">
        <v>948</v>
      </c>
      <c r="AO216" t="s">
        <v>949</v>
      </c>
      <c r="AP216" t="s">
        <v>74</v>
      </c>
      <c r="AQ216" t="s">
        <v>74</v>
      </c>
      <c r="AR216" t="s">
        <v>936</v>
      </c>
      <c r="AS216" t="s">
        <v>950</v>
      </c>
      <c r="AT216" t="s">
        <v>4559</v>
      </c>
      <c r="AU216">
        <v>2015</v>
      </c>
      <c r="AV216">
        <v>10</v>
      </c>
      <c r="AW216">
        <v>4</v>
      </c>
      <c r="AX216" t="s">
        <v>74</v>
      </c>
      <c r="AY216" t="s">
        <v>74</v>
      </c>
      <c r="AZ216" t="s">
        <v>74</v>
      </c>
      <c r="BA216" t="s">
        <v>74</v>
      </c>
      <c r="BB216" t="s">
        <v>74</v>
      </c>
      <c r="BC216" t="s">
        <v>74</v>
      </c>
      <c r="BD216" t="s">
        <v>4577</v>
      </c>
      <c r="BE216" t="s">
        <v>4578</v>
      </c>
      <c r="BF216" t="str">
        <f>HYPERLINK("http://dx.doi.org/10.1371/journal.pone.0124014","http://dx.doi.org/10.1371/journal.pone.0124014")</f>
        <v>http://dx.doi.org/10.1371/journal.pone.0124014</v>
      </c>
      <c r="BG216" t="s">
        <v>74</v>
      </c>
      <c r="BH216" t="s">
        <v>74</v>
      </c>
      <c r="BI216">
        <v>18</v>
      </c>
      <c r="BJ216" t="s">
        <v>429</v>
      </c>
      <c r="BK216" t="s">
        <v>100</v>
      </c>
      <c r="BL216" t="s">
        <v>430</v>
      </c>
      <c r="BM216" t="s">
        <v>4579</v>
      </c>
      <c r="BN216">
        <v>25881302</v>
      </c>
      <c r="BO216" t="s">
        <v>1021</v>
      </c>
      <c r="BP216" t="s">
        <v>74</v>
      </c>
      <c r="BQ216" t="s">
        <v>74</v>
      </c>
      <c r="BR216" t="s">
        <v>104</v>
      </c>
      <c r="BS216" t="s">
        <v>4580</v>
      </c>
      <c r="BT216" t="str">
        <f>HYPERLINK("https%3A%2F%2Fwww.webofscience.com%2Fwos%2Fwoscc%2Ffull-record%2FWOS:000353016500078","View Full Record in Web of Science")</f>
        <v>View Full Record in Web of Science</v>
      </c>
    </row>
    <row r="217" spans="1:72" x14ac:dyDescent="0.15">
      <c r="A217" t="s">
        <v>72</v>
      </c>
      <c r="B217" t="s">
        <v>4581</v>
      </c>
      <c r="C217" t="s">
        <v>74</v>
      </c>
      <c r="D217" t="s">
        <v>74</v>
      </c>
      <c r="E217" t="s">
        <v>74</v>
      </c>
      <c r="F217" t="s">
        <v>4582</v>
      </c>
      <c r="G217" t="s">
        <v>74</v>
      </c>
      <c r="H217" t="s">
        <v>74</v>
      </c>
      <c r="I217" t="s">
        <v>4583</v>
      </c>
      <c r="J217" t="s">
        <v>253</v>
      </c>
      <c r="K217" t="s">
        <v>74</v>
      </c>
      <c r="L217" t="s">
        <v>74</v>
      </c>
      <c r="M217" t="s">
        <v>78</v>
      </c>
      <c r="N217" t="s">
        <v>79</v>
      </c>
      <c r="O217" t="s">
        <v>74</v>
      </c>
      <c r="P217" t="s">
        <v>74</v>
      </c>
      <c r="Q217" t="s">
        <v>74</v>
      </c>
      <c r="R217" t="s">
        <v>74</v>
      </c>
      <c r="S217" t="s">
        <v>74</v>
      </c>
      <c r="T217" t="s">
        <v>4584</v>
      </c>
      <c r="U217" t="s">
        <v>4585</v>
      </c>
      <c r="V217" t="s">
        <v>4586</v>
      </c>
      <c r="W217" t="s">
        <v>4587</v>
      </c>
      <c r="X217" t="s">
        <v>4588</v>
      </c>
      <c r="Y217" t="s">
        <v>4589</v>
      </c>
      <c r="Z217" t="s">
        <v>4590</v>
      </c>
      <c r="AA217" t="s">
        <v>4591</v>
      </c>
      <c r="AB217" t="s">
        <v>4592</v>
      </c>
      <c r="AC217" t="s">
        <v>4593</v>
      </c>
      <c r="AD217" t="s">
        <v>4594</v>
      </c>
      <c r="AE217" t="s">
        <v>4595</v>
      </c>
      <c r="AF217" t="s">
        <v>74</v>
      </c>
      <c r="AG217">
        <v>28</v>
      </c>
      <c r="AH217">
        <v>16</v>
      </c>
      <c r="AI217">
        <v>17</v>
      </c>
      <c r="AJ217">
        <v>0</v>
      </c>
      <c r="AK217">
        <v>12</v>
      </c>
      <c r="AL217" t="s">
        <v>266</v>
      </c>
      <c r="AM217" t="s">
        <v>267</v>
      </c>
      <c r="AN217" t="s">
        <v>268</v>
      </c>
      <c r="AO217" t="s">
        <v>269</v>
      </c>
      <c r="AP217" t="s">
        <v>270</v>
      </c>
      <c r="AQ217" t="s">
        <v>74</v>
      </c>
      <c r="AR217" t="s">
        <v>271</v>
      </c>
      <c r="AS217" t="s">
        <v>272</v>
      </c>
      <c r="AT217" t="s">
        <v>4559</v>
      </c>
      <c r="AU217">
        <v>2015</v>
      </c>
      <c r="AV217">
        <v>42</v>
      </c>
      <c r="AW217">
        <v>7</v>
      </c>
      <c r="AX217" t="s">
        <v>74</v>
      </c>
      <c r="AY217" t="s">
        <v>74</v>
      </c>
      <c r="AZ217" t="s">
        <v>74</v>
      </c>
      <c r="BA217" t="s">
        <v>74</v>
      </c>
      <c r="BB217">
        <v>2100</v>
      </c>
      <c r="BC217">
        <v>2108</v>
      </c>
      <c r="BD217" t="s">
        <v>74</v>
      </c>
      <c r="BE217" t="s">
        <v>4596</v>
      </c>
      <c r="BF217" t="str">
        <f>HYPERLINK("http://dx.doi.org/10.1002/2015GL063349","http://dx.doi.org/10.1002/2015GL063349")</f>
        <v>http://dx.doi.org/10.1002/2015GL063349</v>
      </c>
      <c r="BG217" t="s">
        <v>74</v>
      </c>
      <c r="BH217" t="s">
        <v>74</v>
      </c>
      <c r="BI217">
        <v>9</v>
      </c>
      <c r="BJ217" t="s">
        <v>219</v>
      </c>
      <c r="BK217" t="s">
        <v>100</v>
      </c>
      <c r="BL217" t="s">
        <v>220</v>
      </c>
      <c r="BM217" t="s">
        <v>4597</v>
      </c>
      <c r="BN217" t="s">
        <v>74</v>
      </c>
      <c r="BO217" t="s">
        <v>74</v>
      </c>
      <c r="BP217" t="s">
        <v>74</v>
      </c>
      <c r="BQ217" t="s">
        <v>74</v>
      </c>
      <c r="BR217" t="s">
        <v>104</v>
      </c>
      <c r="BS217" t="s">
        <v>4598</v>
      </c>
      <c r="BT217" t="str">
        <f>HYPERLINK("https%3A%2F%2Fwww.webofscience.com%2Fwos%2Fwoscc%2Ffull-record%2FWOS:000353988700004","View Full Record in Web of Science")</f>
        <v>View Full Record in Web of Science</v>
      </c>
    </row>
    <row r="218" spans="1:72" x14ac:dyDescent="0.15">
      <c r="A218" t="s">
        <v>72</v>
      </c>
      <c r="B218" t="s">
        <v>4599</v>
      </c>
      <c r="C218" t="s">
        <v>74</v>
      </c>
      <c r="D218" t="s">
        <v>74</v>
      </c>
      <c r="E218" t="s">
        <v>74</v>
      </c>
      <c r="F218" t="s">
        <v>4600</v>
      </c>
      <c r="G218" t="s">
        <v>74</v>
      </c>
      <c r="H218" t="s">
        <v>74</v>
      </c>
      <c r="I218" t="s">
        <v>4601</v>
      </c>
      <c r="J218" t="s">
        <v>253</v>
      </c>
      <c r="K218" t="s">
        <v>74</v>
      </c>
      <c r="L218" t="s">
        <v>74</v>
      </c>
      <c r="M218" t="s">
        <v>78</v>
      </c>
      <c r="N218" t="s">
        <v>79</v>
      </c>
      <c r="O218" t="s">
        <v>74</v>
      </c>
      <c r="P218" t="s">
        <v>74</v>
      </c>
      <c r="Q218" t="s">
        <v>74</v>
      </c>
      <c r="R218" t="s">
        <v>74</v>
      </c>
      <c r="S218" t="s">
        <v>74</v>
      </c>
      <c r="T218" t="s">
        <v>4602</v>
      </c>
      <c r="U218" t="s">
        <v>4603</v>
      </c>
      <c r="V218" t="s">
        <v>4604</v>
      </c>
      <c r="W218" t="s">
        <v>4605</v>
      </c>
      <c r="X218" t="s">
        <v>4606</v>
      </c>
      <c r="Y218" t="s">
        <v>4607</v>
      </c>
      <c r="Z218" t="s">
        <v>4608</v>
      </c>
      <c r="AA218" t="s">
        <v>74</v>
      </c>
      <c r="AB218" t="s">
        <v>4609</v>
      </c>
      <c r="AC218" t="s">
        <v>4610</v>
      </c>
      <c r="AD218" t="s">
        <v>4611</v>
      </c>
      <c r="AE218" t="s">
        <v>4612</v>
      </c>
      <c r="AF218" t="s">
        <v>74</v>
      </c>
      <c r="AG218">
        <v>34</v>
      </c>
      <c r="AH218">
        <v>41</v>
      </c>
      <c r="AI218">
        <v>45</v>
      </c>
      <c r="AJ218">
        <v>1</v>
      </c>
      <c r="AK218">
        <v>20</v>
      </c>
      <c r="AL218" t="s">
        <v>266</v>
      </c>
      <c r="AM218" t="s">
        <v>267</v>
      </c>
      <c r="AN218" t="s">
        <v>268</v>
      </c>
      <c r="AO218" t="s">
        <v>269</v>
      </c>
      <c r="AP218" t="s">
        <v>270</v>
      </c>
      <c r="AQ218" t="s">
        <v>74</v>
      </c>
      <c r="AR218" t="s">
        <v>271</v>
      </c>
      <c r="AS218" t="s">
        <v>272</v>
      </c>
      <c r="AT218" t="s">
        <v>4559</v>
      </c>
      <c r="AU218">
        <v>2015</v>
      </c>
      <c r="AV218">
        <v>42</v>
      </c>
      <c r="AW218">
        <v>7</v>
      </c>
      <c r="AX218" t="s">
        <v>74</v>
      </c>
      <c r="AY218" t="s">
        <v>74</v>
      </c>
      <c r="AZ218" t="s">
        <v>74</v>
      </c>
      <c r="BA218" t="s">
        <v>74</v>
      </c>
      <c r="BB218">
        <v>2309</v>
      </c>
      <c r="BC218">
        <v>2316</v>
      </c>
      <c r="BD218" t="s">
        <v>74</v>
      </c>
      <c r="BE218" t="s">
        <v>4613</v>
      </c>
      <c r="BF218" t="str">
        <f>HYPERLINK("http://dx.doi.org/10.1002/2014GL062950","http://dx.doi.org/10.1002/2014GL062950")</f>
        <v>http://dx.doi.org/10.1002/2014GL062950</v>
      </c>
      <c r="BG218" t="s">
        <v>74</v>
      </c>
      <c r="BH218" t="s">
        <v>74</v>
      </c>
      <c r="BI218">
        <v>8</v>
      </c>
      <c r="BJ218" t="s">
        <v>219</v>
      </c>
      <c r="BK218" t="s">
        <v>100</v>
      </c>
      <c r="BL218" t="s">
        <v>220</v>
      </c>
      <c r="BM218" t="s">
        <v>4597</v>
      </c>
      <c r="BN218" t="s">
        <v>74</v>
      </c>
      <c r="BO218" t="s">
        <v>2481</v>
      </c>
      <c r="BP218" t="s">
        <v>74</v>
      </c>
      <c r="BQ218" t="s">
        <v>74</v>
      </c>
      <c r="BR218" t="s">
        <v>104</v>
      </c>
      <c r="BS218" t="s">
        <v>4614</v>
      </c>
      <c r="BT218" t="str">
        <f>HYPERLINK("https%3A%2F%2Fwww.webofscience.com%2Fwos%2Fwoscc%2Ffull-record%2FWOS:000353988700031","View Full Record in Web of Science")</f>
        <v>View Full Record in Web of Science</v>
      </c>
    </row>
    <row r="219" spans="1:72" x14ac:dyDescent="0.15">
      <c r="A219" t="s">
        <v>72</v>
      </c>
      <c r="B219" t="s">
        <v>4615</v>
      </c>
      <c r="C219" t="s">
        <v>74</v>
      </c>
      <c r="D219" t="s">
        <v>74</v>
      </c>
      <c r="E219" t="s">
        <v>74</v>
      </c>
      <c r="F219" t="s">
        <v>4616</v>
      </c>
      <c r="G219" t="s">
        <v>74</v>
      </c>
      <c r="H219" t="s">
        <v>74</v>
      </c>
      <c r="I219" t="s">
        <v>4617</v>
      </c>
      <c r="J219" t="s">
        <v>253</v>
      </c>
      <c r="K219" t="s">
        <v>74</v>
      </c>
      <c r="L219" t="s">
        <v>74</v>
      </c>
      <c r="M219" t="s">
        <v>78</v>
      </c>
      <c r="N219" t="s">
        <v>79</v>
      </c>
      <c r="O219" t="s">
        <v>74</v>
      </c>
      <c r="P219" t="s">
        <v>74</v>
      </c>
      <c r="Q219" t="s">
        <v>74</v>
      </c>
      <c r="R219" t="s">
        <v>74</v>
      </c>
      <c r="S219" t="s">
        <v>74</v>
      </c>
      <c r="T219" t="s">
        <v>4618</v>
      </c>
      <c r="U219" t="s">
        <v>4619</v>
      </c>
      <c r="V219" t="s">
        <v>4620</v>
      </c>
      <c r="W219" t="s">
        <v>4621</v>
      </c>
      <c r="X219" t="s">
        <v>4622</v>
      </c>
      <c r="Y219" t="s">
        <v>4623</v>
      </c>
      <c r="Z219" t="s">
        <v>4624</v>
      </c>
      <c r="AA219" t="s">
        <v>4625</v>
      </c>
      <c r="AB219" t="s">
        <v>4626</v>
      </c>
      <c r="AC219" t="s">
        <v>4627</v>
      </c>
      <c r="AD219" t="s">
        <v>4628</v>
      </c>
      <c r="AE219" t="s">
        <v>4629</v>
      </c>
      <c r="AF219" t="s">
        <v>74</v>
      </c>
      <c r="AG219">
        <v>39</v>
      </c>
      <c r="AH219">
        <v>29</v>
      </c>
      <c r="AI219">
        <v>30</v>
      </c>
      <c r="AJ219">
        <v>3</v>
      </c>
      <c r="AK219">
        <v>25</v>
      </c>
      <c r="AL219" t="s">
        <v>266</v>
      </c>
      <c r="AM219" t="s">
        <v>267</v>
      </c>
      <c r="AN219" t="s">
        <v>268</v>
      </c>
      <c r="AO219" t="s">
        <v>269</v>
      </c>
      <c r="AP219" t="s">
        <v>270</v>
      </c>
      <c r="AQ219" t="s">
        <v>74</v>
      </c>
      <c r="AR219" t="s">
        <v>271</v>
      </c>
      <c r="AS219" t="s">
        <v>272</v>
      </c>
      <c r="AT219" t="s">
        <v>4559</v>
      </c>
      <c r="AU219">
        <v>2015</v>
      </c>
      <c r="AV219">
        <v>42</v>
      </c>
      <c r="AW219">
        <v>7</v>
      </c>
      <c r="AX219" t="s">
        <v>74</v>
      </c>
      <c r="AY219" t="s">
        <v>74</v>
      </c>
      <c r="AZ219" t="s">
        <v>74</v>
      </c>
      <c r="BA219" t="s">
        <v>74</v>
      </c>
      <c r="BB219">
        <v>2449</v>
      </c>
      <c r="BC219">
        <v>2456</v>
      </c>
      <c r="BD219" t="s">
        <v>74</v>
      </c>
      <c r="BE219" t="s">
        <v>4630</v>
      </c>
      <c r="BF219" t="str">
        <f>HYPERLINK("http://dx.doi.org/10.1002/2014GL062975","http://dx.doi.org/10.1002/2014GL062975")</f>
        <v>http://dx.doi.org/10.1002/2014GL062975</v>
      </c>
      <c r="BG219" t="s">
        <v>74</v>
      </c>
      <c r="BH219" t="s">
        <v>74</v>
      </c>
      <c r="BI219">
        <v>8</v>
      </c>
      <c r="BJ219" t="s">
        <v>219</v>
      </c>
      <c r="BK219" t="s">
        <v>100</v>
      </c>
      <c r="BL219" t="s">
        <v>220</v>
      </c>
      <c r="BM219" t="s">
        <v>4597</v>
      </c>
      <c r="BN219" t="s">
        <v>74</v>
      </c>
      <c r="BO219" t="s">
        <v>156</v>
      </c>
      <c r="BP219" t="s">
        <v>74</v>
      </c>
      <c r="BQ219" t="s">
        <v>74</v>
      </c>
      <c r="BR219" t="s">
        <v>104</v>
      </c>
      <c r="BS219" t="s">
        <v>4631</v>
      </c>
      <c r="BT219" t="str">
        <f>HYPERLINK("https%3A%2F%2Fwww.webofscience.com%2Fwos%2Fwoscc%2Ffull-record%2FWOS:000353988700048","View Full Record in Web of Science")</f>
        <v>View Full Record in Web of Science</v>
      </c>
    </row>
    <row r="220" spans="1:72" x14ac:dyDescent="0.15">
      <c r="A220" t="s">
        <v>72</v>
      </c>
      <c r="B220" t="s">
        <v>4632</v>
      </c>
      <c r="C220" t="s">
        <v>74</v>
      </c>
      <c r="D220" t="s">
        <v>74</v>
      </c>
      <c r="E220" t="s">
        <v>74</v>
      </c>
      <c r="F220" t="s">
        <v>4633</v>
      </c>
      <c r="G220" t="s">
        <v>74</v>
      </c>
      <c r="H220" t="s">
        <v>74</v>
      </c>
      <c r="I220" t="s">
        <v>4634</v>
      </c>
      <c r="J220" t="s">
        <v>390</v>
      </c>
      <c r="K220" t="s">
        <v>74</v>
      </c>
      <c r="L220" t="s">
        <v>74</v>
      </c>
      <c r="M220" t="s">
        <v>78</v>
      </c>
      <c r="N220" t="s">
        <v>79</v>
      </c>
      <c r="O220" t="s">
        <v>74</v>
      </c>
      <c r="P220" t="s">
        <v>74</v>
      </c>
      <c r="Q220" t="s">
        <v>74</v>
      </c>
      <c r="R220" t="s">
        <v>74</v>
      </c>
      <c r="S220" t="s">
        <v>74</v>
      </c>
      <c r="T220" t="s">
        <v>4635</v>
      </c>
      <c r="U220" t="s">
        <v>4636</v>
      </c>
      <c r="V220" t="s">
        <v>4637</v>
      </c>
      <c r="W220" t="s">
        <v>4638</v>
      </c>
      <c r="X220" t="s">
        <v>4639</v>
      </c>
      <c r="Y220" t="s">
        <v>4640</v>
      </c>
      <c r="Z220" t="s">
        <v>4641</v>
      </c>
      <c r="AA220" t="s">
        <v>4642</v>
      </c>
      <c r="AB220" t="s">
        <v>4643</v>
      </c>
      <c r="AC220" t="s">
        <v>4644</v>
      </c>
      <c r="AD220" t="s">
        <v>4645</v>
      </c>
      <c r="AE220" t="s">
        <v>4646</v>
      </c>
      <c r="AF220" t="s">
        <v>74</v>
      </c>
      <c r="AG220">
        <v>53</v>
      </c>
      <c r="AH220">
        <v>72</v>
      </c>
      <c r="AI220">
        <v>75</v>
      </c>
      <c r="AJ220">
        <v>1</v>
      </c>
      <c r="AK220">
        <v>46</v>
      </c>
      <c r="AL220" t="s">
        <v>266</v>
      </c>
      <c r="AM220" t="s">
        <v>267</v>
      </c>
      <c r="AN220" t="s">
        <v>268</v>
      </c>
      <c r="AO220" t="s">
        <v>400</v>
      </c>
      <c r="AP220" t="s">
        <v>401</v>
      </c>
      <c r="AQ220" t="s">
        <v>74</v>
      </c>
      <c r="AR220" t="s">
        <v>402</v>
      </c>
      <c r="AS220" t="s">
        <v>403</v>
      </c>
      <c r="AT220" t="s">
        <v>4559</v>
      </c>
      <c r="AU220">
        <v>2015</v>
      </c>
      <c r="AV220">
        <v>120</v>
      </c>
      <c r="AW220">
        <v>7</v>
      </c>
      <c r="AX220" t="s">
        <v>74</v>
      </c>
      <c r="AY220" t="s">
        <v>74</v>
      </c>
      <c r="AZ220" t="s">
        <v>74</v>
      </c>
      <c r="BA220" t="s">
        <v>74</v>
      </c>
      <c r="BB220">
        <v>2773</v>
      </c>
      <c r="BC220">
        <v>2792</v>
      </c>
      <c r="BD220" t="s">
        <v>74</v>
      </c>
      <c r="BE220" t="s">
        <v>4647</v>
      </c>
      <c r="BF220" t="str">
        <f>HYPERLINK("http://dx.doi.org/10.1002/2014JD022940","http://dx.doi.org/10.1002/2014JD022940")</f>
        <v>http://dx.doi.org/10.1002/2014JD022940</v>
      </c>
      <c r="BG220" t="s">
        <v>74</v>
      </c>
      <c r="BH220" t="s">
        <v>74</v>
      </c>
      <c r="BI220">
        <v>20</v>
      </c>
      <c r="BJ220" t="s">
        <v>406</v>
      </c>
      <c r="BK220" t="s">
        <v>100</v>
      </c>
      <c r="BL220" t="s">
        <v>406</v>
      </c>
      <c r="BM220" t="s">
        <v>4561</v>
      </c>
      <c r="BN220" t="s">
        <v>74</v>
      </c>
      <c r="BO220" t="s">
        <v>74</v>
      </c>
      <c r="BP220" t="s">
        <v>74</v>
      </c>
      <c r="BQ220" t="s">
        <v>74</v>
      </c>
      <c r="BR220" t="s">
        <v>104</v>
      </c>
      <c r="BS220" t="s">
        <v>4648</v>
      </c>
      <c r="BT220" t="str">
        <f>HYPERLINK("https%3A%2F%2Fwww.webofscience.com%2Fwos%2Fwoscc%2Ffull-record%2FWOS:000353413800012","View Full Record in Web of Science")</f>
        <v>View Full Record in Web of Science</v>
      </c>
    </row>
    <row r="221" spans="1:72" x14ac:dyDescent="0.15">
      <c r="A221" t="s">
        <v>72</v>
      </c>
      <c r="B221" t="s">
        <v>4649</v>
      </c>
      <c r="C221" t="s">
        <v>74</v>
      </c>
      <c r="D221" t="s">
        <v>74</v>
      </c>
      <c r="E221" t="s">
        <v>74</v>
      </c>
      <c r="F221" t="s">
        <v>4650</v>
      </c>
      <c r="G221" t="s">
        <v>74</v>
      </c>
      <c r="H221" t="s">
        <v>74</v>
      </c>
      <c r="I221" t="s">
        <v>4651</v>
      </c>
      <c r="J221" t="s">
        <v>4306</v>
      </c>
      <c r="K221" t="s">
        <v>74</v>
      </c>
      <c r="L221" t="s">
        <v>74</v>
      </c>
      <c r="M221" t="s">
        <v>78</v>
      </c>
      <c r="N221" t="s">
        <v>79</v>
      </c>
      <c r="O221" t="s">
        <v>74</v>
      </c>
      <c r="P221" t="s">
        <v>74</v>
      </c>
      <c r="Q221" t="s">
        <v>74</v>
      </c>
      <c r="R221" t="s">
        <v>74</v>
      </c>
      <c r="S221" t="s">
        <v>74</v>
      </c>
      <c r="T221" t="s">
        <v>74</v>
      </c>
      <c r="U221" t="s">
        <v>4652</v>
      </c>
      <c r="V221" t="s">
        <v>4653</v>
      </c>
      <c r="W221" t="s">
        <v>4654</v>
      </c>
      <c r="X221" t="s">
        <v>4655</v>
      </c>
      <c r="Y221" t="s">
        <v>4656</v>
      </c>
      <c r="Z221" t="s">
        <v>4657</v>
      </c>
      <c r="AA221" t="s">
        <v>4658</v>
      </c>
      <c r="AB221" t="s">
        <v>4659</v>
      </c>
      <c r="AC221" t="s">
        <v>4660</v>
      </c>
      <c r="AD221" t="s">
        <v>4661</v>
      </c>
      <c r="AE221" t="s">
        <v>4662</v>
      </c>
      <c r="AF221" t="s">
        <v>74</v>
      </c>
      <c r="AG221">
        <v>63</v>
      </c>
      <c r="AH221">
        <v>171</v>
      </c>
      <c r="AI221">
        <v>184</v>
      </c>
      <c r="AJ221">
        <v>3</v>
      </c>
      <c r="AK221">
        <v>127</v>
      </c>
      <c r="AL221" t="s">
        <v>2539</v>
      </c>
      <c r="AM221" t="s">
        <v>378</v>
      </c>
      <c r="AN221" t="s">
        <v>4315</v>
      </c>
      <c r="AO221" t="s">
        <v>4316</v>
      </c>
      <c r="AP221" t="s">
        <v>4317</v>
      </c>
      <c r="AQ221" t="s">
        <v>74</v>
      </c>
      <c r="AR221" t="s">
        <v>4306</v>
      </c>
      <c r="AS221" t="s">
        <v>4318</v>
      </c>
      <c r="AT221" t="s">
        <v>4559</v>
      </c>
      <c r="AU221">
        <v>2015</v>
      </c>
      <c r="AV221">
        <v>520</v>
      </c>
      <c r="AW221">
        <v>7547</v>
      </c>
      <c r="AX221" t="s">
        <v>74</v>
      </c>
      <c r="AY221" t="s">
        <v>74</v>
      </c>
      <c r="AZ221" t="s">
        <v>74</v>
      </c>
      <c r="BA221" t="s">
        <v>74</v>
      </c>
      <c r="BB221">
        <v>333</v>
      </c>
      <c r="BC221" t="s">
        <v>4663</v>
      </c>
      <c r="BD221" t="s">
        <v>74</v>
      </c>
      <c r="BE221" t="s">
        <v>4664</v>
      </c>
      <c r="BF221" t="str">
        <f>HYPERLINK("http://dx.doi.org/10.1038/nature14330","http://dx.doi.org/10.1038/nature14330")</f>
        <v>http://dx.doi.org/10.1038/nature14330</v>
      </c>
      <c r="BG221" t="s">
        <v>74</v>
      </c>
      <c r="BH221" t="s">
        <v>74</v>
      </c>
      <c r="BI221">
        <v>15</v>
      </c>
      <c r="BJ221" t="s">
        <v>429</v>
      </c>
      <c r="BK221" t="s">
        <v>100</v>
      </c>
      <c r="BL221" t="s">
        <v>430</v>
      </c>
      <c r="BM221" t="s">
        <v>4665</v>
      </c>
      <c r="BN221">
        <v>25877202</v>
      </c>
      <c r="BO221" t="s">
        <v>4666</v>
      </c>
      <c r="BP221" t="s">
        <v>74</v>
      </c>
      <c r="BQ221" t="s">
        <v>74</v>
      </c>
      <c r="BR221" t="s">
        <v>104</v>
      </c>
      <c r="BS221" t="s">
        <v>4667</v>
      </c>
      <c r="BT221" t="str">
        <f>HYPERLINK("https%3A%2F%2Fwww.webofscience.com%2Fwos%2Fwoscc%2Ffull-record%2FWOS:000352974200035","View Full Record in Web of Science")</f>
        <v>View Full Record in Web of Science</v>
      </c>
    </row>
    <row r="222" spans="1:72" x14ac:dyDescent="0.15">
      <c r="A222" t="s">
        <v>72</v>
      </c>
      <c r="B222" t="s">
        <v>4668</v>
      </c>
      <c r="C222" t="s">
        <v>74</v>
      </c>
      <c r="D222" t="s">
        <v>74</v>
      </c>
      <c r="E222" t="s">
        <v>74</v>
      </c>
      <c r="F222" t="s">
        <v>4669</v>
      </c>
      <c r="G222" t="s">
        <v>74</v>
      </c>
      <c r="H222" t="s">
        <v>74</v>
      </c>
      <c r="I222" t="s">
        <v>4670</v>
      </c>
      <c r="J222" t="s">
        <v>4671</v>
      </c>
      <c r="K222" t="s">
        <v>74</v>
      </c>
      <c r="L222" t="s">
        <v>74</v>
      </c>
      <c r="M222" t="s">
        <v>78</v>
      </c>
      <c r="N222" t="s">
        <v>79</v>
      </c>
      <c r="O222" t="s">
        <v>74</v>
      </c>
      <c r="P222" t="s">
        <v>74</v>
      </c>
      <c r="Q222" t="s">
        <v>74</v>
      </c>
      <c r="R222" t="s">
        <v>74</v>
      </c>
      <c r="S222" t="s">
        <v>74</v>
      </c>
      <c r="T222" t="s">
        <v>4672</v>
      </c>
      <c r="U222" t="s">
        <v>4673</v>
      </c>
      <c r="V222" t="s">
        <v>4674</v>
      </c>
      <c r="W222" t="s">
        <v>4675</v>
      </c>
      <c r="X222" t="s">
        <v>4676</v>
      </c>
      <c r="Y222" t="s">
        <v>4677</v>
      </c>
      <c r="Z222" t="s">
        <v>4678</v>
      </c>
      <c r="AA222" t="s">
        <v>4679</v>
      </c>
      <c r="AB222" t="s">
        <v>74</v>
      </c>
      <c r="AC222" t="s">
        <v>4680</v>
      </c>
      <c r="AD222" t="s">
        <v>4681</v>
      </c>
      <c r="AE222" t="s">
        <v>4682</v>
      </c>
      <c r="AF222" t="s">
        <v>74</v>
      </c>
      <c r="AG222">
        <v>69</v>
      </c>
      <c r="AH222">
        <v>8</v>
      </c>
      <c r="AI222">
        <v>8</v>
      </c>
      <c r="AJ222">
        <v>2</v>
      </c>
      <c r="AK222">
        <v>20</v>
      </c>
      <c r="AL222" t="s">
        <v>120</v>
      </c>
      <c r="AM222" t="s">
        <v>121</v>
      </c>
      <c r="AN222" t="s">
        <v>1304</v>
      </c>
      <c r="AO222" t="s">
        <v>4683</v>
      </c>
      <c r="AP222" t="s">
        <v>74</v>
      </c>
      <c r="AQ222" t="s">
        <v>74</v>
      </c>
      <c r="AR222" t="s">
        <v>4684</v>
      </c>
      <c r="AS222" t="s">
        <v>4685</v>
      </c>
      <c r="AT222" t="s">
        <v>4686</v>
      </c>
      <c r="AU222">
        <v>2015</v>
      </c>
      <c r="AV222">
        <v>2</v>
      </c>
      <c r="AW222" t="s">
        <v>74</v>
      </c>
      <c r="AX222" t="s">
        <v>74</v>
      </c>
      <c r="AY222" t="s">
        <v>74</v>
      </c>
      <c r="AZ222" t="s">
        <v>74</v>
      </c>
      <c r="BA222" t="s">
        <v>74</v>
      </c>
      <c r="BB222" t="s">
        <v>74</v>
      </c>
      <c r="BC222" t="s">
        <v>74</v>
      </c>
      <c r="BD222">
        <v>8</v>
      </c>
      <c r="BE222" t="s">
        <v>4687</v>
      </c>
      <c r="BF222" t="str">
        <f>HYPERLINK("http://dx.doi.org/10.1186/s40645-015-0036-7","http://dx.doi.org/10.1186/s40645-015-0036-7")</f>
        <v>http://dx.doi.org/10.1186/s40645-015-0036-7</v>
      </c>
      <c r="BG222" t="s">
        <v>74</v>
      </c>
      <c r="BH222" t="s">
        <v>74</v>
      </c>
      <c r="BI222">
        <v>15</v>
      </c>
      <c r="BJ222" t="s">
        <v>219</v>
      </c>
      <c r="BK222" t="s">
        <v>100</v>
      </c>
      <c r="BL222" t="s">
        <v>220</v>
      </c>
      <c r="BM222" t="s">
        <v>4688</v>
      </c>
      <c r="BN222" t="s">
        <v>74</v>
      </c>
      <c r="BO222" t="s">
        <v>4689</v>
      </c>
      <c r="BP222" t="s">
        <v>74</v>
      </c>
      <c r="BQ222" t="s">
        <v>74</v>
      </c>
      <c r="BR222" t="s">
        <v>104</v>
      </c>
      <c r="BS222" t="s">
        <v>4690</v>
      </c>
      <c r="BT222" t="str">
        <f>HYPERLINK("https%3A%2F%2Fwww.webofscience.com%2Fwos%2Fwoscc%2Ffull-record%2FWOS:000363942900001","View Full Record in Web of Science")</f>
        <v>View Full Record in Web of Science</v>
      </c>
    </row>
    <row r="223" spans="1:72" x14ac:dyDescent="0.15">
      <c r="A223" t="s">
        <v>72</v>
      </c>
      <c r="B223" t="s">
        <v>4691</v>
      </c>
      <c r="C223" t="s">
        <v>74</v>
      </c>
      <c r="D223" t="s">
        <v>74</v>
      </c>
      <c r="E223" t="s">
        <v>74</v>
      </c>
      <c r="F223" t="s">
        <v>4692</v>
      </c>
      <c r="G223" t="s">
        <v>74</v>
      </c>
      <c r="H223" t="s">
        <v>74</v>
      </c>
      <c r="I223" t="s">
        <v>4693</v>
      </c>
      <c r="J223" t="s">
        <v>4694</v>
      </c>
      <c r="K223" t="s">
        <v>74</v>
      </c>
      <c r="L223" t="s">
        <v>74</v>
      </c>
      <c r="M223" t="s">
        <v>78</v>
      </c>
      <c r="N223" t="s">
        <v>79</v>
      </c>
      <c r="O223" t="s">
        <v>74</v>
      </c>
      <c r="P223" t="s">
        <v>74</v>
      </c>
      <c r="Q223" t="s">
        <v>74</v>
      </c>
      <c r="R223" t="s">
        <v>74</v>
      </c>
      <c r="S223" t="s">
        <v>74</v>
      </c>
      <c r="T223" t="s">
        <v>4695</v>
      </c>
      <c r="U223" t="s">
        <v>4696</v>
      </c>
      <c r="V223" t="s">
        <v>4697</v>
      </c>
      <c r="W223" t="s">
        <v>4698</v>
      </c>
      <c r="X223" t="s">
        <v>4699</v>
      </c>
      <c r="Y223" t="s">
        <v>4700</v>
      </c>
      <c r="Z223" t="s">
        <v>4701</v>
      </c>
      <c r="AA223" t="s">
        <v>4702</v>
      </c>
      <c r="AB223" t="s">
        <v>4703</v>
      </c>
      <c r="AC223" t="s">
        <v>4704</v>
      </c>
      <c r="AD223" t="s">
        <v>4705</v>
      </c>
      <c r="AE223" t="s">
        <v>4706</v>
      </c>
      <c r="AF223" t="s">
        <v>74</v>
      </c>
      <c r="AG223">
        <v>25</v>
      </c>
      <c r="AH223">
        <v>22</v>
      </c>
      <c r="AI223">
        <v>24</v>
      </c>
      <c r="AJ223">
        <v>2</v>
      </c>
      <c r="AK223">
        <v>45</v>
      </c>
      <c r="AL223" t="s">
        <v>786</v>
      </c>
      <c r="AM223" t="s">
        <v>787</v>
      </c>
      <c r="AN223" t="s">
        <v>788</v>
      </c>
      <c r="AO223" t="s">
        <v>4707</v>
      </c>
      <c r="AP223" t="s">
        <v>4708</v>
      </c>
      <c r="AQ223" t="s">
        <v>74</v>
      </c>
      <c r="AR223" t="s">
        <v>4709</v>
      </c>
      <c r="AS223" t="s">
        <v>4710</v>
      </c>
      <c r="AT223" t="s">
        <v>4686</v>
      </c>
      <c r="AU223">
        <v>2015</v>
      </c>
      <c r="AV223">
        <v>93</v>
      </c>
      <c r="AW223" t="s">
        <v>2281</v>
      </c>
      <c r="AX223" t="s">
        <v>74</v>
      </c>
      <c r="AY223" t="s">
        <v>74</v>
      </c>
      <c r="AZ223" t="s">
        <v>74</v>
      </c>
      <c r="BA223" t="s">
        <v>74</v>
      </c>
      <c r="BB223">
        <v>266</v>
      </c>
      <c r="BC223">
        <v>269</v>
      </c>
      <c r="BD223" t="s">
        <v>74</v>
      </c>
      <c r="BE223" t="s">
        <v>4711</v>
      </c>
      <c r="BF223" t="str">
        <f>HYPERLINK("http://dx.doi.org/10.1016/j.marpolbul.2015.01.018","http://dx.doi.org/10.1016/j.marpolbul.2015.01.018")</f>
        <v>http://dx.doi.org/10.1016/j.marpolbul.2015.01.018</v>
      </c>
      <c r="BG223" t="s">
        <v>74</v>
      </c>
      <c r="BH223" t="s">
        <v>74</v>
      </c>
      <c r="BI223">
        <v>4</v>
      </c>
      <c r="BJ223" t="s">
        <v>4175</v>
      </c>
      <c r="BK223" t="s">
        <v>100</v>
      </c>
      <c r="BL223" t="s">
        <v>3293</v>
      </c>
      <c r="BM223" t="s">
        <v>4712</v>
      </c>
      <c r="BN223">
        <v>25666973</v>
      </c>
      <c r="BO223" t="s">
        <v>74</v>
      </c>
      <c r="BP223" t="s">
        <v>74</v>
      </c>
      <c r="BQ223" t="s">
        <v>74</v>
      </c>
      <c r="BR223" t="s">
        <v>104</v>
      </c>
      <c r="BS223" t="s">
        <v>4713</v>
      </c>
      <c r="BT223" t="str">
        <f>HYPERLINK("https%3A%2F%2Fwww.webofscience.com%2Fwos%2Fwoscc%2Ffull-record%2FWOS:000353733400041","View Full Record in Web of Science")</f>
        <v>View Full Record in Web of Science</v>
      </c>
    </row>
    <row r="224" spans="1:72" x14ac:dyDescent="0.15">
      <c r="A224" t="s">
        <v>72</v>
      </c>
      <c r="B224" t="s">
        <v>4714</v>
      </c>
      <c r="C224" t="s">
        <v>74</v>
      </c>
      <c r="D224" t="s">
        <v>74</v>
      </c>
      <c r="E224" t="s">
        <v>74</v>
      </c>
      <c r="F224" t="s">
        <v>4715</v>
      </c>
      <c r="G224" t="s">
        <v>74</v>
      </c>
      <c r="H224" t="s">
        <v>74</v>
      </c>
      <c r="I224" t="s">
        <v>4716</v>
      </c>
      <c r="J224" t="s">
        <v>3973</v>
      </c>
      <c r="K224" t="s">
        <v>74</v>
      </c>
      <c r="L224" t="s">
        <v>74</v>
      </c>
      <c r="M224" t="s">
        <v>78</v>
      </c>
      <c r="N224" t="s">
        <v>79</v>
      </c>
      <c r="O224" t="s">
        <v>74</v>
      </c>
      <c r="P224" t="s">
        <v>74</v>
      </c>
      <c r="Q224" t="s">
        <v>74</v>
      </c>
      <c r="R224" t="s">
        <v>74</v>
      </c>
      <c r="S224" t="s">
        <v>74</v>
      </c>
      <c r="T224" t="s">
        <v>4717</v>
      </c>
      <c r="U224" t="s">
        <v>4718</v>
      </c>
      <c r="V224" t="s">
        <v>4719</v>
      </c>
      <c r="W224" t="s">
        <v>4720</v>
      </c>
      <c r="X224" t="s">
        <v>4721</v>
      </c>
      <c r="Y224" t="s">
        <v>4722</v>
      </c>
      <c r="Z224" t="s">
        <v>4723</v>
      </c>
      <c r="AA224" t="s">
        <v>4724</v>
      </c>
      <c r="AB224" t="s">
        <v>4725</v>
      </c>
      <c r="AC224" t="s">
        <v>4726</v>
      </c>
      <c r="AD224" t="s">
        <v>4726</v>
      </c>
      <c r="AE224" t="s">
        <v>4727</v>
      </c>
      <c r="AF224" t="s">
        <v>74</v>
      </c>
      <c r="AG224">
        <v>45</v>
      </c>
      <c r="AH224">
        <v>11</v>
      </c>
      <c r="AI224">
        <v>11</v>
      </c>
      <c r="AJ224">
        <v>1</v>
      </c>
      <c r="AK224">
        <v>44</v>
      </c>
      <c r="AL224" t="s">
        <v>3986</v>
      </c>
      <c r="AM224" t="s">
        <v>121</v>
      </c>
      <c r="AN224" t="s">
        <v>3987</v>
      </c>
      <c r="AO224" t="s">
        <v>3988</v>
      </c>
      <c r="AP224" t="s">
        <v>3989</v>
      </c>
      <c r="AQ224" t="s">
        <v>74</v>
      </c>
      <c r="AR224" t="s">
        <v>3990</v>
      </c>
      <c r="AS224" t="s">
        <v>3991</v>
      </c>
      <c r="AT224" t="s">
        <v>4686</v>
      </c>
      <c r="AU224">
        <v>2015</v>
      </c>
      <c r="AV224">
        <v>157</v>
      </c>
      <c r="AW224" t="s">
        <v>74</v>
      </c>
      <c r="AX224" t="s">
        <v>74</v>
      </c>
      <c r="AY224" t="s">
        <v>74</v>
      </c>
      <c r="AZ224" t="s">
        <v>74</v>
      </c>
      <c r="BA224" t="s">
        <v>74</v>
      </c>
      <c r="BB224">
        <v>29</v>
      </c>
      <c r="BC224">
        <v>36</v>
      </c>
      <c r="BD224" t="s">
        <v>74</v>
      </c>
      <c r="BE224" t="s">
        <v>4728</v>
      </c>
      <c r="BF224" t="str">
        <f>HYPERLINK("http://dx.doi.org/10.1016/j.atmosres.2015.01.013","http://dx.doi.org/10.1016/j.atmosres.2015.01.013")</f>
        <v>http://dx.doi.org/10.1016/j.atmosres.2015.01.013</v>
      </c>
      <c r="BG224" t="s">
        <v>74</v>
      </c>
      <c r="BH224" t="s">
        <v>74</v>
      </c>
      <c r="BI224">
        <v>8</v>
      </c>
      <c r="BJ224" t="s">
        <v>406</v>
      </c>
      <c r="BK224" t="s">
        <v>100</v>
      </c>
      <c r="BL224" t="s">
        <v>406</v>
      </c>
      <c r="BM224" t="s">
        <v>4729</v>
      </c>
      <c r="BN224" t="s">
        <v>74</v>
      </c>
      <c r="BO224" t="s">
        <v>74</v>
      </c>
      <c r="BP224" t="s">
        <v>74</v>
      </c>
      <c r="BQ224" t="s">
        <v>74</v>
      </c>
      <c r="BR224" t="s">
        <v>104</v>
      </c>
      <c r="BS224" t="s">
        <v>4730</v>
      </c>
      <c r="BT224" t="str">
        <f>HYPERLINK("https%3A%2F%2Fwww.webofscience.com%2Fwos%2Fwoscc%2Ffull-record%2FWOS:000351964900003","View Full Record in Web of Science")</f>
        <v>View Full Record in Web of Science</v>
      </c>
    </row>
    <row r="225" spans="1:72" x14ac:dyDescent="0.15">
      <c r="A225" t="s">
        <v>72</v>
      </c>
      <c r="B225" t="s">
        <v>4731</v>
      </c>
      <c r="C225" t="s">
        <v>74</v>
      </c>
      <c r="D225" t="s">
        <v>74</v>
      </c>
      <c r="E225" t="s">
        <v>74</v>
      </c>
      <c r="F225" t="s">
        <v>4732</v>
      </c>
      <c r="G225" t="s">
        <v>74</v>
      </c>
      <c r="H225" t="s">
        <v>74</v>
      </c>
      <c r="I225" t="s">
        <v>4733</v>
      </c>
      <c r="J225" t="s">
        <v>4734</v>
      </c>
      <c r="K225" t="s">
        <v>74</v>
      </c>
      <c r="L225" t="s">
        <v>74</v>
      </c>
      <c r="M225" t="s">
        <v>78</v>
      </c>
      <c r="N225" t="s">
        <v>79</v>
      </c>
      <c r="O225" t="s">
        <v>74</v>
      </c>
      <c r="P225" t="s">
        <v>74</v>
      </c>
      <c r="Q225" t="s">
        <v>74</v>
      </c>
      <c r="R225" t="s">
        <v>74</v>
      </c>
      <c r="S225" t="s">
        <v>74</v>
      </c>
      <c r="T225" t="s">
        <v>4735</v>
      </c>
      <c r="U225" t="s">
        <v>4736</v>
      </c>
      <c r="V225" t="s">
        <v>4737</v>
      </c>
      <c r="W225" t="s">
        <v>4738</v>
      </c>
      <c r="X225" t="s">
        <v>4739</v>
      </c>
      <c r="Y225" t="s">
        <v>4740</v>
      </c>
      <c r="Z225" t="s">
        <v>4741</v>
      </c>
      <c r="AA225" t="s">
        <v>4742</v>
      </c>
      <c r="AB225" t="s">
        <v>4743</v>
      </c>
      <c r="AC225" t="s">
        <v>4744</v>
      </c>
      <c r="AD225" t="s">
        <v>4745</v>
      </c>
      <c r="AE225" t="s">
        <v>4746</v>
      </c>
      <c r="AF225" t="s">
        <v>74</v>
      </c>
      <c r="AG225">
        <v>110</v>
      </c>
      <c r="AH225">
        <v>30</v>
      </c>
      <c r="AI225">
        <v>31</v>
      </c>
      <c r="AJ225">
        <v>1</v>
      </c>
      <c r="AK225">
        <v>38</v>
      </c>
      <c r="AL225" t="s">
        <v>786</v>
      </c>
      <c r="AM225" t="s">
        <v>787</v>
      </c>
      <c r="AN225" t="s">
        <v>788</v>
      </c>
      <c r="AO225" t="s">
        <v>4747</v>
      </c>
      <c r="AP225" t="s">
        <v>4748</v>
      </c>
      <c r="AQ225" t="s">
        <v>74</v>
      </c>
      <c r="AR225" t="s">
        <v>4749</v>
      </c>
      <c r="AS225" t="s">
        <v>4750</v>
      </c>
      <c r="AT225" t="s">
        <v>4686</v>
      </c>
      <c r="AU225">
        <v>2015</v>
      </c>
      <c r="AV225">
        <v>23</v>
      </c>
      <c r="AW225">
        <v>8</v>
      </c>
      <c r="AX225" t="s">
        <v>74</v>
      </c>
      <c r="AY225" t="s">
        <v>74</v>
      </c>
      <c r="AZ225" t="s">
        <v>74</v>
      </c>
      <c r="BA225" t="s">
        <v>74</v>
      </c>
      <c r="BB225">
        <v>1728</v>
      </c>
      <c r="BC225">
        <v>1734</v>
      </c>
      <c r="BD225" t="s">
        <v>74</v>
      </c>
      <c r="BE225" t="s">
        <v>4751</v>
      </c>
      <c r="BF225" t="str">
        <f>HYPERLINK("http://dx.doi.org/10.1016/j.bmc.2015.02.045","http://dx.doi.org/10.1016/j.bmc.2015.02.045")</f>
        <v>http://dx.doi.org/10.1016/j.bmc.2015.02.045</v>
      </c>
      <c r="BG225" t="s">
        <v>74</v>
      </c>
      <c r="BH225" t="s">
        <v>74</v>
      </c>
      <c r="BI225">
        <v>7</v>
      </c>
      <c r="BJ225" t="s">
        <v>4752</v>
      </c>
      <c r="BK225" t="s">
        <v>100</v>
      </c>
      <c r="BL225" t="s">
        <v>4753</v>
      </c>
      <c r="BM225" t="s">
        <v>4754</v>
      </c>
      <c r="BN225">
        <v>25773015</v>
      </c>
      <c r="BO225" t="s">
        <v>74</v>
      </c>
      <c r="BP225" t="s">
        <v>74</v>
      </c>
      <c r="BQ225" t="s">
        <v>74</v>
      </c>
      <c r="BR225" t="s">
        <v>104</v>
      </c>
      <c r="BS225" t="s">
        <v>4755</v>
      </c>
      <c r="BT225" t="str">
        <f>HYPERLINK("https%3A%2F%2Fwww.webofscience.com%2Fwos%2Fwoscc%2Ffull-record%2FWOS:000351852400006","View Full Record in Web of Science")</f>
        <v>View Full Record in Web of Science</v>
      </c>
    </row>
    <row r="226" spans="1:72" x14ac:dyDescent="0.15">
      <c r="A226" t="s">
        <v>72</v>
      </c>
      <c r="B226" t="s">
        <v>4756</v>
      </c>
      <c r="C226" t="s">
        <v>74</v>
      </c>
      <c r="D226" t="s">
        <v>74</v>
      </c>
      <c r="E226" t="s">
        <v>74</v>
      </c>
      <c r="F226" t="s">
        <v>4757</v>
      </c>
      <c r="G226" t="s">
        <v>74</v>
      </c>
      <c r="H226" t="s">
        <v>74</v>
      </c>
      <c r="I226" t="s">
        <v>4758</v>
      </c>
      <c r="J226" t="s">
        <v>4759</v>
      </c>
      <c r="K226" t="s">
        <v>74</v>
      </c>
      <c r="L226" t="s">
        <v>74</v>
      </c>
      <c r="M226" t="s">
        <v>78</v>
      </c>
      <c r="N226" t="s">
        <v>79</v>
      </c>
      <c r="O226" t="s">
        <v>74</v>
      </c>
      <c r="P226" t="s">
        <v>74</v>
      </c>
      <c r="Q226" t="s">
        <v>74</v>
      </c>
      <c r="R226" t="s">
        <v>74</v>
      </c>
      <c r="S226" t="s">
        <v>74</v>
      </c>
      <c r="T226" t="s">
        <v>4760</v>
      </c>
      <c r="U226" t="s">
        <v>4761</v>
      </c>
      <c r="V226" t="s">
        <v>4762</v>
      </c>
      <c r="W226" t="s">
        <v>4763</v>
      </c>
      <c r="X226" t="s">
        <v>4764</v>
      </c>
      <c r="Y226" t="s">
        <v>4765</v>
      </c>
      <c r="Z226" t="s">
        <v>4766</v>
      </c>
      <c r="AA226" t="s">
        <v>4767</v>
      </c>
      <c r="AB226" t="s">
        <v>4768</v>
      </c>
      <c r="AC226" t="s">
        <v>4769</v>
      </c>
      <c r="AD226" t="s">
        <v>4770</v>
      </c>
      <c r="AE226" t="s">
        <v>4771</v>
      </c>
      <c r="AF226" t="s">
        <v>74</v>
      </c>
      <c r="AG226">
        <v>65</v>
      </c>
      <c r="AH226">
        <v>39</v>
      </c>
      <c r="AI226">
        <v>39</v>
      </c>
      <c r="AJ226">
        <v>0</v>
      </c>
      <c r="AK226">
        <v>58</v>
      </c>
      <c r="AL226" t="s">
        <v>1039</v>
      </c>
      <c r="AM226" t="s">
        <v>816</v>
      </c>
      <c r="AN226" t="s">
        <v>1040</v>
      </c>
      <c r="AO226" t="s">
        <v>4772</v>
      </c>
      <c r="AP226" t="s">
        <v>4773</v>
      </c>
      <c r="AQ226" t="s">
        <v>74</v>
      </c>
      <c r="AR226" t="s">
        <v>4774</v>
      </c>
      <c r="AS226" t="s">
        <v>4775</v>
      </c>
      <c r="AT226" t="s">
        <v>4686</v>
      </c>
      <c r="AU226">
        <v>2015</v>
      </c>
      <c r="AV226">
        <v>342</v>
      </c>
      <c r="AW226" t="s">
        <v>74</v>
      </c>
      <c r="AX226" t="s">
        <v>74</v>
      </c>
      <c r="AY226" t="s">
        <v>74</v>
      </c>
      <c r="AZ226" t="s">
        <v>74</v>
      </c>
      <c r="BA226" t="s">
        <v>74</v>
      </c>
      <c r="BB226">
        <v>112</v>
      </c>
      <c r="BC226">
        <v>121</v>
      </c>
      <c r="BD226" t="s">
        <v>74</v>
      </c>
      <c r="BE226" t="s">
        <v>4776</v>
      </c>
      <c r="BF226" t="str">
        <f>HYPERLINK("http://dx.doi.org/10.1016/j.foreco.2015.01.018","http://dx.doi.org/10.1016/j.foreco.2015.01.018")</f>
        <v>http://dx.doi.org/10.1016/j.foreco.2015.01.018</v>
      </c>
      <c r="BG226" t="s">
        <v>74</v>
      </c>
      <c r="BH226" t="s">
        <v>74</v>
      </c>
      <c r="BI226">
        <v>10</v>
      </c>
      <c r="BJ226" t="s">
        <v>4777</v>
      </c>
      <c r="BK226" t="s">
        <v>100</v>
      </c>
      <c r="BL226" t="s">
        <v>4777</v>
      </c>
      <c r="BM226" t="s">
        <v>4778</v>
      </c>
      <c r="BN226" t="s">
        <v>74</v>
      </c>
      <c r="BO226" t="s">
        <v>74</v>
      </c>
      <c r="BP226" t="s">
        <v>74</v>
      </c>
      <c r="BQ226" t="s">
        <v>74</v>
      </c>
      <c r="BR226" t="s">
        <v>104</v>
      </c>
      <c r="BS226" t="s">
        <v>4779</v>
      </c>
      <c r="BT226" t="str">
        <f>HYPERLINK("https%3A%2F%2Fwww.webofscience.com%2Fwos%2Fwoscc%2Ffull-record%2FWOS:000350934800013","View Full Record in Web of Science")</f>
        <v>View Full Record in Web of Science</v>
      </c>
    </row>
    <row r="227" spans="1:72" x14ac:dyDescent="0.15">
      <c r="A227" t="s">
        <v>72</v>
      </c>
      <c r="B227" t="s">
        <v>4780</v>
      </c>
      <c r="C227" t="s">
        <v>74</v>
      </c>
      <c r="D227" t="s">
        <v>74</v>
      </c>
      <c r="E227" t="s">
        <v>74</v>
      </c>
      <c r="F227" t="s">
        <v>4781</v>
      </c>
      <c r="G227" t="s">
        <v>74</v>
      </c>
      <c r="H227" t="s">
        <v>74</v>
      </c>
      <c r="I227" t="s">
        <v>4782</v>
      </c>
      <c r="J227" t="s">
        <v>774</v>
      </c>
      <c r="K227" t="s">
        <v>74</v>
      </c>
      <c r="L227" t="s">
        <v>74</v>
      </c>
      <c r="M227" t="s">
        <v>78</v>
      </c>
      <c r="N227" t="s">
        <v>1291</v>
      </c>
      <c r="O227" t="s">
        <v>74</v>
      </c>
      <c r="P227" t="s">
        <v>74</v>
      </c>
      <c r="Q227" t="s">
        <v>74</v>
      </c>
      <c r="R227" t="s">
        <v>74</v>
      </c>
      <c r="S227" t="s">
        <v>74</v>
      </c>
      <c r="T227" t="s">
        <v>4783</v>
      </c>
      <c r="U227" t="s">
        <v>4784</v>
      </c>
      <c r="V227" t="s">
        <v>4785</v>
      </c>
      <c r="W227" t="s">
        <v>4786</v>
      </c>
      <c r="X227" t="s">
        <v>4787</v>
      </c>
      <c r="Y227" t="s">
        <v>4788</v>
      </c>
      <c r="Z227" t="s">
        <v>4789</v>
      </c>
      <c r="AA227" t="s">
        <v>4790</v>
      </c>
      <c r="AB227" t="s">
        <v>4791</v>
      </c>
      <c r="AC227" t="s">
        <v>4792</v>
      </c>
      <c r="AD227" t="s">
        <v>4793</v>
      </c>
      <c r="AE227" t="s">
        <v>4794</v>
      </c>
      <c r="AF227" t="s">
        <v>74</v>
      </c>
      <c r="AG227">
        <v>140</v>
      </c>
      <c r="AH227">
        <v>58</v>
      </c>
      <c r="AI227">
        <v>63</v>
      </c>
      <c r="AJ227">
        <v>5</v>
      </c>
      <c r="AK227">
        <v>135</v>
      </c>
      <c r="AL227" t="s">
        <v>786</v>
      </c>
      <c r="AM227" t="s">
        <v>787</v>
      </c>
      <c r="AN227" t="s">
        <v>788</v>
      </c>
      <c r="AO227" t="s">
        <v>789</v>
      </c>
      <c r="AP227" t="s">
        <v>74</v>
      </c>
      <c r="AQ227" t="s">
        <v>74</v>
      </c>
      <c r="AR227" t="s">
        <v>791</v>
      </c>
      <c r="AS227" t="s">
        <v>792</v>
      </c>
      <c r="AT227" t="s">
        <v>4686</v>
      </c>
      <c r="AU227">
        <v>2015</v>
      </c>
      <c r="AV227">
        <v>114</v>
      </c>
      <c r="AW227" t="s">
        <v>74</v>
      </c>
      <c r="AX227" t="s">
        <v>74</v>
      </c>
      <c r="AY227" t="s">
        <v>74</v>
      </c>
      <c r="AZ227" t="s">
        <v>74</v>
      </c>
      <c r="BA227" t="s">
        <v>74</v>
      </c>
      <c r="BB227">
        <v>18</v>
      </c>
      <c r="BC227">
        <v>32</v>
      </c>
      <c r="BD227" t="s">
        <v>74</v>
      </c>
      <c r="BE227" t="s">
        <v>4795</v>
      </c>
      <c r="BF227" t="str">
        <f>HYPERLINK("http://dx.doi.org/10.1016/j.quascirev.2015.01.031","http://dx.doi.org/10.1016/j.quascirev.2015.01.031")</f>
        <v>http://dx.doi.org/10.1016/j.quascirev.2015.01.031</v>
      </c>
      <c r="BG227" t="s">
        <v>74</v>
      </c>
      <c r="BH227" t="s">
        <v>74</v>
      </c>
      <c r="BI227">
        <v>15</v>
      </c>
      <c r="BJ227" t="s">
        <v>795</v>
      </c>
      <c r="BK227" t="s">
        <v>100</v>
      </c>
      <c r="BL227" t="s">
        <v>796</v>
      </c>
      <c r="BM227" t="s">
        <v>4796</v>
      </c>
      <c r="BN227" t="s">
        <v>74</v>
      </c>
      <c r="BO227" t="s">
        <v>248</v>
      </c>
      <c r="BP227" t="s">
        <v>74</v>
      </c>
      <c r="BQ227" t="s">
        <v>74</v>
      </c>
      <c r="BR227" t="s">
        <v>104</v>
      </c>
      <c r="BS227" t="s">
        <v>4797</v>
      </c>
      <c r="BT227" t="str">
        <f>HYPERLINK("https%3A%2F%2Fwww.webofscience.com%2Fwos%2Fwoscc%2Ffull-record%2FWOS:000353090000002","View Full Record in Web of Science")</f>
        <v>View Full Record in Web of Science</v>
      </c>
    </row>
    <row r="228" spans="1:72" x14ac:dyDescent="0.15">
      <c r="A228" t="s">
        <v>72</v>
      </c>
      <c r="B228" t="s">
        <v>4798</v>
      </c>
      <c r="C228" t="s">
        <v>74</v>
      </c>
      <c r="D228" t="s">
        <v>74</v>
      </c>
      <c r="E228" t="s">
        <v>74</v>
      </c>
      <c r="F228" t="s">
        <v>4799</v>
      </c>
      <c r="G228" t="s">
        <v>74</v>
      </c>
      <c r="H228" t="s">
        <v>74</v>
      </c>
      <c r="I228" t="s">
        <v>4800</v>
      </c>
      <c r="J228" t="s">
        <v>4801</v>
      </c>
      <c r="K228" t="s">
        <v>74</v>
      </c>
      <c r="L228" t="s">
        <v>74</v>
      </c>
      <c r="M228" t="s">
        <v>78</v>
      </c>
      <c r="N228" t="s">
        <v>79</v>
      </c>
      <c r="O228" t="s">
        <v>74</v>
      </c>
      <c r="P228" t="s">
        <v>74</v>
      </c>
      <c r="Q228" t="s">
        <v>74</v>
      </c>
      <c r="R228" t="s">
        <v>74</v>
      </c>
      <c r="S228" t="s">
        <v>74</v>
      </c>
      <c r="T228" t="s">
        <v>4802</v>
      </c>
      <c r="U228" t="s">
        <v>4803</v>
      </c>
      <c r="V228" t="s">
        <v>4804</v>
      </c>
      <c r="W228" t="s">
        <v>4805</v>
      </c>
      <c r="X228" t="s">
        <v>4806</v>
      </c>
      <c r="Y228" t="s">
        <v>4807</v>
      </c>
      <c r="Z228" t="s">
        <v>4808</v>
      </c>
      <c r="AA228" t="s">
        <v>4809</v>
      </c>
      <c r="AB228" t="s">
        <v>74</v>
      </c>
      <c r="AC228" t="s">
        <v>4810</v>
      </c>
      <c r="AD228" t="s">
        <v>4811</v>
      </c>
      <c r="AE228" t="s">
        <v>4812</v>
      </c>
      <c r="AF228" t="s">
        <v>74</v>
      </c>
      <c r="AG228">
        <v>20</v>
      </c>
      <c r="AH228">
        <v>2</v>
      </c>
      <c r="AI228">
        <v>2</v>
      </c>
      <c r="AJ228">
        <v>0</v>
      </c>
      <c r="AK228">
        <v>13</v>
      </c>
      <c r="AL228" t="s">
        <v>4813</v>
      </c>
      <c r="AM228" t="s">
        <v>477</v>
      </c>
      <c r="AN228" t="s">
        <v>4814</v>
      </c>
      <c r="AO228" t="s">
        <v>4815</v>
      </c>
      <c r="AP228" t="s">
        <v>4816</v>
      </c>
      <c r="AQ228" t="s">
        <v>74</v>
      </c>
      <c r="AR228" t="s">
        <v>4817</v>
      </c>
      <c r="AS228" t="s">
        <v>4818</v>
      </c>
      <c r="AT228" t="s">
        <v>4686</v>
      </c>
      <c r="AU228">
        <v>2015</v>
      </c>
      <c r="AV228">
        <v>628</v>
      </c>
      <c r="AW228" t="s">
        <v>74</v>
      </c>
      <c r="AX228" t="s">
        <v>74</v>
      </c>
      <c r="AY228" t="s">
        <v>74</v>
      </c>
      <c r="AZ228" t="s">
        <v>74</v>
      </c>
      <c r="BA228" t="s">
        <v>74</v>
      </c>
      <c r="BB228">
        <v>97</v>
      </c>
      <c r="BC228">
        <v>101</v>
      </c>
      <c r="BD228" t="s">
        <v>74</v>
      </c>
      <c r="BE228" t="s">
        <v>4819</v>
      </c>
      <c r="BF228" t="str">
        <f>HYPERLINK("http://dx.doi.org/10.1016/j.jallcom.2014.11.215","http://dx.doi.org/10.1016/j.jallcom.2014.11.215")</f>
        <v>http://dx.doi.org/10.1016/j.jallcom.2014.11.215</v>
      </c>
      <c r="BG228" t="s">
        <v>74</v>
      </c>
      <c r="BH228" t="s">
        <v>74</v>
      </c>
      <c r="BI228">
        <v>5</v>
      </c>
      <c r="BJ228" t="s">
        <v>4820</v>
      </c>
      <c r="BK228" t="s">
        <v>100</v>
      </c>
      <c r="BL228" t="s">
        <v>4821</v>
      </c>
      <c r="BM228" t="s">
        <v>4822</v>
      </c>
      <c r="BN228" t="s">
        <v>74</v>
      </c>
      <c r="BO228" t="s">
        <v>74</v>
      </c>
      <c r="BP228" t="s">
        <v>74</v>
      </c>
      <c r="BQ228" t="s">
        <v>74</v>
      </c>
      <c r="BR228" t="s">
        <v>104</v>
      </c>
      <c r="BS228" t="s">
        <v>4823</v>
      </c>
      <c r="BT228" t="str">
        <f>HYPERLINK("https%3A%2F%2Fwww.webofscience.com%2Fwos%2Fwoscc%2Ffull-record%2FWOS:000349084100015","View Full Record in Web of Science")</f>
        <v>View Full Record in Web of Science</v>
      </c>
    </row>
    <row r="229" spans="1:72" x14ac:dyDescent="0.15">
      <c r="A229" t="s">
        <v>72</v>
      </c>
      <c r="B229" t="s">
        <v>4824</v>
      </c>
      <c r="C229" t="s">
        <v>74</v>
      </c>
      <c r="D229" t="s">
        <v>74</v>
      </c>
      <c r="E229" t="s">
        <v>74</v>
      </c>
      <c r="F229" t="s">
        <v>4825</v>
      </c>
      <c r="G229" t="s">
        <v>74</v>
      </c>
      <c r="H229" t="s">
        <v>74</v>
      </c>
      <c r="I229" t="s">
        <v>4826</v>
      </c>
      <c r="J229" t="s">
        <v>936</v>
      </c>
      <c r="K229" t="s">
        <v>74</v>
      </c>
      <c r="L229" t="s">
        <v>74</v>
      </c>
      <c r="M229" t="s">
        <v>78</v>
      </c>
      <c r="N229" t="s">
        <v>79</v>
      </c>
      <c r="O229" t="s">
        <v>74</v>
      </c>
      <c r="P229" t="s">
        <v>74</v>
      </c>
      <c r="Q229" t="s">
        <v>74</v>
      </c>
      <c r="R229" t="s">
        <v>74</v>
      </c>
      <c r="S229" t="s">
        <v>74</v>
      </c>
      <c r="T229" t="s">
        <v>74</v>
      </c>
      <c r="U229" t="s">
        <v>4827</v>
      </c>
      <c r="V229" t="s">
        <v>4828</v>
      </c>
      <c r="W229" t="s">
        <v>4829</v>
      </c>
      <c r="X229" t="s">
        <v>4830</v>
      </c>
      <c r="Y229" t="s">
        <v>4831</v>
      </c>
      <c r="Z229" t="s">
        <v>4832</v>
      </c>
      <c r="AA229" t="s">
        <v>4833</v>
      </c>
      <c r="AB229" t="s">
        <v>4834</v>
      </c>
      <c r="AC229" t="s">
        <v>4835</v>
      </c>
      <c r="AD229" t="s">
        <v>4836</v>
      </c>
      <c r="AE229" t="s">
        <v>4837</v>
      </c>
      <c r="AF229" t="s">
        <v>74</v>
      </c>
      <c r="AG229">
        <v>51</v>
      </c>
      <c r="AH229">
        <v>24</v>
      </c>
      <c r="AI229">
        <v>28</v>
      </c>
      <c r="AJ229">
        <v>1</v>
      </c>
      <c r="AK229">
        <v>33</v>
      </c>
      <c r="AL229" t="s">
        <v>946</v>
      </c>
      <c r="AM229" t="s">
        <v>947</v>
      </c>
      <c r="AN229" t="s">
        <v>948</v>
      </c>
      <c r="AO229" t="s">
        <v>949</v>
      </c>
      <c r="AP229" t="s">
        <v>74</v>
      </c>
      <c r="AQ229" t="s">
        <v>74</v>
      </c>
      <c r="AR229" t="s">
        <v>936</v>
      </c>
      <c r="AS229" t="s">
        <v>950</v>
      </c>
      <c r="AT229" t="s">
        <v>4838</v>
      </c>
      <c r="AU229">
        <v>2015</v>
      </c>
      <c r="AV229">
        <v>10</v>
      </c>
      <c r="AW229">
        <v>4</v>
      </c>
      <c r="AX229" t="s">
        <v>74</v>
      </c>
      <c r="AY229" t="s">
        <v>74</v>
      </c>
      <c r="AZ229" t="s">
        <v>74</v>
      </c>
      <c r="BA229" t="s">
        <v>74</v>
      </c>
      <c r="BB229" t="s">
        <v>74</v>
      </c>
      <c r="BC229" t="s">
        <v>74</v>
      </c>
      <c r="BD229" t="s">
        <v>4839</v>
      </c>
      <c r="BE229" t="s">
        <v>4840</v>
      </c>
      <c r="BF229" t="str">
        <f>HYPERLINK("http://dx.doi.org/10.1371/journal.pone.0123425","http://dx.doi.org/10.1371/journal.pone.0123425")</f>
        <v>http://dx.doi.org/10.1371/journal.pone.0123425</v>
      </c>
      <c r="BG229" t="s">
        <v>74</v>
      </c>
      <c r="BH229" t="s">
        <v>74</v>
      </c>
      <c r="BI229">
        <v>23</v>
      </c>
      <c r="BJ229" t="s">
        <v>429</v>
      </c>
      <c r="BK229" t="s">
        <v>100</v>
      </c>
      <c r="BL229" t="s">
        <v>430</v>
      </c>
      <c r="BM229" t="s">
        <v>4841</v>
      </c>
      <c r="BN229">
        <v>25875205</v>
      </c>
      <c r="BO229" t="s">
        <v>1685</v>
      </c>
      <c r="BP229" t="s">
        <v>74</v>
      </c>
      <c r="BQ229" t="s">
        <v>74</v>
      </c>
      <c r="BR229" t="s">
        <v>104</v>
      </c>
      <c r="BS229" t="s">
        <v>4842</v>
      </c>
      <c r="BT229" t="str">
        <f>HYPERLINK("https%3A%2F%2Fwww.webofscience.com%2Fwos%2Fwoscc%2Ffull-record%2FWOS:000353014700031","View Full Record in Web of Science")</f>
        <v>View Full Record in Web of Science</v>
      </c>
    </row>
    <row r="230" spans="1:72" x14ac:dyDescent="0.15">
      <c r="A230" t="s">
        <v>72</v>
      </c>
      <c r="B230" t="s">
        <v>4843</v>
      </c>
      <c r="C230" t="s">
        <v>74</v>
      </c>
      <c r="D230" t="s">
        <v>74</v>
      </c>
      <c r="E230" t="s">
        <v>74</v>
      </c>
      <c r="F230" t="s">
        <v>4844</v>
      </c>
      <c r="G230" t="s">
        <v>74</v>
      </c>
      <c r="H230" t="s">
        <v>74</v>
      </c>
      <c r="I230" t="s">
        <v>4845</v>
      </c>
      <c r="J230" t="s">
        <v>1276</v>
      </c>
      <c r="K230" t="s">
        <v>74</v>
      </c>
      <c r="L230" t="s">
        <v>74</v>
      </c>
      <c r="M230" t="s">
        <v>78</v>
      </c>
      <c r="N230" t="s">
        <v>1277</v>
      </c>
      <c r="O230" t="s">
        <v>74</v>
      </c>
      <c r="P230" t="s">
        <v>74</v>
      </c>
      <c r="Q230" t="s">
        <v>74</v>
      </c>
      <c r="R230" t="s">
        <v>74</v>
      </c>
      <c r="S230" t="s">
        <v>74</v>
      </c>
      <c r="T230" t="s">
        <v>74</v>
      </c>
      <c r="U230" t="s">
        <v>74</v>
      </c>
      <c r="V230" t="s">
        <v>74</v>
      </c>
      <c r="W230" t="s">
        <v>74</v>
      </c>
      <c r="X230" t="s">
        <v>74</v>
      </c>
      <c r="Y230" t="s">
        <v>74</v>
      </c>
      <c r="Z230" t="s">
        <v>74</v>
      </c>
      <c r="AA230" t="s">
        <v>74</v>
      </c>
      <c r="AB230" t="s">
        <v>74</v>
      </c>
      <c r="AC230" t="s">
        <v>74</v>
      </c>
      <c r="AD230" t="s">
        <v>74</v>
      </c>
      <c r="AE230" t="s">
        <v>74</v>
      </c>
      <c r="AF230" t="s">
        <v>74</v>
      </c>
      <c r="AG230">
        <v>0</v>
      </c>
      <c r="AH230">
        <v>0</v>
      </c>
      <c r="AI230">
        <v>0</v>
      </c>
      <c r="AJ230">
        <v>0</v>
      </c>
      <c r="AK230">
        <v>3</v>
      </c>
      <c r="AL230" t="s">
        <v>1278</v>
      </c>
      <c r="AM230" t="s">
        <v>1279</v>
      </c>
      <c r="AN230" t="s">
        <v>1280</v>
      </c>
      <c r="AO230" t="s">
        <v>1281</v>
      </c>
      <c r="AP230" t="s">
        <v>74</v>
      </c>
      <c r="AQ230" t="s">
        <v>74</v>
      </c>
      <c r="AR230" t="s">
        <v>1282</v>
      </c>
      <c r="AS230" t="s">
        <v>1283</v>
      </c>
      <c r="AT230" t="s">
        <v>4846</v>
      </c>
      <c r="AU230">
        <v>2015</v>
      </c>
      <c r="AV230">
        <v>226</v>
      </c>
      <c r="AW230">
        <v>3016</v>
      </c>
      <c r="AX230" t="s">
        <v>74</v>
      </c>
      <c r="AY230" t="s">
        <v>74</v>
      </c>
      <c r="AZ230" t="s">
        <v>74</v>
      </c>
      <c r="BA230" t="s">
        <v>74</v>
      </c>
      <c r="BB230">
        <v>14</v>
      </c>
      <c r="BC230">
        <v>14</v>
      </c>
      <c r="BD230" t="s">
        <v>74</v>
      </c>
      <c r="BE230" t="s">
        <v>74</v>
      </c>
      <c r="BF230" t="s">
        <v>74</v>
      </c>
      <c r="BG230" t="s">
        <v>74</v>
      </c>
      <c r="BH230" t="s">
        <v>74</v>
      </c>
      <c r="BI230">
        <v>1</v>
      </c>
      <c r="BJ230" t="s">
        <v>429</v>
      </c>
      <c r="BK230" t="s">
        <v>100</v>
      </c>
      <c r="BL230" t="s">
        <v>430</v>
      </c>
      <c r="BM230" t="s">
        <v>4847</v>
      </c>
      <c r="BN230" t="s">
        <v>74</v>
      </c>
      <c r="BO230" t="s">
        <v>74</v>
      </c>
      <c r="BP230" t="s">
        <v>74</v>
      </c>
      <c r="BQ230" t="s">
        <v>74</v>
      </c>
      <c r="BR230" t="s">
        <v>104</v>
      </c>
      <c r="BS230" t="s">
        <v>4848</v>
      </c>
      <c r="BT230" t="str">
        <f>HYPERLINK("https%3A%2F%2Fwww.webofscience.com%2Fwos%2Fwoscc%2Ffull-record%2FWOS:000353010500008","View Full Record in Web of Science")</f>
        <v>View Full Record in Web of Science</v>
      </c>
    </row>
    <row r="231" spans="1:72" x14ac:dyDescent="0.15">
      <c r="A231" t="s">
        <v>72</v>
      </c>
      <c r="B231" t="s">
        <v>4849</v>
      </c>
      <c r="C231" t="s">
        <v>74</v>
      </c>
      <c r="D231" t="s">
        <v>74</v>
      </c>
      <c r="E231" t="s">
        <v>74</v>
      </c>
      <c r="F231" t="s">
        <v>4850</v>
      </c>
      <c r="G231" t="s">
        <v>74</v>
      </c>
      <c r="H231" t="s">
        <v>74</v>
      </c>
      <c r="I231" t="s">
        <v>4851</v>
      </c>
      <c r="J231" t="s">
        <v>1072</v>
      </c>
      <c r="K231" t="s">
        <v>74</v>
      </c>
      <c r="L231" t="s">
        <v>74</v>
      </c>
      <c r="M231" t="s">
        <v>78</v>
      </c>
      <c r="N231" t="s">
        <v>79</v>
      </c>
      <c r="O231" t="s">
        <v>74</v>
      </c>
      <c r="P231" t="s">
        <v>74</v>
      </c>
      <c r="Q231" t="s">
        <v>74</v>
      </c>
      <c r="R231" t="s">
        <v>74</v>
      </c>
      <c r="S231" t="s">
        <v>74</v>
      </c>
      <c r="T231" t="s">
        <v>4852</v>
      </c>
      <c r="U231" t="s">
        <v>4853</v>
      </c>
      <c r="V231" t="s">
        <v>4854</v>
      </c>
      <c r="W231" t="s">
        <v>4855</v>
      </c>
      <c r="X231" t="s">
        <v>4856</v>
      </c>
      <c r="Y231" t="s">
        <v>4857</v>
      </c>
      <c r="Z231" t="s">
        <v>4858</v>
      </c>
      <c r="AA231" t="s">
        <v>74</v>
      </c>
      <c r="AB231" t="s">
        <v>74</v>
      </c>
      <c r="AC231" t="s">
        <v>4859</v>
      </c>
      <c r="AD231" t="s">
        <v>4860</v>
      </c>
      <c r="AE231" t="s">
        <v>4861</v>
      </c>
      <c r="AF231" t="s">
        <v>74</v>
      </c>
      <c r="AG231">
        <v>56</v>
      </c>
      <c r="AH231">
        <v>6</v>
      </c>
      <c r="AI231">
        <v>9</v>
      </c>
      <c r="AJ231">
        <v>0</v>
      </c>
      <c r="AK231">
        <v>17</v>
      </c>
      <c r="AL231" t="s">
        <v>1085</v>
      </c>
      <c r="AM231" t="s">
        <v>1086</v>
      </c>
      <c r="AN231" t="s">
        <v>1087</v>
      </c>
      <c r="AO231" t="s">
        <v>1088</v>
      </c>
      <c r="AP231" t="s">
        <v>1089</v>
      </c>
      <c r="AQ231" t="s">
        <v>74</v>
      </c>
      <c r="AR231" t="s">
        <v>1090</v>
      </c>
      <c r="AS231" t="s">
        <v>1091</v>
      </c>
      <c r="AT231" t="s">
        <v>4862</v>
      </c>
      <c r="AU231">
        <v>2015</v>
      </c>
      <c r="AV231">
        <v>525</v>
      </c>
      <c r="AW231" t="s">
        <v>74</v>
      </c>
      <c r="AX231" t="s">
        <v>74</v>
      </c>
      <c r="AY231" t="s">
        <v>74</v>
      </c>
      <c r="AZ231" t="s">
        <v>74</v>
      </c>
      <c r="BA231" t="s">
        <v>74</v>
      </c>
      <c r="BB231">
        <v>117</v>
      </c>
      <c r="BC231">
        <v>126</v>
      </c>
      <c r="BD231" t="s">
        <v>74</v>
      </c>
      <c r="BE231" t="s">
        <v>4863</v>
      </c>
      <c r="BF231" t="str">
        <f>HYPERLINK("http://dx.doi.org/10.3354/meps11215","http://dx.doi.org/10.3354/meps11215")</f>
        <v>http://dx.doi.org/10.3354/meps11215</v>
      </c>
      <c r="BG231" t="s">
        <v>74</v>
      </c>
      <c r="BH231" t="s">
        <v>74</v>
      </c>
      <c r="BI231">
        <v>10</v>
      </c>
      <c r="BJ231" t="s">
        <v>1094</v>
      </c>
      <c r="BK231" t="s">
        <v>100</v>
      </c>
      <c r="BL231" t="s">
        <v>1095</v>
      </c>
      <c r="BM231" t="s">
        <v>4864</v>
      </c>
      <c r="BN231" t="s">
        <v>74</v>
      </c>
      <c r="BO231" t="s">
        <v>156</v>
      </c>
      <c r="BP231" t="s">
        <v>74</v>
      </c>
      <c r="BQ231" t="s">
        <v>74</v>
      </c>
      <c r="BR231" t="s">
        <v>104</v>
      </c>
      <c r="BS231" t="s">
        <v>4865</v>
      </c>
      <c r="BT231" t="str">
        <f>HYPERLINK("https%3A%2F%2Fwww.webofscience.com%2Fwos%2Fwoscc%2Ffull-record%2FWOS:000354393700010","View Full Record in Web of Science")</f>
        <v>View Full Record in Web of Science</v>
      </c>
    </row>
    <row r="232" spans="1:72" x14ac:dyDescent="0.15">
      <c r="A232" t="s">
        <v>72</v>
      </c>
      <c r="B232" t="s">
        <v>4866</v>
      </c>
      <c r="C232" t="s">
        <v>74</v>
      </c>
      <c r="D232" t="s">
        <v>74</v>
      </c>
      <c r="E232" t="s">
        <v>74</v>
      </c>
      <c r="F232" t="s">
        <v>4867</v>
      </c>
      <c r="G232" t="s">
        <v>74</v>
      </c>
      <c r="H232" t="s">
        <v>74</v>
      </c>
      <c r="I232" t="s">
        <v>4868</v>
      </c>
      <c r="J232" t="s">
        <v>1072</v>
      </c>
      <c r="K232" t="s">
        <v>74</v>
      </c>
      <c r="L232" t="s">
        <v>74</v>
      </c>
      <c r="M232" t="s">
        <v>78</v>
      </c>
      <c r="N232" t="s">
        <v>79</v>
      </c>
      <c r="O232" t="s">
        <v>74</v>
      </c>
      <c r="P232" t="s">
        <v>74</v>
      </c>
      <c r="Q232" t="s">
        <v>74</v>
      </c>
      <c r="R232" t="s">
        <v>74</v>
      </c>
      <c r="S232" t="s">
        <v>74</v>
      </c>
      <c r="T232" t="s">
        <v>4869</v>
      </c>
      <c r="U232" t="s">
        <v>4870</v>
      </c>
      <c r="V232" t="s">
        <v>4871</v>
      </c>
      <c r="W232" t="s">
        <v>4872</v>
      </c>
      <c r="X232" t="s">
        <v>4873</v>
      </c>
      <c r="Y232" t="s">
        <v>4874</v>
      </c>
      <c r="Z232" t="s">
        <v>4875</v>
      </c>
      <c r="AA232" t="s">
        <v>4876</v>
      </c>
      <c r="AB232" t="s">
        <v>4877</v>
      </c>
      <c r="AC232" t="s">
        <v>4878</v>
      </c>
      <c r="AD232" t="s">
        <v>4879</v>
      </c>
      <c r="AE232" t="s">
        <v>4880</v>
      </c>
      <c r="AF232" t="s">
        <v>74</v>
      </c>
      <c r="AG232">
        <v>45</v>
      </c>
      <c r="AH232">
        <v>18</v>
      </c>
      <c r="AI232">
        <v>20</v>
      </c>
      <c r="AJ232">
        <v>1</v>
      </c>
      <c r="AK232">
        <v>29</v>
      </c>
      <c r="AL232" t="s">
        <v>1085</v>
      </c>
      <c r="AM232" t="s">
        <v>1086</v>
      </c>
      <c r="AN232" t="s">
        <v>1087</v>
      </c>
      <c r="AO232" t="s">
        <v>1088</v>
      </c>
      <c r="AP232" t="s">
        <v>1089</v>
      </c>
      <c r="AQ232" t="s">
        <v>74</v>
      </c>
      <c r="AR232" t="s">
        <v>1090</v>
      </c>
      <c r="AS232" t="s">
        <v>1091</v>
      </c>
      <c r="AT232" t="s">
        <v>4862</v>
      </c>
      <c r="AU232">
        <v>2015</v>
      </c>
      <c r="AV232">
        <v>525</v>
      </c>
      <c r="AW232" t="s">
        <v>74</v>
      </c>
      <c r="AX232" t="s">
        <v>74</v>
      </c>
      <c r="AY232" t="s">
        <v>74</v>
      </c>
      <c r="AZ232" t="s">
        <v>74</v>
      </c>
      <c r="BA232" t="s">
        <v>74</v>
      </c>
      <c r="BB232">
        <v>143</v>
      </c>
      <c r="BC232">
        <v>152</v>
      </c>
      <c r="BD232" t="s">
        <v>74</v>
      </c>
      <c r="BE232" t="s">
        <v>4881</v>
      </c>
      <c r="BF232" t="str">
        <f>HYPERLINK("http://dx.doi.org/10.3354/meps11237","http://dx.doi.org/10.3354/meps11237")</f>
        <v>http://dx.doi.org/10.3354/meps11237</v>
      </c>
      <c r="BG232" t="s">
        <v>74</v>
      </c>
      <c r="BH232" t="s">
        <v>74</v>
      </c>
      <c r="BI232">
        <v>10</v>
      </c>
      <c r="BJ232" t="s">
        <v>1094</v>
      </c>
      <c r="BK232" t="s">
        <v>100</v>
      </c>
      <c r="BL232" t="s">
        <v>1095</v>
      </c>
      <c r="BM232" t="s">
        <v>4864</v>
      </c>
      <c r="BN232" t="s">
        <v>74</v>
      </c>
      <c r="BO232" t="s">
        <v>156</v>
      </c>
      <c r="BP232" t="s">
        <v>74</v>
      </c>
      <c r="BQ232" t="s">
        <v>74</v>
      </c>
      <c r="BR232" t="s">
        <v>104</v>
      </c>
      <c r="BS232" t="s">
        <v>4882</v>
      </c>
      <c r="BT232" t="str">
        <f>HYPERLINK("https%3A%2F%2Fwww.webofscience.com%2Fwos%2Fwoscc%2Ffull-record%2FWOS:000354393700012","View Full Record in Web of Science")</f>
        <v>View Full Record in Web of Science</v>
      </c>
    </row>
    <row r="233" spans="1:72" x14ac:dyDescent="0.15">
      <c r="A233" t="s">
        <v>72</v>
      </c>
      <c r="B233" t="s">
        <v>4883</v>
      </c>
      <c r="C233" t="s">
        <v>74</v>
      </c>
      <c r="D233" t="s">
        <v>74</v>
      </c>
      <c r="E233" t="s">
        <v>74</v>
      </c>
      <c r="F233" t="s">
        <v>4884</v>
      </c>
      <c r="G233" t="s">
        <v>74</v>
      </c>
      <c r="H233" t="s">
        <v>74</v>
      </c>
      <c r="I233" t="s">
        <v>4885</v>
      </c>
      <c r="J233" t="s">
        <v>1072</v>
      </c>
      <c r="K233" t="s">
        <v>74</v>
      </c>
      <c r="L233" t="s">
        <v>74</v>
      </c>
      <c r="M233" t="s">
        <v>78</v>
      </c>
      <c r="N233" t="s">
        <v>79</v>
      </c>
      <c r="O233" t="s">
        <v>74</v>
      </c>
      <c r="P233" t="s">
        <v>74</v>
      </c>
      <c r="Q233" t="s">
        <v>74</v>
      </c>
      <c r="R233" t="s">
        <v>74</v>
      </c>
      <c r="S233" t="s">
        <v>74</v>
      </c>
      <c r="T233" t="s">
        <v>4886</v>
      </c>
      <c r="U233" t="s">
        <v>4887</v>
      </c>
      <c r="V233" t="s">
        <v>4888</v>
      </c>
      <c r="W233" t="s">
        <v>4889</v>
      </c>
      <c r="X233" t="s">
        <v>4890</v>
      </c>
      <c r="Y233" t="s">
        <v>4891</v>
      </c>
      <c r="Z233" t="s">
        <v>4892</v>
      </c>
      <c r="AA233" t="s">
        <v>4893</v>
      </c>
      <c r="AB233" t="s">
        <v>4894</v>
      </c>
      <c r="AC233" t="s">
        <v>4895</v>
      </c>
      <c r="AD233" t="s">
        <v>4896</v>
      </c>
      <c r="AE233" t="s">
        <v>4897</v>
      </c>
      <c r="AF233" t="s">
        <v>74</v>
      </c>
      <c r="AG233">
        <v>46</v>
      </c>
      <c r="AH233">
        <v>8</v>
      </c>
      <c r="AI233">
        <v>8</v>
      </c>
      <c r="AJ233">
        <v>1</v>
      </c>
      <c r="AK233">
        <v>42</v>
      </c>
      <c r="AL233" t="s">
        <v>1085</v>
      </c>
      <c r="AM233" t="s">
        <v>1086</v>
      </c>
      <c r="AN233" t="s">
        <v>1087</v>
      </c>
      <c r="AO233" t="s">
        <v>1088</v>
      </c>
      <c r="AP233" t="s">
        <v>1089</v>
      </c>
      <c r="AQ233" t="s">
        <v>74</v>
      </c>
      <c r="AR233" t="s">
        <v>1090</v>
      </c>
      <c r="AS233" t="s">
        <v>1091</v>
      </c>
      <c r="AT233" t="s">
        <v>4862</v>
      </c>
      <c r="AU233">
        <v>2015</v>
      </c>
      <c r="AV233">
        <v>525</v>
      </c>
      <c r="AW233" t="s">
        <v>74</v>
      </c>
      <c r="AX233" t="s">
        <v>74</v>
      </c>
      <c r="AY233" t="s">
        <v>74</v>
      </c>
      <c r="AZ233" t="s">
        <v>74</v>
      </c>
      <c r="BA233" t="s">
        <v>74</v>
      </c>
      <c r="BB233">
        <v>25</v>
      </c>
      <c r="BC233">
        <v>39</v>
      </c>
      <c r="BD233" t="s">
        <v>74</v>
      </c>
      <c r="BE233" t="s">
        <v>4898</v>
      </c>
      <c r="BF233" t="str">
        <f>HYPERLINK("http://dx.doi.org/10.3354/meps11229","http://dx.doi.org/10.3354/meps11229")</f>
        <v>http://dx.doi.org/10.3354/meps11229</v>
      </c>
      <c r="BG233" t="s">
        <v>74</v>
      </c>
      <c r="BH233" t="s">
        <v>74</v>
      </c>
      <c r="BI233">
        <v>15</v>
      </c>
      <c r="BJ233" t="s">
        <v>1094</v>
      </c>
      <c r="BK233" t="s">
        <v>100</v>
      </c>
      <c r="BL233" t="s">
        <v>1095</v>
      </c>
      <c r="BM233" t="s">
        <v>4864</v>
      </c>
      <c r="BN233" t="s">
        <v>74</v>
      </c>
      <c r="BO233" t="s">
        <v>156</v>
      </c>
      <c r="BP233" t="s">
        <v>74</v>
      </c>
      <c r="BQ233" t="s">
        <v>74</v>
      </c>
      <c r="BR233" t="s">
        <v>104</v>
      </c>
      <c r="BS233" t="s">
        <v>4899</v>
      </c>
      <c r="BT233" t="str">
        <f>HYPERLINK("https%3A%2F%2Fwww.webofscience.com%2Fwos%2Fwoscc%2Ffull-record%2FWOS:000354393700003","View Full Record in Web of Science")</f>
        <v>View Full Record in Web of Science</v>
      </c>
    </row>
    <row r="234" spans="1:72" x14ac:dyDescent="0.15">
      <c r="A234" t="s">
        <v>72</v>
      </c>
      <c r="B234" t="s">
        <v>4900</v>
      </c>
      <c r="C234" t="s">
        <v>74</v>
      </c>
      <c r="D234" t="s">
        <v>74</v>
      </c>
      <c r="E234" t="s">
        <v>74</v>
      </c>
      <c r="F234" t="s">
        <v>4901</v>
      </c>
      <c r="G234" t="s">
        <v>74</v>
      </c>
      <c r="H234" t="s">
        <v>74</v>
      </c>
      <c r="I234" t="s">
        <v>4902</v>
      </c>
      <c r="J234" t="s">
        <v>1072</v>
      </c>
      <c r="K234" t="s">
        <v>74</v>
      </c>
      <c r="L234" t="s">
        <v>74</v>
      </c>
      <c r="M234" t="s">
        <v>78</v>
      </c>
      <c r="N234" t="s">
        <v>79</v>
      </c>
      <c r="O234" t="s">
        <v>74</v>
      </c>
      <c r="P234" t="s">
        <v>74</v>
      </c>
      <c r="Q234" t="s">
        <v>74</v>
      </c>
      <c r="R234" t="s">
        <v>74</v>
      </c>
      <c r="S234" t="s">
        <v>74</v>
      </c>
      <c r="T234" t="s">
        <v>4903</v>
      </c>
      <c r="U234" t="s">
        <v>4904</v>
      </c>
      <c r="V234" t="s">
        <v>4905</v>
      </c>
      <c r="W234" t="s">
        <v>4906</v>
      </c>
      <c r="X234" t="s">
        <v>4907</v>
      </c>
      <c r="Y234" t="s">
        <v>4908</v>
      </c>
      <c r="Z234" t="s">
        <v>3597</v>
      </c>
      <c r="AA234" t="s">
        <v>4909</v>
      </c>
      <c r="AB234" t="s">
        <v>4910</v>
      </c>
      <c r="AC234" t="s">
        <v>4911</v>
      </c>
      <c r="AD234" t="s">
        <v>4912</v>
      </c>
      <c r="AE234" t="s">
        <v>4913</v>
      </c>
      <c r="AF234" t="s">
        <v>74</v>
      </c>
      <c r="AG234">
        <v>55</v>
      </c>
      <c r="AH234">
        <v>31</v>
      </c>
      <c r="AI234">
        <v>34</v>
      </c>
      <c r="AJ234">
        <v>0</v>
      </c>
      <c r="AK234">
        <v>37</v>
      </c>
      <c r="AL234" t="s">
        <v>1085</v>
      </c>
      <c r="AM234" t="s">
        <v>1086</v>
      </c>
      <c r="AN234" t="s">
        <v>1087</v>
      </c>
      <c r="AO234" t="s">
        <v>1088</v>
      </c>
      <c r="AP234" t="s">
        <v>1089</v>
      </c>
      <c r="AQ234" t="s">
        <v>74</v>
      </c>
      <c r="AR234" t="s">
        <v>1090</v>
      </c>
      <c r="AS234" t="s">
        <v>1091</v>
      </c>
      <c r="AT234" t="s">
        <v>4862</v>
      </c>
      <c r="AU234">
        <v>2015</v>
      </c>
      <c r="AV234">
        <v>525</v>
      </c>
      <c r="AW234" t="s">
        <v>74</v>
      </c>
      <c r="AX234" t="s">
        <v>74</v>
      </c>
      <c r="AY234" t="s">
        <v>74</v>
      </c>
      <c r="AZ234" t="s">
        <v>74</v>
      </c>
      <c r="BA234" t="s">
        <v>74</v>
      </c>
      <c r="BB234">
        <v>81</v>
      </c>
      <c r="BC234">
        <v>95</v>
      </c>
      <c r="BD234" t="s">
        <v>74</v>
      </c>
      <c r="BE234" t="s">
        <v>4914</v>
      </c>
      <c r="BF234" t="str">
        <f>HYPERLINK("http://dx.doi.org/10.3354/meps11190","http://dx.doi.org/10.3354/meps11190")</f>
        <v>http://dx.doi.org/10.3354/meps11190</v>
      </c>
      <c r="BG234" t="s">
        <v>74</v>
      </c>
      <c r="BH234" t="s">
        <v>74</v>
      </c>
      <c r="BI234">
        <v>15</v>
      </c>
      <c r="BJ234" t="s">
        <v>1094</v>
      </c>
      <c r="BK234" t="s">
        <v>100</v>
      </c>
      <c r="BL234" t="s">
        <v>1095</v>
      </c>
      <c r="BM234" t="s">
        <v>4864</v>
      </c>
      <c r="BN234" t="s">
        <v>74</v>
      </c>
      <c r="BO234" t="s">
        <v>156</v>
      </c>
      <c r="BP234" t="s">
        <v>74</v>
      </c>
      <c r="BQ234" t="s">
        <v>74</v>
      </c>
      <c r="BR234" t="s">
        <v>104</v>
      </c>
      <c r="BS234" t="s">
        <v>4915</v>
      </c>
      <c r="BT234" t="str">
        <f>HYPERLINK("https%3A%2F%2Fwww.webofscience.com%2Fwos%2Fwoscc%2Ffull-record%2FWOS:000354393700007","View Full Record in Web of Science")</f>
        <v>View Full Record in Web of Science</v>
      </c>
    </row>
    <row r="235" spans="1:72" x14ac:dyDescent="0.15">
      <c r="A235" t="s">
        <v>72</v>
      </c>
      <c r="B235" t="s">
        <v>4916</v>
      </c>
      <c r="C235" t="s">
        <v>74</v>
      </c>
      <c r="D235" t="s">
        <v>74</v>
      </c>
      <c r="E235" t="s">
        <v>74</v>
      </c>
      <c r="F235" t="s">
        <v>4917</v>
      </c>
      <c r="G235" t="s">
        <v>74</v>
      </c>
      <c r="H235" t="s">
        <v>74</v>
      </c>
      <c r="I235" t="s">
        <v>4918</v>
      </c>
      <c r="J235" t="s">
        <v>1072</v>
      </c>
      <c r="K235" t="s">
        <v>74</v>
      </c>
      <c r="L235" t="s">
        <v>74</v>
      </c>
      <c r="M235" t="s">
        <v>78</v>
      </c>
      <c r="N235" t="s">
        <v>79</v>
      </c>
      <c r="O235" t="s">
        <v>74</v>
      </c>
      <c r="P235" t="s">
        <v>74</v>
      </c>
      <c r="Q235" t="s">
        <v>74</v>
      </c>
      <c r="R235" t="s">
        <v>74</v>
      </c>
      <c r="S235" t="s">
        <v>74</v>
      </c>
      <c r="T235" t="s">
        <v>4919</v>
      </c>
      <c r="U235" t="s">
        <v>4920</v>
      </c>
      <c r="V235" t="s">
        <v>4921</v>
      </c>
      <c r="W235" t="s">
        <v>4922</v>
      </c>
      <c r="X235" t="s">
        <v>4923</v>
      </c>
      <c r="Y235" t="s">
        <v>4924</v>
      </c>
      <c r="Z235" t="s">
        <v>4925</v>
      </c>
      <c r="AA235" t="s">
        <v>74</v>
      </c>
      <c r="AB235" t="s">
        <v>4926</v>
      </c>
      <c r="AC235" t="s">
        <v>4927</v>
      </c>
      <c r="AD235" t="s">
        <v>4928</v>
      </c>
      <c r="AE235" t="s">
        <v>4929</v>
      </c>
      <c r="AF235" t="s">
        <v>74</v>
      </c>
      <c r="AG235">
        <v>56</v>
      </c>
      <c r="AH235">
        <v>16</v>
      </c>
      <c r="AI235">
        <v>20</v>
      </c>
      <c r="AJ235">
        <v>0</v>
      </c>
      <c r="AK235">
        <v>36</v>
      </c>
      <c r="AL235" t="s">
        <v>1085</v>
      </c>
      <c r="AM235" t="s">
        <v>1086</v>
      </c>
      <c r="AN235" t="s">
        <v>1087</v>
      </c>
      <c r="AO235" t="s">
        <v>1088</v>
      </c>
      <c r="AP235" t="s">
        <v>1089</v>
      </c>
      <c r="AQ235" t="s">
        <v>74</v>
      </c>
      <c r="AR235" t="s">
        <v>1090</v>
      </c>
      <c r="AS235" t="s">
        <v>1091</v>
      </c>
      <c r="AT235" t="s">
        <v>4862</v>
      </c>
      <c r="AU235">
        <v>2015</v>
      </c>
      <c r="AV235">
        <v>525</v>
      </c>
      <c r="AW235" t="s">
        <v>74</v>
      </c>
      <c r="AX235" t="s">
        <v>74</v>
      </c>
      <c r="AY235" t="s">
        <v>74</v>
      </c>
      <c r="AZ235" t="s">
        <v>74</v>
      </c>
      <c r="BA235" t="s">
        <v>74</v>
      </c>
      <c r="BB235">
        <v>229</v>
      </c>
      <c r="BC235">
        <v>243</v>
      </c>
      <c r="BD235" t="s">
        <v>74</v>
      </c>
      <c r="BE235" t="s">
        <v>4930</v>
      </c>
      <c r="BF235" t="str">
        <f>HYPERLINK("http://dx.doi.org/10.3354/meps11179","http://dx.doi.org/10.3354/meps11179")</f>
        <v>http://dx.doi.org/10.3354/meps11179</v>
      </c>
      <c r="BG235" t="s">
        <v>74</v>
      </c>
      <c r="BH235" t="s">
        <v>74</v>
      </c>
      <c r="BI235">
        <v>15</v>
      </c>
      <c r="BJ235" t="s">
        <v>1094</v>
      </c>
      <c r="BK235" t="s">
        <v>100</v>
      </c>
      <c r="BL235" t="s">
        <v>1095</v>
      </c>
      <c r="BM235" t="s">
        <v>4864</v>
      </c>
      <c r="BN235" t="s">
        <v>74</v>
      </c>
      <c r="BO235" t="s">
        <v>715</v>
      </c>
      <c r="BP235" t="s">
        <v>74</v>
      </c>
      <c r="BQ235" t="s">
        <v>74</v>
      </c>
      <c r="BR235" t="s">
        <v>104</v>
      </c>
      <c r="BS235" t="s">
        <v>4931</v>
      </c>
      <c r="BT235" t="str">
        <f>HYPERLINK("https%3A%2F%2Fwww.webofscience.com%2Fwos%2Fwoscc%2Ffull-record%2FWOS:000354393700018","View Full Record in Web of Science")</f>
        <v>View Full Record in Web of Science</v>
      </c>
    </row>
    <row r="236" spans="1:72" x14ac:dyDescent="0.15">
      <c r="A236" t="s">
        <v>72</v>
      </c>
      <c r="B236" t="s">
        <v>4932</v>
      </c>
      <c r="C236" t="s">
        <v>74</v>
      </c>
      <c r="D236" t="s">
        <v>74</v>
      </c>
      <c r="E236" t="s">
        <v>74</v>
      </c>
      <c r="F236" t="s">
        <v>4933</v>
      </c>
      <c r="G236" t="s">
        <v>74</v>
      </c>
      <c r="H236" t="s">
        <v>74</v>
      </c>
      <c r="I236" t="s">
        <v>4934</v>
      </c>
      <c r="J236" t="s">
        <v>413</v>
      </c>
      <c r="K236" t="s">
        <v>74</v>
      </c>
      <c r="L236" t="s">
        <v>74</v>
      </c>
      <c r="M236" t="s">
        <v>78</v>
      </c>
      <c r="N236" t="s">
        <v>79</v>
      </c>
      <c r="O236" t="s">
        <v>74</v>
      </c>
      <c r="P236" t="s">
        <v>74</v>
      </c>
      <c r="Q236" t="s">
        <v>74</v>
      </c>
      <c r="R236" t="s">
        <v>74</v>
      </c>
      <c r="S236" t="s">
        <v>74</v>
      </c>
      <c r="T236" t="s">
        <v>74</v>
      </c>
      <c r="U236" t="s">
        <v>4935</v>
      </c>
      <c r="V236" t="s">
        <v>4936</v>
      </c>
      <c r="W236" t="s">
        <v>4937</v>
      </c>
      <c r="X236" t="s">
        <v>4938</v>
      </c>
      <c r="Y236" t="s">
        <v>4939</v>
      </c>
      <c r="Z236" t="s">
        <v>4940</v>
      </c>
      <c r="AA236" t="s">
        <v>4941</v>
      </c>
      <c r="AB236" t="s">
        <v>4942</v>
      </c>
      <c r="AC236" t="s">
        <v>4943</v>
      </c>
      <c r="AD236" t="s">
        <v>4944</v>
      </c>
      <c r="AE236" t="s">
        <v>4945</v>
      </c>
      <c r="AF236" t="s">
        <v>74</v>
      </c>
      <c r="AG236">
        <v>59</v>
      </c>
      <c r="AH236">
        <v>64</v>
      </c>
      <c r="AI236">
        <v>73</v>
      </c>
      <c r="AJ236">
        <v>2</v>
      </c>
      <c r="AK236">
        <v>42</v>
      </c>
      <c r="AL236" t="s">
        <v>422</v>
      </c>
      <c r="AM236" t="s">
        <v>423</v>
      </c>
      <c r="AN236" t="s">
        <v>424</v>
      </c>
      <c r="AO236" t="s">
        <v>425</v>
      </c>
      <c r="AP236" t="s">
        <v>74</v>
      </c>
      <c r="AQ236" t="s">
        <v>74</v>
      </c>
      <c r="AR236" t="s">
        <v>426</v>
      </c>
      <c r="AS236" t="s">
        <v>427</v>
      </c>
      <c r="AT236" t="s">
        <v>4862</v>
      </c>
      <c r="AU236">
        <v>2015</v>
      </c>
      <c r="AV236">
        <v>5</v>
      </c>
      <c r="AW236" t="s">
        <v>74</v>
      </c>
      <c r="AX236" t="s">
        <v>74</v>
      </c>
      <c r="AY236" t="s">
        <v>74</v>
      </c>
      <c r="AZ236" t="s">
        <v>74</v>
      </c>
      <c r="BA236" t="s">
        <v>74</v>
      </c>
      <c r="BB236" t="s">
        <v>74</v>
      </c>
      <c r="BC236" t="s">
        <v>74</v>
      </c>
      <c r="BD236">
        <v>9638</v>
      </c>
      <c r="BE236" t="s">
        <v>4946</v>
      </c>
      <c r="BF236" t="str">
        <f>HYPERLINK("http://dx.doi.org/10.1038/srep09638","http://dx.doi.org/10.1038/srep09638")</f>
        <v>http://dx.doi.org/10.1038/srep09638</v>
      </c>
      <c r="BG236" t="s">
        <v>74</v>
      </c>
      <c r="BH236" t="s">
        <v>74</v>
      </c>
      <c r="BI236">
        <v>9</v>
      </c>
      <c r="BJ236" t="s">
        <v>429</v>
      </c>
      <c r="BK236" t="s">
        <v>100</v>
      </c>
      <c r="BL236" t="s">
        <v>430</v>
      </c>
      <c r="BM236" t="s">
        <v>4947</v>
      </c>
      <c r="BN236" t="s">
        <v>74</v>
      </c>
      <c r="BO236" t="s">
        <v>1067</v>
      </c>
      <c r="BP236" t="s">
        <v>74</v>
      </c>
      <c r="BQ236" t="s">
        <v>74</v>
      </c>
      <c r="BR236" t="s">
        <v>104</v>
      </c>
      <c r="BS236" t="s">
        <v>4948</v>
      </c>
      <c r="BT236" t="str">
        <f>HYPERLINK("https%3A%2F%2Fwww.webofscience.com%2Fwos%2Fwoscc%2Ffull-record%2FWOS:000352468500001","View Full Record in Web of Science")</f>
        <v>View Full Record in Web of Science</v>
      </c>
    </row>
    <row r="237" spans="1:72" x14ac:dyDescent="0.15">
      <c r="A237" t="s">
        <v>72</v>
      </c>
      <c r="B237" t="s">
        <v>4949</v>
      </c>
      <c r="C237" t="s">
        <v>74</v>
      </c>
      <c r="D237" t="s">
        <v>74</v>
      </c>
      <c r="E237" t="s">
        <v>74</v>
      </c>
      <c r="F237" t="s">
        <v>4950</v>
      </c>
      <c r="G237" t="s">
        <v>74</v>
      </c>
      <c r="H237" t="s">
        <v>74</v>
      </c>
      <c r="I237" t="s">
        <v>4951</v>
      </c>
      <c r="J237" t="s">
        <v>4952</v>
      </c>
      <c r="K237" t="s">
        <v>74</v>
      </c>
      <c r="L237" t="s">
        <v>74</v>
      </c>
      <c r="M237" t="s">
        <v>78</v>
      </c>
      <c r="N237" t="s">
        <v>1291</v>
      </c>
      <c r="O237" t="s">
        <v>74</v>
      </c>
      <c r="P237" t="s">
        <v>74</v>
      </c>
      <c r="Q237" t="s">
        <v>74</v>
      </c>
      <c r="R237" t="s">
        <v>74</v>
      </c>
      <c r="S237" t="s">
        <v>74</v>
      </c>
      <c r="T237" t="s">
        <v>4953</v>
      </c>
      <c r="U237" t="s">
        <v>4954</v>
      </c>
      <c r="V237" t="s">
        <v>4955</v>
      </c>
      <c r="W237" t="s">
        <v>4956</v>
      </c>
      <c r="X237" t="s">
        <v>4957</v>
      </c>
      <c r="Y237" t="s">
        <v>4958</v>
      </c>
      <c r="Z237" t="s">
        <v>4959</v>
      </c>
      <c r="AA237" t="s">
        <v>74</v>
      </c>
      <c r="AB237" t="s">
        <v>74</v>
      </c>
      <c r="AC237" t="s">
        <v>4960</v>
      </c>
      <c r="AD237" t="s">
        <v>4961</v>
      </c>
      <c r="AE237" t="s">
        <v>4962</v>
      </c>
      <c r="AF237" t="s">
        <v>74</v>
      </c>
      <c r="AG237">
        <v>222</v>
      </c>
      <c r="AH237">
        <v>125</v>
      </c>
      <c r="AI237">
        <v>141</v>
      </c>
      <c r="AJ237">
        <v>4</v>
      </c>
      <c r="AK237">
        <v>78</v>
      </c>
      <c r="AL237" t="s">
        <v>1113</v>
      </c>
      <c r="AM237" t="s">
        <v>378</v>
      </c>
      <c r="AN237" t="s">
        <v>1114</v>
      </c>
      <c r="AO237" t="s">
        <v>4963</v>
      </c>
      <c r="AP237" t="s">
        <v>4964</v>
      </c>
      <c r="AQ237" t="s">
        <v>74</v>
      </c>
      <c r="AR237" t="s">
        <v>4965</v>
      </c>
      <c r="AS237" t="s">
        <v>4966</v>
      </c>
      <c r="AT237" t="s">
        <v>4967</v>
      </c>
      <c r="AU237">
        <v>2015</v>
      </c>
      <c r="AV237">
        <v>471</v>
      </c>
      <c r="AW237">
        <v>2176</v>
      </c>
      <c r="AX237" t="s">
        <v>74</v>
      </c>
      <c r="AY237" t="s">
        <v>74</v>
      </c>
      <c r="AZ237" t="s">
        <v>74</v>
      </c>
      <c r="BA237" t="s">
        <v>74</v>
      </c>
      <c r="BB237" t="s">
        <v>74</v>
      </c>
      <c r="BC237" t="s">
        <v>74</v>
      </c>
      <c r="BD237">
        <v>20140907</v>
      </c>
      <c r="BE237" t="s">
        <v>4968</v>
      </c>
      <c r="BF237" t="str">
        <f>HYPERLINK("http://dx.doi.org/10.1098/rspa.2014.0907","http://dx.doi.org/10.1098/rspa.2014.0907")</f>
        <v>http://dx.doi.org/10.1098/rspa.2014.0907</v>
      </c>
      <c r="BG237" t="s">
        <v>74</v>
      </c>
      <c r="BH237" t="s">
        <v>74</v>
      </c>
      <c r="BI237">
        <v>41</v>
      </c>
      <c r="BJ237" t="s">
        <v>429</v>
      </c>
      <c r="BK237" t="s">
        <v>100</v>
      </c>
      <c r="BL237" t="s">
        <v>430</v>
      </c>
      <c r="BM237" t="s">
        <v>4969</v>
      </c>
      <c r="BN237">
        <v>27547082</v>
      </c>
      <c r="BO237" t="s">
        <v>293</v>
      </c>
      <c r="BP237" t="s">
        <v>74</v>
      </c>
      <c r="BQ237" t="s">
        <v>74</v>
      </c>
      <c r="BR237" t="s">
        <v>104</v>
      </c>
      <c r="BS237" t="s">
        <v>4970</v>
      </c>
      <c r="BT237" t="str">
        <f>HYPERLINK("https%3A%2F%2Fwww.webofscience.com%2Fwos%2Fwoscc%2Ffull-record%2FWOS:000351236200016","View Full Record in Web of Science")</f>
        <v>View Full Record in Web of Science</v>
      </c>
    </row>
    <row r="238" spans="1:72" x14ac:dyDescent="0.15">
      <c r="A238" t="s">
        <v>72</v>
      </c>
      <c r="B238" t="s">
        <v>4971</v>
      </c>
      <c r="C238" t="s">
        <v>74</v>
      </c>
      <c r="D238" t="s">
        <v>74</v>
      </c>
      <c r="E238" t="s">
        <v>74</v>
      </c>
      <c r="F238" t="s">
        <v>4972</v>
      </c>
      <c r="G238" t="s">
        <v>74</v>
      </c>
      <c r="H238" t="s">
        <v>74</v>
      </c>
      <c r="I238" t="s">
        <v>4973</v>
      </c>
      <c r="J238" t="s">
        <v>936</v>
      </c>
      <c r="K238" t="s">
        <v>74</v>
      </c>
      <c r="L238" t="s">
        <v>74</v>
      </c>
      <c r="M238" t="s">
        <v>78</v>
      </c>
      <c r="N238" t="s">
        <v>79</v>
      </c>
      <c r="O238" t="s">
        <v>74</v>
      </c>
      <c r="P238" t="s">
        <v>74</v>
      </c>
      <c r="Q238" t="s">
        <v>74</v>
      </c>
      <c r="R238" t="s">
        <v>74</v>
      </c>
      <c r="S238" t="s">
        <v>74</v>
      </c>
      <c r="T238" t="s">
        <v>74</v>
      </c>
      <c r="U238" t="s">
        <v>4974</v>
      </c>
      <c r="V238" t="s">
        <v>4975</v>
      </c>
      <c r="W238" t="s">
        <v>4976</v>
      </c>
      <c r="X238" t="s">
        <v>4977</v>
      </c>
      <c r="Y238" t="s">
        <v>4978</v>
      </c>
      <c r="Z238" t="s">
        <v>4979</v>
      </c>
      <c r="AA238" t="s">
        <v>4980</v>
      </c>
      <c r="AB238" t="s">
        <v>4981</v>
      </c>
      <c r="AC238" t="s">
        <v>4982</v>
      </c>
      <c r="AD238" t="s">
        <v>4983</v>
      </c>
      <c r="AE238" t="s">
        <v>4984</v>
      </c>
      <c r="AF238" t="s">
        <v>74</v>
      </c>
      <c r="AG238">
        <v>52</v>
      </c>
      <c r="AH238">
        <v>7</v>
      </c>
      <c r="AI238">
        <v>9</v>
      </c>
      <c r="AJ238">
        <v>1</v>
      </c>
      <c r="AK238">
        <v>14</v>
      </c>
      <c r="AL238" t="s">
        <v>946</v>
      </c>
      <c r="AM238" t="s">
        <v>947</v>
      </c>
      <c r="AN238" t="s">
        <v>948</v>
      </c>
      <c r="AO238" t="s">
        <v>949</v>
      </c>
      <c r="AP238" t="s">
        <v>74</v>
      </c>
      <c r="AQ238" t="s">
        <v>74</v>
      </c>
      <c r="AR238" t="s">
        <v>936</v>
      </c>
      <c r="AS238" t="s">
        <v>950</v>
      </c>
      <c r="AT238" t="s">
        <v>4967</v>
      </c>
      <c r="AU238">
        <v>2015</v>
      </c>
      <c r="AV238">
        <v>10</v>
      </c>
      <c r="AW238">
        <v>4</v>
      </c>
      <c r="AX238" t="s">
        <v>74</v>
      </c>
      <c r="AY238" t="s">
        <v>74</v>
      </c>
      <c r="AZ238" t="s">
        <v>74</v>
      </c>
      <c r="BA238" t="s">
        <v>74</v>
      </c>
      <c r="BB238" t="s">
        <v>74</v>
      </c>
      <c r="BC238" t="s">
        <v>74</v>
      </c>
      <c r="BD238" t="s">
        <v>4985</v>
      </c>
      <c r="BE238" t="s">
        <v>4986</v>
      </c>
      <c r="BF238" t="str">
        <f>HYPERLINK("http://dx.doi.org/10.1371/journal.pone.0121198","http://dx.doi.org/10.1371/journal.pone.0121198")</f>
        <v>http://dx.doi.org/10.1371/journal.pone.0121198</v>
      </c>
      <c r="BG238" t="s">
        <v>74</v>
      </c>
      <c r="BH238" t="s">
        <v>74</v>
      </c>
      <c r="BI238">
        <v>20</v>
      </c>
      <c r="BJ238" t="s">
        <v>429</v>
      </c>
      <c r="BK238" t="s">
        <v>100</v>
      </c>
      <c r="BL238" t="s">
        <v>430</v>
      </c>
      <c r="BM238" t="s">
        <v>4987</v>
      </c>
      <c r="BN238">
        <v>25853413</v>
      </c>
      <c r="BO238" t="s">
        <v>1021</v>
      </c>
      <c r="BP238" t="s">
        <v>74</v>
      </c>
      <c r="BQ238" t="s">
        <v>74</v>
      </c>
      <c r="BR238" t="s">
        <v>104</v>
      </c>
      <c r="BS238" t="s">
        <v>4988</v>
      </c>
      <c r="BT238" t="str">
        <f>HYPERLINK("https%3A%2F%2Fwww.webofscience.com%2Fwos%2Fwoscc%2Ffull-record%2FWOS:000352478400032","View Full Record in Web of Science")</f>
        <v>View Full Record in Web of Science</v>
      </c>
    </row>
    <row r="239" spans="1:72" x14ac:dyDescent="0.15">
      <c r="A239" t="s">
        <v>72</v>
      </c>
      <c r="B239" t="s">
        <v>4989</v>
      </c>
      <c r="C239" t="s">
        <v>74</v>
      </c>
      <c r="D239" t="s">
        <v>74</v>
      </c>
      <c r="E239" t="s">
        <v>74</v>
      </c>
      <c r="F239" t="s">
        <v>4990</v>
      </c>
      <c r="G239" t="s">
        <v>74</v>
      </c>
      <c r="H239" t="s">
        <v>74</v>
      </c>
      <c r="I239" t="s">
        <v>4991</v>
      </c>
      <c r="J239" t="s">
        <v>4992</v>
      </c>
      <c r="K239" t="s">
        <v>74</v>
      </c>
      <c r="L239" t="s">
        <v>74</v>
      </c>
      <c r="M239" t="s">
        <v>78</v>
      </c>
      <c r="N239" t="s">
        <v>79</v>
      </c>
      <c r="O239" t="s">
        <v>74</v>
      </c>
      <c r="P239" t="s">
        <v>74</v>
      </c>
      <c r="Q239" t="s">
        <v>74</v>
      </c>
      <c r="R239" t="s">
        <v>74</v>
      </c>
      <c r="S239" t="s">
        <v>74</v>
      </c>
      <c r="T239" t="s">
        <v>74</v>
      </c>
      <c r="U239" t="s">
        <v>4993</v>
      </c>
      <c r="V239" t="s">
        <v>4994</v>
      </c>
      <c r="W239" t="s">
        <v>4995</v>
      </c>
      <c r="X239" t="s">
        <v>4996</v>
      </c>
      <c r="Y239" t="s">
        <v>4997</v>
      </c>
      <c r="Z239" t="s">
        <v>4998</v>
      </c>
      <c r="AA239" t="s">
        <v>4999</v>
      </c>
      <c r="AB239" t="s">
        <v>5000</v>
      </c>
      <c r="AC239" t="s">
        <v>5001</v>
      </c>
      <c r="AD239" t="s">
        <v>5002</v>
      </c>
      <c r="AE239" t="s">
        <v>5003</v>
      </c>
      <c r="AF239" t="s">
        <v>74</v>
      </c>
      <c r="AG239">
        <v>60</v>
      </c>
      <c r="AH239">
        <v>40</v>
      </c>
      <c r="AI239">
        <v>42</v>
      </c>
      <c r="AJ239">
        <v>8</v>
      </c>
      <c r="AK239">
        <v>58</v>
      </c>
      <c r="AL239" t="s">
        <v>646</v>
      </c>
      <c r="AM239" t="s">
        <v>267</v>
      </c>
      <c r="AN239" t="s">
        <v>647</v>
      </c>
      <c r="AO239" t="s">
        <v>5004</v>
      </c>
      <c r="AP239" t="s">
        <v>5005</v>
      </c>
      <c r="AQ239" t="s">
        <v>74</v>
      </c>
      <c r="AR239" t="s">
        <v>5006</v>
      </c>
      <c r="AS239" t="s">
        <v>5007</v>
      </c>
      <c r="AT239" t="s">
        <v>5008</v>
      </c>
      <c r="AU239">
        <v>2015</v>
      </c>
      <c r="AV239">
        <v>49</v>
      </c>
      <c r="AW239">
        <v>7</v>
      </c>
      <c r="AX239" t="s">
        <v>74</v>
      </c>
      <c r="AY239" t="s">
        <v>74</v>
      </c>
      <c r="AZ239" t="s">
        <v>74</v>
      </c>
      <c r="BA239" t="s">
        <v>74</v>
      </c>
      <c r="BB239">
        <v>4415</v>
      </c>
      <c r="BC239">
        <v>4424</v>
      </c>
      <c r="BD239" t="s">
        <v>74</v>
      </c>
      <c r="BE239" t="s">
        <v>5009</v>
      </c>
      <c r="BF239" t="str">
        <f>HYPERLINK("http://dx.doi.org/10.1021/es503697t","http://dx.doi.org/10.1021/es503697t")</f>
        <v>http://dx.doi.org/10.1021/es503697t</v>
      </c>
      <c r="BG239" t="s">
        <v>74</v>
      </c>
      <c r="BH239" t="s">
        <v>74</v>
      </c>
      <c r="BI239">
        <v>10</v>
      </c>
      <c r="BJ239" t="s">
        <v>5010</v>
      </c>
      <c r="BK239" t="s">
        <v>100</v>
      </c>
      <c r="BL239" t="s">
        <v>5011</v>
      </c>
      <c r="BM239" t="s">
        <v>5012</v>
      </c>
      <c r="BN239">
        <v>25658133</v>
      </c>
      <c r="BO239" t="s">
        <v>74</v>
      </c>
      <c r="BP239" t="s">
        <v>74</v>
      </c>
      <c r="BQ239" t="s">
        <v>74</v>
      </c>
      <c r="BR239" t="s">
        <v>104</v>
      </c>
      <c r="BS239" t="s">
        <v>5013</v>
      </c>
      <c r="BT239" t="str">
        <f>HYPERLINK("https%3A%2F%2Fwww.webofscience.com%2Fwos%2Fwoscc%2Ffull-record%2FWOS:000352659000049","View Full Record in Web of Science")</f>
        <v>View Full Record in Web of Science</v>
      </c>
    </row>
    <row r="240" spans="1:72" x14ac:dyDescent="0.15">
      <c r="A240" t="s">
        <v>72</v>
      </c>
      <c r="B240" t="s">
        <v>5014</v>
      </c>
      <c r="C240" t="s">
        <v>74</v>
      </c>
      <c r="D240" t="s">
        <v>74</v>
      </c>
      <c r="E240" t="s">
        <v>74</v>
      </c>
      <c r="F240" t="s">
        <v>5015</v>
      </c>
      <c r="G240" t="s">
        <v>74</v>
      </c>
      <c r="H240" t="s">
        <v>74</v>
      </c>
      <c r="I240" t="s">
        <v>5016</v>
      </c>
      <c r="J240" t="s">
        <v>4433</v>
      </c>
      <c r="K240" t="s">
        <v>74</v>
      </c>
      <c r="L240" t="s">
        <v>74</v>
      </c>
      <c r="M240" t="s">
        <v>78</v>
      </c>
      <c r="N240" t="s">
        <v>79</v>
      </c>
      <c r="O240" t="s">
        <v>74</v>
      </c>
      <c r="P240" t="s">
        <v>74</v>
      </c>
      <c r="Q240" t="s">
        <v>74</v>
      </c>
      <c r="R240" t="s">
        <v>74</v>
      </c>
      <c r="S240" t="s">
        <v>74</v>
      </c>
      <c r="T240" t="s">
        <v>5017</v>
      </c>
      <c r="U240" t="s">
        <v>5018</v>
      </c>
      <c r="V240" t="s">
        <v>5019</v>
      </c>
      <c r="W240" t="s">
        <v>5020</v>
      </c>
      <c r="X240" t="s">
        <v>5021</v>
      </c>
      <c r="Y240" t="s">
        <v>5022</v>
      </c>
      <c r="Z240" t="s">
        <v>5023</v>
      </c>
      <c r="AA240" t="s">
        <v>74</v>
      </c>
      <c r="AB240" t="s">
        <v>5024</v>
      </c>
      <c r="AC240" t="s">
        <v>5025</v>
      </c>
      <c r="AD240" t="s">
        <v>5026</v>
      </c>
      <c r="AE240" t="s">
        <v>5027</v>
      </c>
      <c r="AF240" t="s">
        <v>74</v>
      </c>
      <c r="AG240">
        <v>47</v>
      </c>
      <c r="AH240">
        <v>62</v>
      </c>
      <c r="AI240">
        <v>72</v>
      </c>
      <c r="AJ240">
        <v>1</v>
      </c>
      <c r="AK240">
        <v>93</v>
      </c>
      <c r="AL240" t="s">
        <v>4446</v>
      </c>
      <c r="AM240" t="s">
        <v>267</v>
      </c>
      <c r="AN240" t="s">
        <v>4447</v>
      </c>
      <c r="AO240" t="s">
        <v>4448</v>
      </c>
      <c r="AP240" t="s">
        <v>74</v>
      </c>
      <c r="AQ240" t="s">
        <v>74</v>
      </c>
      <c r="AR240" t="s">
        <v>4449</v>
      </c>
      <c r="AS240" t="s">
        <v>4450</v>
      </c>
      <c r="AT240" t="s">
        <v>5008</v>
      </c>
      <c r="AU240">
        <v>2015</v>
      </c>
      <c r="AV240">
        <v>112</v>
      </c>
      <c r="AW240">
        <v>14</v>
      </c>
      <c r="AX240" t="s">
        <v>74</v>
      </c>
      <c r="AY240" t="s">
        <v>74</v>
      </c>
      <c r="AZ240" t="s">
        <v>74</v>
      </c>
      <c r="BA240" t="s">
        <v>74</v>
      </c>
      <c r="BB240">
        <v>4239</v>
      </c>
      <c r="BC240">
        <v>4244</v>
      </c>
      <c r="BD240" t="s">
        <v>74</v>
      </c>
      <c r="BE240" t="s">
        <v>5028</v>
      </c>
      <c r="BF240" t="str">
        <f>HYPERLINK("http://dx.doi.org/10.1073/pnas.1412883112","http://dx.doi.org/10.1073/pnas.1412883112")</f>
        <v>http://dx.doi.org/10.1073/pnas.1412883112</v>
      </c>
      <c r="BG240" t="s">
        <v>74</v>
      </c>
      <c r="BH240" t="s">
        <v>74</v>
      </c>
      <c r="BI240">
        <v>6</v>
      </c>
      <c r="BJ240" t="s">
        <v>429</v>
      </c>
      <c r="BK240" t="s">
        <v>100</v>
      </c>
      <c r="BL240" t="s">
        <v>430</v>
      </c>
      <c r="BM240" t="s">
        <v>5029</v>
      </c>
      <c r="BN240">
        <v>25831504</v>
      </c>
      <c r="BO240" t="s">
        <v>1832</v>
      </c>
      <c r="BP240" t="s">
        <v>74</v>
      </c>
      <c r="BQ240" t="s">
        <v>74</v>
      </c>
      <c r="BR240" t="s">
        <v>104</v>
      </c>
      <c r="BS240" t="s">
        <v>5030</v>
      </c>
      <c r="BT240" t="str">
        <f>HYPERLINK("https%3A%2F%2Fwww.webofscience.com%2Fwos%2Fwoscc%2Ffull-record%2FWOS:000352287800033","View Full Record in Web of Science")</f>
        <v>View Full Record in Web of Science</v>
      </c>
    </row>
    <row r="241" spans="1:72" x14ac:dyDescent="0.15">
      <c r="A241" t="s">
        <v>72</v>
      </c>
      <c r="B241" t="s">
        <v>5031</v>
      </c>
      <c r="C241" t="s">
        <v>74</v>
      </c>
      <c r="D241" t="s">
        <v>74</v>
      </c>
      <c r="E241" t="s">
        <v>74</v>
      </c>
      <c r="F241" t="s">
        <v>5032</v>
      </c>
      <c r="G241" t="s">
        <v>74</v>
      </c>
      <c r="H241" t="s">
        <v>74</v>
      </c>
      <c r="I241" t="s">
        <v>5033</v>
      </c>
      <c r="J241" t="s">
        <v>1276</v>
      </c>
      <c r="K241" t="s">
        <v>74</v>
      </c>
      <c r="L241" t="s">
        <v>74</v>
      </c>
      <c r="M241" t="s">
        <v>78</v>
      </c>
      <c r="N241" t="s">
        <v>1277</v>
      </c>
      <c r="O241" t="s">
        <v>74</v>
      </c>
      <c r="P241" t="s">
        <v>74</v>
      </c>
      <c r="Q241" t="s">
        <v>74</v>
      </c>
      <c r="R241" t="s">
        <v>74</v>
      </c>
      <c r="S241" t="s">
        <v>74</v>
      </c>
      <c r="T241" t="s">
        <v>74</v>
      </c>
      <c r="U241" t="s">
        <v>74</v>
      </c>
      <c r="V241" t="s">
        <v>74</v>
      </c>
      <c r="W241" t="s">
        <v>74</v>
      </c>
      <c r="X241" t="s">
        <v>74</v>
      </c>
      <c r="Y241" t="s">
        <v>74</v>
      </c>
      <c r="Z241" t="s">
        <v>74</v>
      </c>
      <c r="AA241" t="s">
        <v>74</v>
      </c>
      <c r="AB241" t="s">
        <v>74</v>
      </c>
      <c r="AC241" t="s">
        <v>74</v>
      </c>
      <c r="AD241" t="s">
        <v>74</v>
      </c>
      <c r="AE241" t="s">
        <v>74</v>
      </c>
      <c r="AF241" t="s">
        <v>74</v>
      </c>
      <c r="AG241">
        <v>0</v>
      </c>
      <c r="AH241">
        <v>0</v>
      </c>
      <c r="AI241">
        <v>0</v>
      </c>
      <c r="AJ241">
        <v>0</v>
      </c>
      <c r="AK241">
        <v>0</v>
      </c>
      <c r="AL241" t="s">
        <v>1278</v>
      </c>
      <c r="AM241" t="s">
        <v>1279</v>
      </c>
      <c r="AN241" t="s">
        <v>1280</v>
      </c>
      <c r="AO241" t="s">
        <v>1281</v>
      </c>
      <c r="AP241" t="s">
        <v>74</v>
      </c>
      <c r="AQ241" t="s">
        <v>74</v>
      </c>
      <c r="AR241" t="s">
        <v>1282</v>
      </c>
      <c r="AS241" t="s">
        <v>1283</v>
      </c>
      <c r="AT241" t="s">
        <v>5034</v>
      </c>
      <c r="AU241">
        <v>2015</v>
      </c>
      <c r="AV241">
        <v>226</v>
      </c>
      <c r="AW241">
        <v>3015</v>
      </c>
      <c r="AX241" t="s">
        <v>74</v>
      </c>
      <c r="AY241" t="s">
        <v>74</v>
      </c>
      <c r="AZ241" t="s">
        <v>74</v>
      </c>
      <c r="BA241" t="s">
        <v>74</v>
      </c>
      <c r="BB241">
        <v>10</v>
      </c>
      <c r="BC241">
        <v>11</v>
      </c>
      <c r="BD241" t="s">
        <v>74</v>
      </c>
      <c r="BE241" t="s">
        <v>5035</v>
      </c>
      <c r="BF241" t="str">
        <f>HYPERLINK("http://dx.doi.org/10.1016/S0262-4079(15)30057-9","http://dx.doi.org/10.1016/S0262-4079(15)30057-9")</f>
        <v>http://dx.doi.org/10.1016/S0262-4079(15)30057-9</v>
      </c>
      <c r="BG241" t="s">
        <v>74</v>
      </c>
      <c r="BH241" t="s">
        <v>74</v>
      </c>
      <c r="BI241">
        <v>2</v>
      </c>
      <c r="BJ241" t="s">
        <v>429</v>
      </c>
      <c r="BK241" t="s">
        <v>100</v>
      </c>
      <c r="BL241" t="s">
        <v>430</v>
      </c>
      <c r="BM241" t="s">
        <v>5036</v>
      </c>
      <c r="BN241" t="s">
        <v>74</v>
      </c>
      <c r="BO241" t="s">
        <v>74</v>
      </c>
      <c r="BP241" t="s">
        <v>74</v>
      </c>
      <c r="BQ241" t="s">
        <v>74</v>
      </c>
      <c r="BR241" t="s">
        <v>104</v>
      </c>
      <c r="BS241" t="s">
        <v>5037</v>
      </c>
      <c r="BT241" t="str">
        <f>HYPERLINK("https%3A%2F%2Fwww.webofscience.com%2Fwos%2Fwoscc%2Ffull-record%2FWOS:000352335800004","View Full Record in Web of Science")</f>
        <v>View Full Record in Web of Science</v>
      </c>
    </row>
    <row r="242" spans="1:72" x14ac:dyDescent="0.15">
      <c r="A242" t="s">
        <v>72</v>
      </c>
      <c r="B242" t="s">
        <v>5038</v>
      </c>
      <c r="C242" t="s">
        <v>74</v>
      </c>
      <c r="D242" t="s">
        <v>74</v>
      </c>
      <c r="E242" t="s">
        <v>74</v>
      </c>
      <c r="F242" t="s">
        <v>5039</v>
      </c>
      <c r="G242" t="s">
        <v>74</v>
      </c>
      <c r="H242" t="s">
        <v>74</v>
      </c>
      <c r="I242" t="s">
        <v>5040</v>
      </c>
      <c r="J242" t="s">
        <v>5041</v>
      </c>
      <c r="K242" t="s">
        <v>74</v>
      </c>
      <c r="L242" t="s">
        <v>74</v>
      </c>
      <c r="M242" t="s">
        <v>78</v>
      </c>
      <c r="N242" t="s">
        <v>79</v>
      </c>
      <c r="O242" t="s">
        <v>74</v>
      </c>
      <c r="P242" t="s">
        <v>74</v>
      </c>
      <c r="Q242" t="s">
        <v>74</v>
      </c>
      <c r="R242" t="s">
        <v>74</v>
      </c>
      <c r="S242" t="s">
        <v>74</v>
      </c>
      <c r="T242" t="s">
        <v>74</v>
      </c>
      <c r="U242" t="s">
        <v>5042</v>
      </c>
      <c r="V242" t="s">
        <v>5043</v>
      </c>
      <c r="W242" t="s">
        <v>5044</v>
      </c>
      <c r="X242" t="s">
        <v>5045</v>
      </c>
      <c r="Y242" t="s">
        <v>5046</v>
      </c>
      <c r="Z242" t="s">
        <v>5047</v>
      </c>
      <c r="AA242" t="s">
        <v>5048</v>
      </c>
      <c r="AB242" t="s">
        <v>5049</v>
      </c>
      <c r="AC242" t="s">
        <v>74</v>
      </c>
      <c r="AD242" t="s">
        <v>74</v>
      </c>
      <c r="AE242" t="s">
        <v>74</v>
      </c>
      <c r="AF242" t="s">
        <v>74</v>
      </c>
      <c r="AG242">
        <v>74</v>
      </c>
      <c r="AH242">
        <v>10</v>
      </c>
      <c r="AI242">
        <v>11</v>
      </c>
      <c r="AJ242">
        <v>0</v>
      </c>
      <c r="AK242">
        <v>6</v>
      </c>
      <c r="AL242" t="s">
        <v>447</v>
      </c>
      <c r="AM242" t="s">
        <v>448</v>
      </c>
      <c r="AN242" t="s">
        <v>449</v>
      </c>
      <c r="AO242" t="s">
        <v>5050</v>
      </c>
      <c r="AP242" t="s">
        <v>5051</v>
      </c>
      <c r="AQ242" t="s">
        <v>74</v>
      </c>
      <c r="AR242" t="s">
        <v>5052</v>
      </c>
      <c r="AS242" t="s">
        <v>5053</v>
      </c>
      <c r="AT242" t="s">
        <v>5054</v>
      </c>
      <c r="AU242">
        <v>2015</v>
      </c>
      <c r="AV242">
        <v>24</v>
      </c>
      <c r="AW242">
        <v>2</v>
      </c>
      <c r="AX242" t="s">
        <v>74</v>
      </c>
      <c r="AY242" t="s">
        <v>74</v>
      </c>
      <c r="AZ242" t="s">
        <v>74</v>
      </c>
      <c r="BA242" t="s">
        <v>74</v>
      </c>
      <c r="BB242">
        <v>288</v>
      </c>
      <c r="BC242">
        <v>313</v>
      </c>
      <c r="BD242" t="s">
        <v>74</v>
      </c>
      <c r="BE242" t="s">
        <v>5055</v>
      </c>
      <c r="BF242" t="str">
        <f>HYPERLINK("http://dx.doi.org/10.1080/10383441.2015.1041631","http://dx.doi.org/10.1080/10383441.2015.1041631")</f>
        <v>http://dx.doi.org/10.1080/10383441.2015.1041631</v>
      </c>
      <c r="BG242" t="s">
        <v>74</v>
      </c>
      <c r="BH242" t="s">
        <v>74</v>
      </c>
      <c r="BI242">
        <v>26</v>
      </c>
      <c r="BJ242" t="s">
        <v>5056</v>
      </c>
      <c r="BK242" t="s">
        <v>888</v>
      </c>
      <c r="BL242" t="s">
        <v>1190</v>
      </c>
      <c r="BM242" t="s">
        <v>5057</v>
      </c>
      <c r="BN242" t="s">
        <v>74</v>
      </c>
      <c r="BO242" t="s">
        <v>751</v>
      </c>
      <c r="BP242" t="s">
        <v>74</v>
      </c>
      <c r="BQ242" t="s">
        <v>74</v>
      </c>
      <c r="BR242" t="s">
        <v>104</v>
      </c>
      <c r="BS242" t="s">
        <v>5058</v>
      </c>
      <c r="BT242" t="str">
        <f>HYPERLINK("https%3A%2F%2Fwww.webofscience.com%2Fwos%2Fwoscc%2Ffull-record%2FWOS:000363656200007","View Full Record in Web of Science")</f>
        <v>View Full Record in Web of Science</v>
      </c>
    </row>
    <row r="243" spans="1:72" x14ac:dyDescent="0.15">
      <c r="A243" t="s">
        <v>72</v>
      </c>
      <c r="B243" t="s">
        <v>5059</v>
      </c>
      <c r="C243" t="s">
        <v>74</v>
      </c>
      <c r="D243" t="s">
        <v>74</v>
      </c>
      <c r="E243" t="s">
        <v>74</v>
      </c>
      <c r="F243" t="s">
        <v>5060</v>
      </c>
      <c r="G243" t="s">
        <v>74</v>
      </c>
      <c r="H243" t="s">
        <v>74</v>
      </c>
      <c r="I243" t="s">
        <v>5061</v>
      </c>
      <c r="J243" t="s">
        <v>5062</v>
      </c>
      <c r="K243" t="s">
        <v>74</v>
      </c>
      <c r="L243" t="s">
        <v>74</v>
      </c>
      <c r="M243" t="s">
        <v>78</v>
      </c>
      <c r="N243" t="s">
        <v>79</v>
      </c>
      <c r="O243" t="s">
        <v>74</v>
      </c>
      <c r="P243" t="s">
        <v>74</v>
      </c>
      <c r="Q243" t="s">
        <v>74</v>
      </c>
      <c r="R243" t="s">
        <v>74</v>
      </c>
      <c r="S243" t="s">
        <v>74</v>
      </c>
      <c r="T243" t="s">
        <v>5063</v>
      </c>
      <c r="U243" t="s">
        <v>5064</v>
      </c>
      <c r="V243" t="s">
        <v>5065</v>
      </c>
      <c r="W243" t="s">
        <v>5066</v>
      </c>
      <c r="X243" t="s">
        <v>5067</v>
      </c>
      <c r="Y243" t="s">
        <v>5068</v>
      </c>
      <c r="Z243" t="s">
        <v>5069</v>
      </c>
      <c r="AA243" t="s">
        <v>5070</v>
      </c>
      <c r="AB243" t="s">
        <v>5071</v>
      </c>
      <c r="AC243" t="s">
        <v>5072</v>
      </c>
      <c r="AD243" t="s">
        <v>5073</v>
      </c>
      <c r="AE243" t="s">
        <v>5074</v>
      </c>
      <c r="AF243" t="s">
        <v>74</v>
      </c>
      <c r="AG243">
        <v>26</v>
      </c>
      <c r="AH243">
        <v>6</v>
      </c>
      <c r="AI243">
        <v>6</v>
      </c>
      <c r="AJ243">
        <v>0</v>
      </c>
      <c r="AK243">
        <v>7</v>
      </c>
      <c r="AL243" t="s">
        <v>1239</v>
      </c>
      <c r="AM243" t="s">
        <v>448</v>
      </c>
      <c r="AN243" t="s">
        <v>1240</v>
      </c>
      <c r="AO243" t="s">
        <v>5075</v>
      </c>
      <c r="AP243" t="s">
        <v>5076</v>
      </c>
      <c r="AQ243" t="s">
        <v>74</v>
      </c>
      <c r="AR243" t="s">
        <v>5077</v>
      </c>
      <c r="AS243" t="s">
        <v>5078</v>
      </c>
      <c r="AT243" t="s">
        <v>5054</v>
      </c>
      <c r="AU243">
        <v>2015</v>
      </c>
      <c r="AV243">
        <v>42</v>
      </c>
      <c r="AW243">
        <v>2</v>
      </c>
      <c r="AX243" t="s">
        <v>74</v>
      </c>
      <c r="AY243" t="s">
        <v>74</v>
      </c>
      <c r="AZ243" t="s">
        <v>74</v>
      </c>
      <c r="BA243" t="s">
        <v>74</v>
      </c>
      <c r="BB243">
        <v>119</v>
      </c>
      <c r="BC243">
        <v>125</v>
      </c>
      <c r="BD243" t="s">
        <v>74</v>
      </c>
      <c r="BE243" t="s">
        <v>5079</v>
      </c>
      <c r="BF243" t="str">
        <f>HYPERLINK("http://dx.doi.org/10.1080/03014223.2015.1013041","http://dx.doi.org/10.1080/03014223.2015.1013041")</f>
        <v>http://dx.doi.org/10.1080/03014223.2015.1013041</v>
      </c>
      <c r="BG243" t="s">
        <v>74</v>
      </c>
      <c r="BH243" t="s">
        <v>74</v>
      </c>
      <c r="BI243">
        <v>7</v>
      </c>
      <c r="BJ243" t="s">
        <v>509</v>
      </c>
      <c r="BK243" t="s">
        <v>100</v>
      </c>
      <c r="BL243" t="s">
        <v>509</v>
      </c>
      <c r="BM243" t="s">
        <v>5080</v>
      </c>
      <c r="BN243" t="s">
        <v>74</v>
      </c>
      <c r="BO243" t="s">
        <v>156</v>
      </c>
      <c r="BP243" t="s">
        <v>74</v>
      </c>
      <c r="BQ243" t="s">
        <v>74</v>
      </c>
      <c r="BR243" t="s">
        <v>104</v>
      </c>
      <c r="BS243" t="s">
        <v>5081</v>
      </c>
      <c r="BT243" t="str">
        <f>HYPERLINK("https%3A%2F%2Fwww.webofscience.com%2Fwos%2Fwoscc%2Ffull-record%2FWOS:000357409000007","View Full Record in Web of Science")</f>
        <v>View Full Record in Web of Science</v>
      </c>
    </row>
    <row r="244" spans="1:72" x14ac:dyDescent="0.15">
      <c r="A244" t="s">
        <v>72</v>
      </c>
      <c r="B244" t="s">
        <v>5082</v>
      </c>
      <c r="C244" t="s">
        <v>74</v>
      </c>
      <c r="D244" t="s">
        <v>74</v>
      </c>
      <c r="E244" t="s">
        <v>74</v>
      </c>
      <c r="F244" t="s">
        <v>5083</v>
      </c>
      <c r="G244" t="s">
        <v>74</v>
      </c>
      <c r="H244" t="s">
        <v>74</v>
      </c>
      <c r="I244" t="s">
        <v>5084</v>
      </c>
      <c r="J244" t="s">
        <v>5085</v>
      </c>
      <c r="K244" t="s">
        <v>74</v>
      </c>
      <c r="L244" t="s">
        <v>74</v>
      </c>
      <c r="M244" t="s">
        <v>78</v>
      </c>
      <c r="N244" t="s">
        <v>79</v>
      </c>
      <c r="O244" t="s">
        <v>74</v>
      </c>
      <c r="P244" t="s">
        <v>74</v>
      </c>
      <c r="Q244" t="s">
        <v>74</v>
      </c>
      <c r="R244" t="s">
        <v>74</v>
      </c>
      <c r="S244" t="s">
        <v>74</v>
      </c>
      <c r="T244" t="s">
        <v>5086</v>
      </c>
      <c r="U244" t="s">
        <v>5087</v>
      </c>
      <c r="V244" t="s">
        <v>5088</v>
      </c>
      <c r="W244" t="s">
        <v>5089</v>
      </c>
      <c r="X244" t="s">
        <v>5090</v>
      </c>
      <c r="Y244" t="s">
        <v>5091</v>
      </c>
      <c r="Z244" t="s">
        <v>1755</v>
      </c>
      <c r="AA244" t="s">
        <v>74</v>
      </c>
      <c r="AB244" t="s">
        <v>5092</v>
      </c>
      <c r="AC244" t="s">
        <v>5093</v>
      </c>
      <c r="AD244" t="s">
        <v>5093</v>
      </c>
      <c r="AE244" t="s">
        <v>5094</v>
      </c>
      <c r="AF244" t="s">
        <v>74</v>
      </c>
      <c r="AG244">
        <v>50</v>
      </c>
      <c r="AH244">
        <v>8</v>
      </c>
      <c r="AI244">
        <v>8</v>
      </c>
      <c r="AJ244">
        <v>2</v>
      </c>
      <c r="AK244">
        <v>17</v>
      </c>
      <c r="AL244" t="s">
        <v>1239</v>
      </c>
      <c r="AM244" t="s">
        <v>448</v>
      </c>
      <c r="AN244" t="s">
        <v>5095</v>
      </c>
      <c r="AO244" t="s">
        <v>5096</v>
      </c>
      <c r="AP244" t="s">
        <v>5097</v>
      </c>
      <c r="AQ244" t="s">
        <v>74</v>
      </c>
      <c r="AR244" t="s">
        <v>5098</v>
      </c>
      <c r="AS244" t="s">
        <v>5099</v>
      </c>
      <c r="AT244" t="s">
        <v>5054</v>
      </c>
      <c r="AU244">
        <v>2015</v>
      </c>
      <c r="AV244">
        <v>49</v>
      </c>
      <c r="AW244">
        <v>2</v>
      </c>
      <c r="AX244" t="s">
        <v>74</v>
      </c>
      <c r="AY244" t="s">
        <v>74</v>
      </c>
      <c r="AZ244" t="s">
        <v>74</v>
      </c>
      <c r="BA244" t="s">
        <v>74</v>
      </c>
      <c r="BB244">
        <v>259</v>
      </c>
      <c r="BC244">
        <v>277</v>
      </c>
      <c r="BD244" t="s">
        <v>74</v>
      </c>
      <c r="BE244" t="s">
        <v>5100</v>
      </c>
      <c r="BF244" t="str">
        <f>HYPERLINK("http://dx.doi.org/10.1080/00288330.2015.1008522","http://dx.doi.org/10.1080/00288330.2015.1008522")</f>
        <v>http://dx.doi.org/10.1080/00288330.2015.1008522</v>
      </c>
      <c r="BG244" t="s">
        <v>74</v>
      </c>
      <c r="BH244" t="s">
        <v>74</v>
      </c>
      <c r="BI244">
        <v>19</v>
      </c>
      <c r="BJ244" t="s">
        <v>1628</v>
      </c>
      <c r="BK244" t="s">
        <v>100</v>
      </c>
      <c r="BL244" t="s">
        <v>1628</v>
      </c>
      <c r="BM244" t="s">
        <v>5101</v>
      </c>
      <c r="BN244" t="s">
        <v>74</v>
      </c>
      <c r="BO244" t="s">
        <v>74</v>
      </c>
      <c r="BP244" t="s">
        <v>74</v>
      </c>
      <c r="BQ244" t="s">
        <v>74</v>
      </c>
      <c r="BR244" t="s">
        <v>104</v>
      </c>
      <c r="BS244" t="s">
        <v>5102</v>
      </c>
      <c r="BT244" t="str">
        <f>HYPERLINK("https%3A%2F%2Fwww.webofscience.com%2Fwos%2Fwoscc%2Ffull-record%2FWOS:000356795800008","View Full Record in Web of Science")</f>
        <v>View Full Record in Web of Science</v>
      </c>
    </row>
    <row r="245" spans="1:72" x14ac:dyDescent="0.15">
      <c r="A245" t="s">
        <v>72</v>
      </c>
      <c r="B245" t="s">
        <v>5103</v>
      </c>
      <c r="C245" t="s">
        <v>74</v>
      </c>
      <c r="D245" t="s">
        <v>74</v>
      </c>
      <c r="E245" t="s">
        <v>74</v>
      </c>
      <c r="F245" t="s">
        <v>5104</v>
      </c>
      <c r="G245" t="s">
        <v>74</v>
      </c>
      <c r="H245" t="s">
        <v>74</v>
      </c>
      <c r="I245" t="s">
        <v>5105</v>
      </c>
      <c r="J245" t="s">
        <v>5106</v>
      </c>
      <c r="K245" t="s">
        <v>74</v>
      </c>
      <c r="L245" t="s">
        <v>74</v>
      </c>
      <c r="M245" t="s">
        <v>78</v>
      </c>
      <c r="N245" t="s">
        <v>79</v>
      </c>
      <c r="O245" t="s">
        <v>74</v>
      </c>
      <c r="P245" t="s">
        <v>74</v>
      </c>
      <c r="Q245" t="s">
        <v>74</v>
      </c>
      <c r="R245" t="s">
        <v>74</v>
      </c>
      <c r="S245" t="s">
        <v>74</v>
      </c>
      <c r="T245" t="s">
        <v>5107</v>
      </c>
      <c r="U245" t="s">
        <v>5108</v>
      </c>
      <c r="V245" t="s">
        <v>5109</v>
      </c>
      <c r="W245" t="s">
        <v>5110</v>
      </c>
      <c r="X245" t="s">
        <v>5111</v>
      </c>
      <c r="Y245" t="s">
        <v>5112</v>
      </c>
      <c r="Z245" t="s">
        <v>5113</v>
      </c>
      <c r="AA245" t="s">
        <v>5114</v>
      </c>
      <c r="AB245" t="s">
        <v>5115</v>
      </c>
      <c r="AC245" t="s">
        <v>74</v>
      </c>
      <c r="AD245" t="s">
        <v>74</v>
      </c>
      <c r="AE245" t="s">
        <v>74</v>
      </c>
      <c r="AF245" t="s">
        <v>74</v>
      </c>
      <c r="AG245">
        <v>34</v>
      </c>
      <c r="AH245">
        <v>8</v>
      </c>
      <c r="AI245">
        <v>8</v>
      </c>
      <c r="AJ245">
        <v>0</v>
      </c>
      <c r="AK245">
        <v>6</v>
      </c>
      <c r="AL245" t="s">
        <v>1239</v>
      </c>
      <c r="AM245" t="s">
        <v>448</v>
      </c>
      <c r="AN245" t="s">
        <v>5095</v>
      </c>
      <c r="AO245" t="s">
        <v>5116</v>
      </c>
      <c r="AP245" t="s">
        <v>5117</v>
      </c>
      <c r="AQ245" t="s">
        <v>74</v>
      </c>
      <c r="AR245" t="s">
        <v>5118</v>
      </c>
      <c r="AS245" t="s">
        <v>5119</v>
      </c>
      <c r="AT245" t="s">
        <v>5054</v>
      </c>
      <c r="AU245">
        <v>2015</v>
      </c>
      <c r="AV245">
        <v>58</v>
      </c>
      <c r="AW245">
        <v>2</v>
      </c>
      <c r="AX245" t="s">
        <v>74</v>
      </c>
      <c r="AY245" t="s">
        <v>74</v>
      </c>
      <c r="AZ245" t="s">
        <v>74</v>
      </c>
      <c r="BA245" t="s">
        <v>74</v>
      </c>
      <c r="BB245">
        <v>202</v>
      </c>
      <c r="BC245">
        <v>212</v>
      </c>
      <c r="BD245" t="s">
        <v>74</v>
      </c>
      <c r="BE245" t="s">
        <v>5120</v>
      </c>
      <c r="BF245" t="str">
        <f>HYPERLINK("http://dx.doi.org/10.1080/00288306.2015.1023810","http://dx.doi.org/10.1080/00288306.2015.1023810")</f>
        <v>http://dx.doi.org/10.1080/00288306.2015.1023810</v>
      </c>
      <c r="BG245" t="s">
        <v>74</v>
      </c>
      <c r="BH245" t="s">
        <v>74</v>
      </c>
      <c r="BI245">
        <v>11</v>
      </c>
      <c r="BJ245" t="s">
        <v>5121</v>
      </c>
      <c r="BK245" t="s">
        <v>100</v>
      </c>
      <c r="BL245" t="s">
        <v>220</v>
      </c>
      <c r="BM245" t="s">
        <v>5122</v>
      </c>
      <c r="BN245" t="s">
        <v>74</v>
      </c>
      <c r="BO245" t="s">
        <v>74</v>
      </c>
      <c r="BP245" t="s">
        <v>74</v>
      </c>
      <c r="BQ245" t="s">
        <v>74</v>
      </c>
      <c r="BR245" t="s">
        <v>104</v>
      </c>
      <c r="BS245" t="s">
        <v>5123</v>
      </c>
      <c r="BT245" t="str">
        <f>HYPERLINK("https%3A%2F%2Fwww.webofscience.com%2Fwos%2Fwoscc%2Ffull-record%2FWOS:000355608100007","View Full Record in Web of Science")</f>
        <v>View Full Record in Web of Science</v>
      </c>
    </row>
    <row r="246" spans="1:72" x14ac:dyDescent="0.15">
      <c r="A246" t="s">
        <v>72</v>
      </c>
      <c r="B246" t="s">
        <v>5124</v>
      </c>
      <c r="C246" t="s">
        <v>74</v>
      </c>
      <c r="D246" t="s">
        <v>74</v>
      </c>
      <c r="E246" t="s">
        <v>74</v>
      </c>
      <c r="F246" t="s">
        <v>5125</v>
      </c>
      <c r="G246" t="s">
        <v>74</v>
      </c>
      <c r="H246" t="s">
        <v>74</v>
      </c>
      <c r="I246" t="s">
        <v>5126</v>
      </c>
      <c r="J246" t="s">
        <v>5127</v>
      </c>
      <c r="K246" t="s">
        <v>74</v>
      </c>
      <c r="L246" t="s">
        <v>74</v>
      </c>
      <c r="M246" t="s">
        <v>78</v>
      </c>
      <c r="N246" t="s">
        <v>79</v>
      </c>
      <c r="O246" t="s">
        <v>74</v>
      </c>
      <c r="P246" t="s">
        <v>74</v>
      </c>
      <c r="Q246" t="s">
        <v>74</v>
      </c>
      <c r="R246" t="s">
        <v>74</v>
      </c>
      <c r="S246" t="s">
        <v>74</v>
      </c>
      <c r="T246" t="s">
        <v>5128</v>
      </c>
      <c r="U246" t="s">
        <v>5129</v>
      </c>
      <c r="V246" t="s">
        <v>5130</v>
      </c>
      <c r="W246" t="s">
        <v>5131</v>
      </c>
      <c r="X246" t="s">
        <v>5132</v>
      </c>
      <c r="Y246" t="s">
        <v>5133</v>
      </c>
      <c r="Z246" t="s">
        <v>5134</v>
      </c>
      <c r="AA246" t="s">
        <v>5135</v>
      </c>
      <c r="AB246" t="s">
        <v>5136</v>
      </c>
      <c r="AC246" t="s">
        <v>5137</v>
      </c>
      <c r="AD246" t="s">
        <v>5138</v>
      </c>
      <c r="AE246" t="s">
        <v>5139</v>
      </c>
      <c r="AF246" t="s">
        <v>74</v>
      </c>
      <c r="AG246">
        <v>29</v>
      </c>
      <c r="AH246">
        <v>7</v>
      </c>
      <c r="AI246">
        <v>8</v>
      </c>
      <c r="AJ246">
        <v>2</v>
      </c>
      <c r="AK246">
        <v>35</v>
      </c>
      <c r="AL246" t="s">
        <v>1239</v>
      </c>
      <c r="AM246" t="s">
        <v>448</v>
      </c>
      <c r="AN246" t="s">
        <v>5095</v>
      </c>
      <c r="AO246" t="s">
        <v>5140</v>
      </c>
      <c r="AP246" t="s">
        <v>5141</v>
      </c>
      <c r="AQ246" t="s">
        <v>74</v>
      </c>
      <c r="AR246" t="s">
        <v>5142</v>
      </c>
      <c r="AS246" t="s">
        <v>5143</v>
      </c>
      <c r="AT246" t="s">
        <v>5054</v>
      </c>
      <c r="AU246">
        <v>2015</v>
      </c>
      <c r="AV246">
        <v>30</v>
      </c>
      <c r="AW246">
        <v>2</v>
      </c>
      <c r="AX246" t="s">
        <v>74</v>
      </c>
      <c r="AY246" t="s">
        <v>74</v>
      </c>
      <c r="AZ246" t="s">
        <v>74</v>
      </c>
      <c r="BA246" t="s">
        <v>74</v>
      </c>
      <c r="BB246">
        <v>197</v>
      </c>
      <c r="BC246">
        <v>208</v>
      </c>
      <c r="BD246" t="s">
        <v>74</v>
      </c>
      <c r="BE246" t="s">
        <v>5144</v>
      </c>
      <c r="BF246" t="str">
        <f>HYPERLINK("http://dx.doi.org/10.1080/0269249X.2015.1020071","http://dx.doi.org/10.1080/0269249X.2015.1020071")</f>
        <v>http://dx.doi.org/10.1080/0269249X.2015.1020071</v>
      </c>
      <c r="BG246" t="s">
        <v>74</v>
      </c>
      <c r="BH246" t="s">
        <v>74</v>
      </c>
      <c r="BI246">
        <v>12</v>
      </c>
      <c r="BJ246" t="s">
        <v>2667</v>
      </c>
      <c r="BK246" t="s">
        <v>100</v>
      </c>
      <c r="BL246" t="s">
        <v>2667</v>
      </c>
      <c r="BM246" t="s">
        <v>5145</v>
      </c>
      <c r="BN246" t="s">
        <v>74</v>
      </c>
      <c r="BO246" t="s">
        <v>74</v>
      </c>
      <c r="BP246" t="s">
        <v>74</v>
      </c>
      <c r="BQ246" t="s">
        <v>74</v>
      </c>
      <c r="BR246" t="s">
        <v>104</v>
      </c>
      <c r="BS246" t="s">
        <v>5146</v>
      </c>
      <c r="BT246" t="str">
        <f>HYPERLINK("https%3A%2F%2Fwww.webofscience.com%2Fwos%2Fwoscc%2Ffull-record%2FWOS:000354126900002","View Full Record in Web of Science")</f>
        <v>View Full Record in Web of Science</v>
      </c>
    </row>
    <row r="247" spans="1:72" x14ac:dyDescent="0.15">
      <c r="A247" t="s">
        <v>72</v>
      </c>
      <c r="B247" t="s">
        <v>5147</v>
      </c>
      <c r="C247" t="s">
        <v>74</v>
      </c>
      <c r="D247" t="s">
        <v>74</v>
      </c>
      <c r="E247" t="s">
        <v>74</v>
      </c>
      <c r="F247" t="s">
        <v>5148</v>
      </c>
      <c r="G247" t="s">
        <v>74</v>
      </c>
      <c r="H247" t="s">
        <v>74</v>
      </c>
      <c r="I247" t="s">
        <v>5149</v>
      </c>
      <c r="J247" t="s">
        <v>5150</v>
      </c>
      <c r="K247" t="s">
        <v>74</v>
      </c>
      <c r="L247" t="s">
        <v>74</v>
      </c>
      <c r="M247" t="s">
        <v>78</v>
      </c>
      <c r="N247" t="s">
        <v>79</v>
      </c>
      <c r="O247" t="s">
        <v>74</v>
      </c>
      <c r="P247" t="s">
        <v>74</v>
      </c>
      <c r="Q247" t="s">
        <v>74</v>
      </c>
      <c r="R247" t="s">
        <v>74</v>
      </c>
      <c r="S247" t="s">
        <v>74</v>
      </c>
      <c r="T247" t="s">
        <v>5151</v>
      </c>
      <c r="U247" t="s">
        <v>5152</v>
      </c>
      <c r="V247" t="s">
        <v>5153</v>
      </c>
      <c r="W247" t="s">
        <v>5154</v>
      </c>
      <c r="X247" t="s">
        <v>5155</v>
      </c>
      <c r="Y247" t="s">
        <v>5156</v>
      </c>
      <c r="Z247" t="s">
        <v>5157</v>
      </c>
      <c r="AA247" t="s">
        <v>74</v>
      </c>
      <c r="AB247" t="s">
        <v>74</v>
      </c>
      <c r="AC247" t="s">
        <v>5158</v>
      </c>
      <c r="AD247" t="s">
        <v>5159</v>
      </c>
      <c r="AE247" t="s">
        <v>5160</v>
      </c>
      <c r="AF247" t="s">
        <v>74</v>
      </c>
      <c r="AG247">
        <v>51</v>
      </c>
      <c r="AH247">
        <v>25</v>
      </c>
      <c r="AI247">
        <v>28</v>
      </c>
      <c r="AJ247">
        <v>0</v>
      </c>
      <c r="AK247">
        <v>5</v>
      </c>
      <c r="AL247" t="s">
        <v>1239</v>
      </c>
      <c r="AM247" t="s">
        <v>448</v>
      </c>
      <c r="AN247" t="s">
        <v>5095</v>
      </c>
      <c r="AO247" t="s">
        <v>5161</v>
      </c>
      <c r="AP247" t="s">
        <v>5162</v>
      </c>
      <c r="AQ247" t="s">
        <v>74</v>
      </c>
      <c r="AR247" t="s">
        <v>5163</v>
      </c>
      <c r="AS247" t="s">
        <v>5164</v>
      </c>
      <c r="AT247" t="s">
        <v>5054</v>
      </c>
      <c r="AU247">
        <v>2015</v>
      </c>
      <c r="AV247">
        <v>79</v>
      </c>
      <c r="AW247">
        <v>4</v>
      </c>
      <c r="AX247" t="s">
        <v>74</v>
      </c>
      <c r="AY247" t="s">
        <v>74</v>
      </c>
      <c r="AZ247" t="s">
        <v>74</v>
      </c>
      <c r="BA247" t="s">
        <v>74</v>
      </c>
      <c r="BB247">
        <v>539</v>
      </c>
      <c r="BC247">
        <v>552</v>
      </c>
      <c r="BD247" t="s">
        <v>74</v>
      </c>
      <c r="BE247" t="s">
        <v>5165</v>
      </c>
      <c r="BF247" t="str">
        <f>HYPERLINK("http://dx.doi.org/10.1080/09168451.2014.991681","http://dx.doi.org/10.1080/09168451.2014.991681")</f>
        <v>http://dx.doi.org/10.1080/09168451.2014.991681</v>
      </c>
      <c r="BG247" t="s">
        <v>74</v>
      </c>
      <c r="BH247" t="s">
        <v>74</v>
      </c>
      <c r="BI247">
        <v>14</v>
      </c>
      <c r="BJ247" t="s">
        <v>5166</v>
      </c>
      <c r="BK247" t="s">
        <v>100</v>
      </c>
      <c r="BL247" t="s">
        <v>5167</v>
      </c>
      <c r="BM247" t="s">
        <v>5168</v>
      </c>
      <c r="BN247">
        <v>25494680</v>
      </c>
      <c r="BO247" t="s">
        <v>156</v>
      </c>
      <c r="BP247" t="s">
        <v>74</v>
      </c>
      <c r="BQ247" t="s">
        <v>74</v>
      </c>
      <c r="BR247" t="s">
        <v>104</v>
      </c>
      <c r="BS247" t="s">
        <v>5169</v>
      </c>
      <c r="BT247" t="str">
        <f>HYPERLINK("https%3A%2F%2Fwww.webofscience.com%2Fwos%2Fwoscc%2Ffull-record%2FWOS:000353479000003","View Full Record in Web of Science")</f>
        <v>View Full Record in Web of Science</v>
      </c>
    </row>
    <row r="248" spans="1:72" x14ac:dyDescent="0.15">
      <c r="A248" t="s">
        <v>72</v>
      </c>
      <c r="B248" t="s">
        <v>5170</v>
      </c>
      <c r="C248" t="s">
        <v>74</v>
      </c>
      <c r="D248" t="s">
        <v>74</v>
      </c>
      <c r="E248" t="s">
        <v>74</v>
      </c>
      <c r="F248" t="s">
        <v>5171</v>
      </c>
      <c r="G248" t="s">
        <v>74</v>
      </c>
      <c r="H248" t="s">
        <v>74</v>
      </c>
      <c r="I248" t="s">
        <v>5172</v>
      </c>
      <c r="J248" t="s">
        <v>5173</v>
      </c>
      <c r="K248" t="s">
        <v>74</v>
      </c>
      <c r="L248" t="s">
        <v>74</v>
      </c>
      <c r="M248" t="s">
        <v>78</v>
      </c>
      <c r="N248" t="s">
        <v>79</v>
      </c>
      <c r="O248" t="s">
        <v>74</v>
      </c>
      <c r="P248" t="s">
        <v>74</v>
      </c>
      <c r="Q248" t="s">
        <v>74</v>
      </c>
      <c r="R248" t="s">
        <v>74</v>
      </c>
      <c r="S248" t="s">
        <v>74</v>
      </c>
      <c r="T248" t="s">
        <v>5174</v>
      </c>
      <c r="U248" t="s">
        <v>5175</v>
      </c>
      <c r="V248" t="s">
        <v>5176</v>
      </c>
      <c r="W248" t="s">
        <v>5177</v>
      </c>
      <c r="X248" t="s">
        <v>5178</v>
      </c>
      <c r="Y248" t="s">
        <v>5179</v>
      </c>
      <c r="Z248" t="s">
        <v>5180</v>
      </c>
      <c r="AA248" t="s">
        <v>74</v>
      </c>
      <c r="AB248" t="s">
        <v>74</v>
      </c>
      <c r="AC248" t="s">
        <v>5181</v>
      </c>
      <c r="AD248" t="s">
        <v>5182</v>
      </c>
      <c r="AE248" t="s">
        <v>74</v>
      </c>
      <c r="AF248" t="s">
        <v>74</v>
      </c>
      <c r="AG248">
        <v>41</v>
      </c>
      <c r="AH248">
        <v>1</v>
      </c>
      <c r="AI248">
        <v>1</v>
      </c>
      <c r="AJ248">
        <v>0</v>
      </c>
      <c r="AK248">
        <v>9</v>
      </c>
      <c r="AL248" t="s">
        <v>1239</v>
      </c>
      <c r="AM248" t="s">
        <v>448</v>
      </c>
      <c r="AN248" t="s">
        <v>5095</v>
      </c>
      <c r="AO248" t="s">
        <v>5183</v>
      </c>
      <c r="AP248" t="s">
        <v>5184</v>
      </c>
      <c r="AQ248" t="s">
        <v>74</v>
      </c>
      <c r="AR248" t="s">
        <v>5173</v>
      </c>
      <c r="AS248" t="s">
        <v>5185</v>
      </c>
      <c r="AT248" t="s">
        <v>5054</v>
      </c>
      <c r="AU248">
        <v>2015</v>
      </c>
      <c r="AV248">
        <v>39</v>
      </c>
      <c r="AW248">
        <v>2</v>
      </c>
      <c r="AX248" t="s">
        <v>74</v>
      </c>
      <c r="AY248" t="s">
        <v>74</v>
      </c>
      <c r="AZ248" t="s">
        <v>74</v>
      </c>
      <c r="BA248" t="s">
        <v>74</v>
      </c>
      <c r="BB248">
        <v>200</v>
      </c>
      <c r="BC248">
        <v>206</v>
      </c>
      <c r="BD248" t="s">
        <v>74</v>
      </c>
      <c r="BE248" t="s">
        <v>5186</v>
      </c>
      <c r="BF248" t="str">
        <f>HYPERLINK("http://dx.doi.org/10.1080/03115518.2015.965545","http://dx.doi.org/10.1080/03115518.2015.965545")</f>
        <v>http://dx.doi.org/10.1080/03115518.2015.965545</v>
      </c>
      <c r="BG248" t="s">
        <v>74</v>
      </c>
      <c r="BH248" t="s">
        <v>74</v>
      </c>
      <c r="BI248">
        <v>7</v>
      </c>
      <c r="BJ248" t="s">
        <v>1215</v>
      </c>
      <c r="BK248" t="s">
        <v>100</v>
      </c>
      <c r="BL248" t="s">
        <v>1215</v>
      </c>
      <c r="BM248" t="s">
        <v>5187</v>
      </c>
      <c r="BN248" t="s">
        <v>74</v>
      </c>
      <c r="BO248" t="s">
        <v>74</v>
      </c>
      <c r="BP248" t="s">
        <v>74</v>
      </c>
      <c r="BQ248" t="s">
        <v>74</v>
      </c>
      <c r="BR248" t="s">
        <v>104</v>
      </c>
      <c r="BS248" t="s">
        <v>5188</v>
      </c>
      <c r="BT248" t="str">
        <f>HYPERLINK("https%3A%2F%2Fwww.webofscience.com%2Fwos%2Fwoscc%2Ffull-record%2FWOS:000352626700005","View Full Record in Web of Science")</f>
        <v>View Full Record in Web of Science</v>
      </c>
    </row>
    <row r="249" spans="1:72" x14ac:dyDescent="0.15">
      <c r="A249" t="s">
        <v>72</v>
      </c>
      <c r="B249" t="s">
        <v>5189</v>
      </c>
      <c r="C249" t="s">
        <v>74</v>
      </c>
      <c r="D249" t="s">
        <v>74</v>
      </c>
      <c r="E249" t="s">
        <v>74</v>
      </c>
      <c r="F249" t="s">
        <v>5190</v>
      </c>
      <c r="G249" t="s">
        <v>74</v>
      </c>
      <c r="H249" t="s">
        <v>74</v>
      </c>
      <c r="I249" t="s">
        <v>5191</v>
      </c>
      <c r="J249" t="s">
        <v>5127</v>
      </c>
      <c r="K249" t="s">
        <v>74</v>
      </c>
      <c r="L249" t="s">
        <v>74</v>
      </c>
      <c r="M249" t="s">
        <v>78</v>
      </c>
      <c r="N249" t="s">
        <v>79</v>
      </c>
      <c r="O249" t="s">
        <v>74</v>
      </c>
      <c r="P249" t="s">
        <v>74</v>
      </c>
      <c r="Q249" t="s">
        <v>74</v>
      </c>
      <c r="R249" t="s">
        <v>74</v>
      </c>
      <c r="S249" t="s">
        <v>74</v>
      </c>
      <c r="T249" t="s">
        <v>5192</v>
      </c>
      <c r="U249" t="s">
        <v>5193</v>
      </c>
      <c r="V249" t="s">
        <v>5194</v>
      </c>
      <c r="W249" t="s">
        <v>5195</v>
      </c>
      <c r="X249" t="s">
        <v>5196</v>
      </c>
      <c r="Y249" t="s">
        <v>5197</v>
      </c>
      <c r="Z249" t="s">
        <v>5198</v>
      </c>
      <c r="AA249" t="s">
        <v>5199</v>
      </c>
      <c r="AB249" t="s">
        <v>5200</v>
      </c>
      <c r="AC249" t="s">
        <v>5201</v>
      </c>
      <c r="AD249" t="s">
        <v>5202</v>
      </c>
      <c r="AE249" t="s">
        <v>5203</v>
      </c>
      <c r="AF249" t="s">
        <v>74</v>
      </c>
      <c r="AG249">
        <v>43</v>
      </c>
      <c r="AH249">
        <v>24</v>
      </c>
      <c r="AI249">
        <v>26</v>
      </c>
      <c r="AJ249">
        <v>0</v>
      </c>
      <c r="AK249">
        <v>8</v>
      </c>
      <c r="AL249" t="s">
        <v>1239</v>
      </c>
      <c r="AM249" t="s">
        <v>448</v>
      </c>
      <c r="AN249" t="s">
        <v>1240</v>
      </c>
      <c r="AO249" t="s">
        <v>5140</v>
      </c>
      <c r="AP249" t="s">
        <v>5141</v>
      </c>
      <c r="AQ249" t="s">
        <v>74</v>
      </c>
      <c r="AR249" t="s">
        <v>5142</v>
      </c>
      <c r="AS249" t="s">
        <v>5143</v>
      </c>
      <c r="AT249" t="s">
        <v>5054</v>
      </c>
      <c r="AU249">
        <v>2015</v>
      </c>
      <c r="AV249">
        <v>30</v>
      </c>
      <c r="AW249">
        <v>2</v>
      </c>
      <c r="AX249" t="s">
        <v>74</v>
      </c>
      <c r="AY249" t="s">
        <v>74</v>
      </c>
      <c r="AZ249" t="s">
        <v>74</v>
      </c>
      <c r="BA249" t="s">
        <v>74</v>
      </c>
      <c r="BB249">
        <v>117</v>
      </c>
      <c r="BC249">
        <v>131</v>
      </c>
      <c r="BD249" t="s">
        <v>74</v>
      </c>
      <c r="BE249" t="s">
        <v>5204</v>
      </c>
      <c r="BF249" t="str">
        <f>HYPERLINK("http://dx.doi.org/10.1080/0269249X.2014.998714","http://dx.doi.org/10.1080/0269249X.2014.998714")</f>
        <v>http://dx.doi.org/10.1080/0269249X.2014.998714</v>
      </c>
      <c r="BG249" t="s">
        <v>74</v>
      </c>
      <c r="BH249" t="s">
        <v>74</v>
      </c>
      <c r="BI249">
        <v>15</v>
      </c>
      <c r="BJ249" t="s">
        <v>2667</v>
      </c>
      <c r="BK249" t="s">
        <v>100</v>
      </c>
      <c r="BL249" t="s">
        <v>2667</v>
      </c>
      <c r="BM249" t="s">
        <v>5205</v>
      </c>
      <c r="BN249" t="s">
        <v>74</v>
      </c>
      <c r="BO249" t="s">
        <v>74</v>
      </c>
      <c r="BP249" t="s">
        <v>74</v>
      </c>
      <c r="BQ249" t="s">
        <v>74</v>
      </c>
      <c r="BR249" t="s">
        <v>104</v>
      </c>
      <c r="BS249" t="s">
        <v>5206</v>
      </c>
      <c r="BT249" t="str">
        <f>HYPERLINK("https%3A%2F%2Fwww.webofscience.com%2Fwos%2Fwoscc%2Ffull-record%2FWOS:000354126000002","View Full Record in Web of Science")</f>
        <v>View Full Record in Web of Science</v>
      </c>
    </row>
    <row r="250" spans="1:72" x14ac:dyDescent="0.15">
      <c r="A250" t="s">
        <v>72</v>
      </c>
      <c r="B250" t="s">
        <v>5207</v>
      </c>
      <c r="C250" t="s">
        <v>74</v>
      </c>
      <c r="D250" t="s">
        <v>74</v>
      </c>
      <c r="E250" t="s">
        <v>74</v>
      </c>
      <c r="F250" t="s">
        <v>5208</v>
      </c>
      <c r="G250" t="s">
        <v>74</v>
      </c>
      <c r="H250" t="s">
        <v>74</v>
      </c>
      <c r="I250" t="s">
        <v>5209</v>
      </c>
      <c r="J250" t="s">
        <v>5085</v>
      </c>
      <c r="K250" t="s">
        <v>74</v>
      </c>
      <c r="L250" t="s">
        <v>74</v>
      </c>
      <c r="M250" t="s">
        <v>78</v>
      </c>
      <c r="N250" t="s">
        <v>1291</v>
      </c>
      <c r="O250" t="s">
        <v>74</v>
      </c>
      <c r="P250" t="s">
        <v>74</v>
      </c>
      <c r="Q250" t="s">
        <v>74</v>
      </c>
      <c r="R250" t="s">
        <v>74</v>
      </c>
      <c r="S250" t="s">
        <v>74</v>
      </c>
      <c r="T250" t="s">
        <v>5210</v>
      </c>
      <c r="U250" t="s">
        <v>5211</v>
      </c>
      <c r="V250" t="s">
        <v>5212</v>
      </c>
      <c r="W250" t="s">
        <v>5213</v>
      </c>
      <c r="X250" t="s">
        <v>5090</v>
      </c>
      <c r="Y250" t="s">
        <v>5091</v>
      </c>
      <c r="Z250" t="s">
        <v>1755</v>
      </c>
      <c r="AA250" t="s">
        <v>5214</v>
      </c>
      <c r="AB250" t="s">
        <v>5215</v>
      </c>
      <c r="AC250" t="s">
        <v>5093</v>
      </c>
      <c r="AD250" t="s">
        <v>5093</v>
      </c>
      <c r="AE250" t="s">
        <v>5216</v>
      </c>
      <c r="AF250" t="s">
        <v>74</v>
      </c>
      <c r="AG250">
        <v>181</v>
      </c>
      <c r="AH250">
        <v>143</v>
      </c>
      <c r="AI250">
        <v>150</v>
      </c>
      <c r="AJ250">
        <v>1</v>
      </c>
      <c r="AK250">
        <v>76</v>
      </c>
      <c r="AL250" t="s">
        <v>1239</v>
      </c>
      <c r="AM250" t="s">
        <v>448</v>
      </c>
      <c r="AN250" t="s">
        <v>1240</v>
      </c>
      <c r="AO250" t="s">
        <v>5096</v>
      </c>
      <c r="AP250" t="s">
        <v>5097</v>
      </c>
      <c r="AQ250" t="s">
        <v>74</v>
      </c>
      <c r="AR250" t="s">
        <v>5098</v>
      </c>
      <c r="AS250" t="s">
        <v>5099</v>
      </c>
      <c r="AT250" t="s">
        <v>5054</v>
      </c>
      <c r="AU250">
        <v>2015</v>
      </c>
      <c r="AV250">
        <v>49</v>
      </c>
      <c r="AW250">
        <v>2</v>
      </c>
      <c r="AX250" t="s">
        <v>74</v>
      </c>
      <c r="AY250" t="s">
        <v>74</v>
      </c>
      <c r="AZ250" t="s">
        <v>74</v>
      </c>
      <c r="BA250" t="s">
        <v>74</v>
      </c>
      <c r="BB250">
        <v>286</v>
      </c>
      <c r="BC250">
        <v>317</v>
      </c>
      <c r="BD250" t="s">
        <v>74</v>
      </c>
      <c r="BE250" t="s">
        <v>5217</v>
      </c>
      <c r="BF250" t="str">
        <f>HYPERLINK("http://dx.doi.org/10.1080/00288330.2014.992918","http://dx.doi.org/10.1080/00288330.2014.992918")</f>
        <v>http://dx.doi.org/10.1080/00288330.2014.992918</v>
      </c>
      <c r="BG250" t="s">
        <v>74</v>
      </c>
      <c r="BH250" t="s">
        <v>74</v>
      </c>
      <c r="BI250">
        <v>32</v>
      </c>
      <c r="BJ250" t="s">
        <v>1628</v>
      </c>
      <c r="BK250" t="s">
        <v>100</v>
      </c>
      <c r="BL250" t="s">
        <v>1628</v>
      </c>
      <c r="BM250" t="s">
        <v>5101</v>
      </c>
      <c r="BN250" t="s">
        <v>74</v>
      </c>
      <c r="BO250" t="s">
        <v>74</v>
      </c>
      <c r="BP250" t="s">
        <v>74</v>
      </c>
      <c r="BQ250" t="s">
        <v>74</v>
      </c>
      <c r="BR250" t="s">
        <v>104</v>
      </c>
      <c r="BS250" t="s">
        <v>5218</v>
      </c>
      <c r="BT250" t="str">
        <f>HYPERLINK("https%3A%2F%2Fwww.webofscience.com%2Fwos%2Fwoscc%2Ffull-record%2FWOS:000356795800010","View Full Record in Web of Science")</f>
        <v>View Full Record in Web of Science</v>
      </c>
    </row>
    <row r="251" spans="1:72" x14ac:dyDescent="0.15">
      <c r="A251" t="s">
        <v>72</v>
      </c>
      <c r="B251" t="s">
        <v>5219</v>
      </c>
      <c r="C251" t="s">
        <v>74</v>
      </c>
      <c r="D251" t="s">
        <v>74</v>
      </c>
      <c r="E251" t="s">
        <v>74</v>
      </c>
      <c r="F251" t="s">
        <v>5220</v>
      </c>
      <c r="G251" t="s">
        <v>74</v>
      </c>
      <c r="H251" t="s">
        <v>74</v>
      </c>
      <c r="I251" t="s">
        <v>5221</v>
      </c>
      <c r="J251" t="s">
        <v>5222</v>
      </c>
      <c r="K251" t="s">
        <v>74</v>
      </c>
      <c r="L251" t="s">
        <v>74</v>
      </c>
      <c r="M251" t="s">
        <v>78</v>
      </c>
      <c r="N251" t="s">
        <v>79</v>
      </c>
      <c r="O251" t="s">
        <v>74</v>
      </c>
      <c r="P251" t="s">
        <v>74</v>
      </c>
      <c r="Q251" t="s">
        <v>74</v>
      </c>
      <c r="R251" t="s">
        <v>74</v>
      </c>
      <c r="S251" t="s">
        <v>74</v>
      </c>
      <c r="T251" t="s">
        <v>5223</v>
      </c>
      <c r="U251" t="s">
        <v>5224</v>
      </c>
      <c r="V251" t="s">
        <v>5225</v>
      </c>
      <c r="W251" t="s">
        <v>5226</v>
      </c>
      <c r="X251" t="s">
        <v>5227</v>
      </c>
      <c r="Y251" t="s">
        <v>5228</v>
      </c>
      <c r="Z251" t="s">
        <v>5229</v>
      </c>
      <c r="AA251" t="s">
        <v>5230</v>
      </c>
      <c r="AB251" t="s">
        <v>5231</v>
      </c>
      <c r="AC251" t="s">
        <v>74</v>
      </c>
      <c r="AD251" t="s">
        <v>74</v>
      </c>
      <c r="AE251" t="s">
        <v>74</v>
      </c>
      <c r="AF251" t="s">
        <v>74</v>
      </c>
      <c r="AG251">
        <v>18</v>
      </c>
      <c r="AH251">
        <v>4</v>
      </c>
      <c r="AI251">
        <v>5</v>
      </c>
      <c r="AJ251">
        <v>0</v>
      </c>
      <c r="AK251">
        <v>13</v>
      </c>
      <c r="AL251" t="s">
        <v>447</v>
      </c>
      <c r="AM251" t="s">
        <v>448</v>
      </c>
      <c r="AN251" t="s">
        <v>449</v>
      </c>
      <c r="AO251" t="s">
        <v>5232</v>
      </c>
      <c r="AP251" t="s">
        <v>5233</v>
      </c>
      <c r="AQ251" t="s">
        <v>74</v>
      </c>
      <c r="AR251" t="s">
        <v>5234</v>
      </c>
      <c r="AS251" t="s">
        <v>5235</v>
      </c>
      <c r="AT251" t="s">
        <v>5054</v>
      </c>
      <c r="AU251">
        <v>2015</v>
      </c>
      <c r="AV251">
        <v>58</v>
      </c>
      <c r="AW251">
        <v>4</v>
      </c>
      <c r="AX251" t="s">
        <v>74</v>
      </c>
      <c r="AY251" t="s">
        <v>74</v>
      </c>
      <c r="AZ251" t="s">
        <v>74</v>
      </c>
      <c r="BA251" t="s">
        <v>74</v>
      </c>
      <c r="BB251">
        <v>738</v>
      </c>
      <c r="BC251">
        <v>755</v>
      </c>
      <c r="BD251" t="s">
        <v>74</v>
      </c>
      <c r="BE251" t="s">
        <v>5236</v>
      </c>
      <c r="BF251" t="str">
        <f>HYPERLINK("http://dx.doi.org/10.1080/09640568.2014.891073","http://dx.doi.org/10.1080/09640568.2014.891073")</f>
        <v>http://dx.doi.org/10.1080/09640568.2014.891073</v>
      </c>
      <c r="BG251" t="s">
        <v>74</v>
      </c>
      <c r="BH251" t="s">
        <v>74</v>
      </c>
      <c r="BI251">
        <v>18</v>
      </c>
      <c r="BJ251" t="s">
        <v>5237</v>
      </c>
      <c r="BK251" t="s">
        <v>1189</v>
      </c>
      <c r="BL251" t="s">
        <v>5238</v>
      </c>
      <c r="BM251" t="s">
        <v>5239</v>
      </c>
      <c r="BN251" t="s">
        <v>74</v>
      </c>
      <c r="BO251" t="s">
        <v>5240</v>
      </c>
      <c r="BP251" t="s">
        <v>74</v>
      </c>
      <c r="BQ251" t="s">
        <v>74</v>
      </c>
      <c r="BR251" t="s">
        <v>104</v>
      </c>
      <c r="BS251" t="s">
        <v>5241</v>
      </c>
      <c r="BT251" t="str">
        <f>HYPERLINK("https%3A%2F%2Fwww.webofscience.com%2Fwos%2Fwoscc%2Ffull-record%2FWOS:000349401800009","View Full Record in Web of Science")</f>
        <v>View Full Record in Web of Science</v>
      </c>
    </row>
    <row r="252" spans="1:72" x14ac:dyDescent="0.15">
      <c r="A252" t="s">
        <v>72</v>
      </c>
      <c r="B252" t="s">
        <v>5242</v>
      </c>
      <c r="C252" t="s">
        <v>74</v>
      </c>
      <c r="D252" t="s">
        <v>74</v>
      </c>
      <c r="E252" t="s">
        <v>74</v>
      </c>
      <c r="F252" t="s">
        <v>5243</v>
      </c>
      <c r="G252" t="s">
        <v>74</v>
      </c>
      <c r="H252" t="s">
        <v>74</v>
      </c>
      <c r="I252" t="s">
        <v>5244</v>
      </c>
      <c r="J252" t="s">
        <v>936</v>
      </c>
      <c r="K252" t="s">
        <v>74</v>
      </c>
      <c r="L252" t="s">
        <v>74</v>
      </c>
      <c r="M252" t="s">
        <v>78</v>
      </c>
      <c r="N252" t="s">
        <v>79</v>
      </c>
      <c r="O252" t="s">
        <v>74</v>
      </c>
      <c r="P252" t="s">
        <v>74</v>
      </c>
      <c r="Q252" t="s">
        <v>74</v>
      </c>
      <c r="R252" t="s">
        <v>74</v>
      </c>
      <c r="S252" t="s">
        <v>74</v>
      </c>
      <c r="T252" t="s">
        <v>74</v>
      </c>
      <c r="U252" t="s">
        <v>5245</v>
      </c>
      <c r="V252" t="s">
        <v>5246</v>
      </c>
      <c r="W252" t="s">
        <v>5247</v>
      </c>
      <c r="X252" t="s">
        <v>5248</v>
      </c>
      <c r="Y252" t="s">
        <v>5249</v>
      </c>
      <c r="Z252" t="s">
        <v>5250</v>
      </c>
      <c r="AA252" t="s">
        <v>5251</v>
      </c>
      <c r="AB252" t="s">
        <v>5252</v>
      </c>
      <c r="AC252" t="s">
        <v>5253</v>
      </c>
      <c r="AD252" t="s">
        <v>5254</v>
      </c>
      <c r="AE252" t="s">
        <v>5255</v>
      </c>
      <c r="AF252" t="s">
        <v>74</v>
      </c>
      <c r="AG252">
        <v>79</v>
      </c>
      <c r="AH252">
        <v>36</v>
      </c>
      <c r="AI252">
        <v>37</v>
      </c>
      <c r="AJ252">
        <v>1</v>
      </c>
      <c r="AK252">
        <v>41</v>
      </c>
      <c r="AL252" t="s">
        <v>946</v>
      </c>
      <c r="AM252" t="s">
        <v>947</v>
      </c>
      <c r="AN252" t="s">
        <v>948</v>
      </c>
      <c r="AO252" t="s">
        <v>949</v>
      </c>
      <c r="AP252" t="s">
        <v>74</v>
      </c>
      <c r="AQ252" t="s">
        <v>74</v>
      </c>
      <c r="AR252" t="s">
        <v>936</v>
      </c>
      <c r="AS252" t="s">
        <v>950</v>
      </c>
      <c r="AT252" t="s">
        <v>5256</v>
      </c>
      <c r="AU252">
        <v>2015</v>
      </c>
      <c r="AV252">
        <v>10</v>
      </c>
      <c r="AW252">
        <v>4</v>
      </c>
      <c r="AX252" t="s">
        <v>74</v>
      </c>
      <c r="AY252" t="s">
        <v>74</v>
      </c>
      <c r="AZ252" t="s">
        <v>74</v>
      </c>
      <c r="BA252" t="s">
        <v>74</v>
      </c>
      <c r="BB252" t="s">
        <v>74</v>
      </c>
      <c r="BC252" t="s">
        <v>74</v>
      </c>
      <c r="BD252" t="s">
        <v>5257</v>
      </c>
      <c r="BE252" t="s">
        <v>5258</v>
      </c>
      <c r="BF252" t="str">
        <f>HYPERLINK("http://dx.doi.org/10.1371/journal.pone.0121642","http://dx.doi.org/10.1371/journal.pone.0121642")</f>
        <v>http://dx.doi.org/10.1371/journal.pone.0121642</v>
      </c>
      <c r="BG252" t="s">
        <v>74</v>
      </c>
      <c r="BH252" t="s">
        <v>74</v>
      </c>
      <c r="BI252">
        <v>23</v>
      </c>
      <c r="BJ252" t="s">
        <v>429</v>
      </c>
      <c r="BK252" t="s">
        <v>100</v>
      </c>
      <c r="BL252" t="s">
        <v>430</v>
      </c>
      <c r="BM252" t="s">
        <v>5259</v>
      </c>
      <c r="BN252">
        <v>25835552</v>
      </c>
      <c r="BO252" t="s">
        <v>5260</v>
      </c>
      <c r="BP252" t="s">
        <v>74</v>
      </c>
      <c r="BQ252" t="s">
        <v>74</v>
      </c>
      <c r="BR252" t="s">
        <v>104</v>
      </c>
      <c r="BS252" t="s">
        <v>5261</v>
      </c>
      <c r="BT252" t="str">
        <f>HYPERLINK("https%3A%2F%2Fwww.webofscience.com%2Fwos%2Fwoscc%2Ffull-record%2FWOS:000352139000053","View Full Record in Web of Science")</f>
        <v>View Full Record in Web of Science</v>
      </c>
    </row>
    <row r="253" spans="1:72" x14ac:dyDescent="0.15">
      <c r="A253" t="s">
        <v>72</v>
      </c>
      <c r="B253" t="s">
        <v>5262</v>
      </c>
      <c r="C253" t="s">
        <v>74</v>
      </c>
      <c r="D253" t="s">
        <v>74</v>
      </c>
      <c r="E253" t="s">
        <v>74</v>
      </c>
      <c r="F253" t="s">
        <v>5263</v>
      </c>
      <c r="G253" t="s">
        <v>74</v>
      </c>
      <c r="H253" t="s">
        <v>74</v>
      </c>
      <c r="I253" t="s">
        <v>5264</v>
      </c>
      <c r="J253" t="s">
        <v>5265</v>
      </c>
      <c r="K253" t="s">
        <v>74</v>
      </c>
      <c r="L253" t="s">
        <v>74</v>
      </c>
      <c r="M253" t="s">
        <v>78</v>
      </c>
      <c r="N253" t="s">
        <v>79</v>
      </c>
      <c r="O253" t="s">
        <v>74</v>
      </c>
      <c r="P253" t="s">
        <v>74</v>
      </c>
      <c r="Q253" t="s">
        <v>74</v>
      </c>
      <c r="R253" t="s">
        <v>74</v>
      </c>
      <c r="S253" t="s">
        <v>74</v>
      </c>
      <c r="T253" t="s">
        <v>5266</v>
      </c>
      <c r="U253" t="s">
        <v>74</v>
      </c>
      <c r="V253" t="s">
        <v>5267</v>
      </c>
      <c r="W253" t="s">
        <v>5268</v>
      </c>
      <c r="X253" t="s">
        <v>5269</v>
      </c>
      <c r="Y253" t="s">
        <v>5270</v>
      </c>
      <c r="Z253" t="s">
        <v>5271</v>
      </c>
      <c r="AA253" t="s">
        <v>74</v>
      </c>
      <c r="AB253" t="s">
        <v>74</v>
      </c>
      <c r="AC253" t="s">
        <v>74</v>
      </c>
      <c r="AD253" t="s">
        <v>74</v>
      </c>
      <c r="AE253" t="s">
        <v>74</v>
      </c>
      <c r="AF253" t="s">
        <v>74</v>
      </c>
      <c r="AG253">
        <v>40</v>
      </c>
      <c r="AH253">
        <v>1</v>
      </c>
      <c r="AI253">
        <v>2</v>
      </c>
      <c r="AJ253">
        <v>0</v>
      </c>
      <c r="AK253">
        <v>5</v>
      </c>
      <c r="AL253" t="s">
        <v>5272</v>
      </c>
      <c r="AM253" t="s">
        <v>5273</v>
      </c>
      <c r="AN253" t="s">
        <v>5274</v>
      </c>
      <c r="AO253" t="s">
        <v>5275</v>
      </c>
      <c r="AP253" t="s">
        <v>74</v>
      </c>
      <c r="AQ253" t="s">
        <v>74</v>
      </c>
      <c r="AR253" t="s">
        <v>5276</v>
      </c>
      <c r="AS253" t="s">
        <v>5277</v>
      </c>
      <c r="AT253" t="s">
        <v>5278</v>
      </c>
      <c r="AU253">
        <v>2015</v>
      </c>
      <c r="AV253">
        <v>6</v>
      </c>
      <c r="AW253">
        <v>2</v>
      </c>
      <c r="AX253" t="s">
        <v>74</v>
      </c>
      <c r="AY253" t="s">
        <v>74</v>
      </c>
      <c r="AZ253" t="s">
        <v>74</v>
      </c>
      <c r="BA253" t="s">
        <v>74</v>
      </c>
      <c r="BB253">
        <v>110</v>
      </c>
      <c r="BC253">
        <v>124</v>
      </c>
      <c r="BD253" t="s">
        <v>74</v>
      </c>
      <c r="BE253" t="s">
        <v>74</v>
      </c>
      <c r="BF253" t="s">
        <v>74</v>
      </c>
      <c r="BG253" t="s">
        <v>74</v>
      </c>
      <c r="BH253" t="s">
        <v>74</v>
      </c>
      <c r="BI253">
        <v>15</v>
      </c>
      <c r="BJ253" t="s">
        <v>5279</v>
      </c>
      <c r="BK253" t="s">
        <v>888</v>
      </c>
      <c r="BL253" t="s">
        <v>5279</v>
      </c>
      <c r="BM253" t="s">
        <v>5280</v>
      </c>
      <c r="BN253" t="s">
        <v>74</v>
      </c>
      <c r="BO253" t="s">
        <v>74</v>
      </c>
      <c r="BP253" t="s">
        <v>74</v>
      </c>
      <c r="BQ253" t="s">
        <v>74</v>
      </c>
      <c r="BR253" t="s">
        <v>104</v>
      </c>
      <c r="BS253" t="s">
        <v>5281</v>
      </c>
      <c r="BT253" t="str">
        <f>HYPERLINK("https%3A%2F%2Fwww.webofscience.com%2Fwos%2Fwoscc%2Ffull-record%2FWOS:000368009400003","View Full Record in Web of Science")</f>
        <v>View Full Record in Web of Science</v>
      </c>
    </row>
    <row r="254" spans="1:72" x14ac:dyDescent="0.15">
      <c r="A254" t="s">
        <v>72</v>
      </c>
      <c r="B254" t="s">
        <v>5282</v>
      </c>
      <c r="C254" t="s">
        <v>74</v>
      </c>
      <c r="D254" t="s">
        <v>74</v>
      </c>
      <c r="E254" t="s">
        <v>74</v>
      </c>
      <c r="F254" t="s">
        <v>5283</v>
      </c>
      <c r="G254" t="s">
        <v>74</v>
      </c>
      <c r="H254" t="s">
        <v>74</v>
      </c>
      <c r="I254" t="s">
        <v>5284</v>
      </c>
      <c r="J254" t="s">
        <v>5265</v>
      </c>
      <c r="K254" t="s">
        <v>74</v>
      </c>
      <c r="L254" t="s">
        <v>74</v>
      </c>
      <c r="M254" t="s">
        <v>5285</v>
      </c>
      <c r="N254" t="s">
        <v>79</v>
      </c>
      <c r="O254" t="s">
        <v>74</v>
      </c>
      <c r="P254" t="s">
        <v>74</v>
      </c>
      <c r="Q254" t="s">
        <v>74</v>
      </c>
      <c r="R254" t="s">
        <v>74</v>
      </c>
      <c r="S254" t="s">
        <v>74</v>
      </c>
      <c r="T254" t="s">
        <v>74</v>
      </c>
      <c r="U254" t="s">
        <v>74</v>
      </c>
      <c r="V254" t="s">
        <v>74</v>
      </c>
      <c r="W254" t="s">
        <v>5286</v>
      </c>
      <c r="X254" t="s">
        <v>5287</v>
      </c>
      <c r="Y254" t="s">
        <v>5288</v>
      </c>
      <c r="Z254" t="s">
        <v>5289</v>
      </c>
      <c r="AA254" t="s">
        <v>74</v>
      </c>
      <c r="AB254" t="s">
        <v>74</v>
      </c>
      <c r="AC254" t="s">
        <v>74</v>
      </c>
      <c r="AD254" t="s">
        <v>74</v>
      </c>
      <c r="AE254" t="s">
        <v>74</v>
      </c>
      <c r="AF254" t="s">
        <v>74</v>
      </c>
      <c r="AG254">
        <v>4</v>
      </c>
      <c r="AH254">
        <v>0</v>
      </c>
      <c r="AI254">
        <v>0</v>
      </c>
      <c r="AJ254">
        <v>0</v>
      </c>
      <c r="AK254">
        <v>0</v>
      </c>
      <c r="AL254" t="s">
        <v>5272</v>
      </c>
      <c r="AM254" t="s">
        <v>5273</v>
      </c>
      <c r="AN254" t="s">
        <v>5274</v>
      </c>
      <c r="AO254" t="s">
        <v>5275</v>
      </c>
      <c r="AP254" t="s">
        <v>74</v>
      </c>
      <c r="AQ254" t="s">
        <v>74</v>
      </c>
      <c r="AR254" t="s">
        <v>5276</v>
      </c>
      <c r="AS254" t="s">
        <v>5277</v>
      </c>
      <c r="AT254" t="s">
        <v>5278</v>
      </c>
      <c r="AU254">
        <v>2015</v>
      </c>
      <c r="AV254">
        <v>6</v>
      </c>
      <c r="AW254">
        <v>2</v>
      </c>
      <c r="AX254" t="s">
        <v>74</v>
      </c>
      <c r="AY254" t="s">
        <v>74</v>
      </c>
      <c r="AZ254" t="s">
        <v>74</v>
      </c>
      <c r="BA254" t="s">
        <v>74</v>
      </c>
      <c r="BB254">
        <v>144</v>
      </c>
      <c r="BC254">
        <v>154</v>
      </c>
      <c r="BD254" t="s">
        <v>74</v>
      </c>
      <c r="BE254" t="s">
        <v>74</v>
      </c>
      <c r="BF254" t="s">
        <v>74</v>
      </c>
      <c r="BG254" t="s">
        <v>74</v>
      </c>
      <c r="BH254" t="s">
        <v>74</v>
      </c>
      <c r="BI254">
        <v>11</v>
      </c>
      <c r="BJ254" t="s">
        <v>5279</v>
      </c>
      <c r="BK254" t="s">
        <v>888</v>
      </c>
      <c r="BL254" t="s">
        <v>5279</v>
      </c>
      <c r="BM254" t="s">
        <v>5280</v>
      </c>
      <c r="BN254" t="s">
        <v>74</v>
      </c>
      <c r="BO254" t="s">
        <v>74</v>
      </c>
      <c r="BP254" t="s">
        <v>74</v>
      </c>
      <c r="BQ254" t="s">
        <v>74</v>
      </c>
      <c r="BR254" t="s">
        <v>104</v>
      </c>
      <c r="BS254" t="s">
        <v>5290</v>
      </c>
      <c r="BT254" t="str">
        <f>HYPERLINK("https%3A%2F%2Fwww.webofscience.com%2Fwos%2Fwoscc%2Ffull-record%2FWOS:000368009400005","View Full Record in Web of Science")</f>
        <v>View Full Record in Web of Science</v>
      </c>
    </row>
    <row r="255" spans="1:72" x14ac:dyDescent="0.15">
      <c r="A255" t="s">
        <v>72</v>
      </c>
      <c r="B255" t="s">
        <v>5291</v>
      </c>
      <c r="C255" t="s">
        <v>74</v>
      </c>
      <c r="D255" t="s">
        <v>74</v>
      </c>
      <c r="E255" t="s">
        <v>74</v>
      </c>
      <c r="F255" t="s">
        <v>5292</v>
      </c>
      <c r="G255" t="s">
        <v>74</v>
      </c>
      <c r="H255" t="s">
        <v>74</v>
      </c>
      <c r="I255" t="s">
        <v>5293</v>
      </c>
      <c r="J255" t="s">
        <v>5294</v>
      </c>
      <c r="K255" t="s">
        <v>74</v>
      </c>
      <c r="L255" t="s">
        <v>74</v>
      </c>
      <c r="M255" t="s">
        <v>78</v>
      </c>
      <c r="N255" t="s">
        <v>1291</v>
      </c>
      <c r="O255" t="s">
        <v>74</v>
      </c>
      <c r="P255" t="s">
        <v>74</v>
      </c>
      <c r="Q255" t="s">
        <v>74</v>
      </c>
      <c r="R255" t="s">
        <v>74</v>
      </c>
      <c r="S255" t="s">
        <v>74</v>
      </c>
      <c r="T255" t="s">
        <v>5295</v>
      </c>
      <c r="U255" t="s">
        <v>5296</v>
      </c>
      <c r="V255" t="s">
        <v>5297</v>
      </c>
      <c r="W255" t="s">
        <v>5298</v>
      </c>
      <c r="X255" t="s">
        <v>5299</v>
      </c>
      <c r="Y255" t="s">
        <v>5300</v>
      </c>
      <c r="Z255" t="s">
        <v>5301</v>
      </c>
      <c r="AA255" t="s">
        <v>5302</v>
      </c>
      <c r="AB255" t="s">
        <v>5303</v>
      </c>
      <c r="AC255" t="s">
        <v>5304</v>
      </c>
      <c r="AD255" t="s">
        <v>5305</v>
      </c>
      <c r="AE255" t="s">
        <v>5306</v>
      </c>
      <c r="AF255" t="s">
        <v>74</v>
      </c>
      <c r="AG255">
        <v>49</v>
      </c>
      <c r="AH255">
        <v>1</v>
      </c>
      <c r="AI255">
        <v>1</v>
      </c>
      <c r="AJ255">
        <v>0</v>
      </c>
      <c r="AK255">
        <v>2</v>
      </c>
      <c r="AL255" t="s">
        <v>120</v>
      </c>
      <c r="AM255" t="s">
        <v>121</v>
      </c>
      <c r="AN255" t="s">
        <v>122</v>
      </c>
      <c r="AO255" t="s">
        <v>5307</v>
      </c>
      <c r="AP255" t="s">
        <v>5308</v>
      </c>
      <c r="AQ255" t="s">
        <v>74</v>
      </c>
      <c r="AR255" t="s">
        <v>5309</v>
      </c>
      <c r="AS255" t="s">
        <v>5310</v>
      </c>
      <c r="AT255" t="s">
        <v>5278</v>
      </c>
      <c r="AU255">
        <v>2015</v>
      </c>
      <c r="AV255">
        <v>95</v>
      </c>
      <c r="AW255">
        <v>2</v>
      </c>
      <c r="AX255" t="s">
        <v>74</v>
      </c>
      <c r="AY255" t="s">
        <v>74</v>
      </c>
      <c r="AZ255" t="s">
        <v>74</v>
      </c>
      <c r="BA255" t="s">
        <v>74</v>
      </c>
      <c r="BB255">
        <v>125</v>
      </c>
      <c r="BC255">
        <v>134</v>
      </c>
      <c r="BD255" t="s">
        <v>74</v>
      </c>
      <c r="BE255" t="s">
        <v>74</v>
      </c>
      <c r="BF255" t="s">
        <v>74</v>
      </c>
      <c r="BG255" t="s">
        <v>74</v>
      </c>
      <c r="BH255" t="s">
        <v>74</v>
      </c>
      <c r="BI255">
        <v>10</v>
      </c>
      <c r="BJ255" t="s">
        <v>429</v>
      </c>
      <c r="BK255" t="s">
        <v>100</v>
      </c>
      <c r="BL255" t="s">
        <v>430</v>
      </c>
      <c r="BM255" t="s">
        <v>5311</v>
      </c>
      <c r="BN255" t="s">
        <v>74</v>
      </c>
      <c r="BO255" t="s">
        <v>74</v>
      </c>
      <c r="BP255" t="s">
        <v>74</v>
      </c>
      <c r="BQ255" t="s">
        <v>74</v>
      </c>
      <c r="BR255" t="s">
        <v>104</v>
      </c>
      <c r="BS255" t="s">
        <v>5312</v>
      </c>
      <c r="BT255" t="str">
        <f>HYPERLINK("https%3A%2F%2Fwww.webofscience.com%2Fwos%2Fwoscc%2Ffull-record%2FWOS:000359886400004","View Full Record in Web of Science")</f>
        <v>View Full Record in Web of Science</v>
      </c>
    </row>
    <row r="256" spans="1:72" x14ac:dyDescent="0.15">
      <c r="A256" t="s">
        <v>72</v>
      </c>
      <c r="B256" t="s">
        <v>5313</v>
      </c>
      <c r="C256" t="s">
        <v>74</v>
      </c>
      <c r="D256" t="s">
        <v>74</v>
      </c>
      <c r="E256" t="s">
        <v>74</v>
      </c>
      <c r="F256" t="s">
        <v>5314</v>
      </c>
      <c r="G256" t="s">
        <v>74</v>
      </c>
      <c r="H256" t="s">
        <v>74</v>
      </c>
      <c r="I256" t="s">
        <v>5315</v>
      </c>
      <c r="J256" t="s">
        <v>5316</v>
      </c>
      <c r="K256" t="s">
        <v>74</v>
      </c>
      <c r="L256" t="s">
        <v>74</v>
      </c>
      <c r="M256" t="s">
        <v>78</v>
      </c>
      <c r="N256" t="s">
        <v>2611</v>
      </c>
      <c r="O256" t="s">
        <v>74</v>
      </c>
      <c r="P256" t="s">
        <v>74</v>
      </c>
      <c r="Q256" t="s">
        <v>74</v>
      </c>
      <c r="R256" t="s">
        <v>74</v>
      </c>
      <c r="S256" t="s">
        <v>74</v>
      </c>
      <c r="T256" t="s">
        <v>74</v>
      </c>
      <c r="U256" t="s">
        <v>5317</v>
      </c>
      <c r="V256" t="s">
        <v>74</v>
      </c>
      <c r="W256" t="s">
        <v>5318</v>
      </c>
      <c r="X256" t="s">
        <v>5319</v>
      </c>
      <c r="Y256" t="s">
        <v>5320</v>
      </c>
      <c r="Z256" t="s">
        <v>5321</v>
      </c>
      <c r="AA256" t="s">
        <v>74</v>
      </c>
      <c r="AB256" t="s">
        <v>74</v>
      </c>
      <c r="AC256" t="s">
        <v>74</v>
      </c>
      <c r="AD256" t="s">
        <v>74</v>
      </c>
      <c r="AE256" t="s">
        <v>74</v>
      </c>
      <c r="AF256" t="s">
        <v>74</v>
      </c>
      <c r="AG256">
        <v>12</v>
      </c>
      <c r="AH256">
        <v>1</v>
      </c>
      <c r="AI256">
        <v>1</v>
      </c>
      <c r="AJ256">
        <v>2</v>
      </c>
      <c r="AK256">
        <v>11</v>
      </c>
      <c r="AL256" t="s">
        <v>5322</v>
      </c>
      <c r="AM256" t="s">
        <v>5323</v>
      </c>
      <c r="AN256" t="s">
        <v>5324</v>
      </c>
      <c r="AO256" t="s">
        <v>5325</v>
      </c>
      <c r="AP256" t="s">
        <v>74</v>
      </c>
      <c r="AQ256" t="s">
        <v>74</v>
      </c>
      <c r="AR256" t="s">
        <v>5316</v>
      </c>
      <c r="AS256" t="s">
        <v>5326</v>
      </c>
      <c r="AT256" t="s">
        <v>5327</v>
      </c>
      <c r="AU256">
        <v>2015</v>
      </c>
      <c r="AV256">
        <v>66</v>
      </c>
      <c r="AW256">
        <v>2</v>
      </c>
      <c r="AX256" t="s">
        <v>74</v>
      </c>
      <c r="AY256" t="s">
        <v>74</v>
      </c>
      <c r="AZ256" t="s">
        <v>74</v>
      </c>
      <c r="BA256" t="s">
        <v>74</v>
      </c>
      <c r="BB256">
        <v>311</v>
      </c>
      <c r="BC256">
        <v>312</v>
      </c>
      <c r="BD256" t="s">
        <v>74</v>
      </c>
      <c r="BE256" t="s">
        <v>74</v>
      </c>
      <c r="BF256" t="s">
        <v>74</v>
      </c>
      <c r="BG256" t="s">
        <v>74</v>
      </c>
      <c r="BH256" t="s">
        <v>74</v>
      </c>
      <c r="BI256">
        <v>2</v>
      </c>
      <c r="BJ256" t="s">
        <v>406</v>
      </c>
      <c r="BK256" t="s">
        <v>100</v>
      </c>
      <c r="BL256" t="s">
        <v>406</v>
      </c>
      <c r="BM256" t="s">
        <v>5328</v>
      </c>
      <c r="BN256" t="s">
        <v>74</v>
      </c>
      <c r="BO256" t="s">
        <v>74</v>
      </c>
      <c r="BP256" t="s">
        <v>74</v>
      </c>
      <c r="BQ256" t="s">
        <v>74</v>
      </c>
      <c r="BR256" t="s">
        <v>104</v>
      </c>
      <c r="BS256" t="s">
        <v>5329</v>
      </c>
      <c r="BT256" t="str">
        <f>HYPERLINK("https%3A%2F%2Fwww.webofscience.com%2Fwos%2Fwoscc%2Ffull-record%2FWOS:000358551300016","View Full Record in Web of Science")</f>
        <v>View Full Record in Web of Science</v>
      </c>
    </row>
    <row r="257" spans="1:72" x14ac:dyDescent="0.15">
      <c r="A257" t="s">
        <v>72</v>
      </c>
      <c r="B257" t="s">
        <v>5330</v>
      </c>
      <c r="C257" t="s">
        <v>74</v>
      </c>
      <c r="D257" t="s">
        <v>74</v>
      </c>
      <c r="E257" t="s">
        <v>74</v>
      </c>
      <c r="F257" t="s">
        <v>5331</v>
      </c>
      <c r="G257" t="s">
        <v>74</v>
      </c>
      <c r="H257" t="s">
        <v>74</v>
      </c>
      <c r="I257" t="s">
        <v>5332</v>
      </c>
      <c r="J257" t="s">
        <v>5333</v>
      </c>
      <c r="K257" t="s">
        <v>74</v>
      </c>
      <c r="L257" t="s">
        <v>74</v>
      </c>
      <c r="M257" t="s">
        <v>78</v>
      </c>
      <c r="N257" t="s">
        <v>79</v>
      </c>
      <c r="O257" t="s">
        <v>74</v>
      </c>
      <c r="P257" t="s">
        <v>74</v>
      </c>
      <c r="Q257" t="s">
        <v>74</v>
      </c>
      <c r="R257" t="s">
        <v>74</v>
      </c>
      <c r="S257" t="s">
        <v>74</v>
      </c>
      <c r="T257" t="s">
        <v>5334</v>
      </c>
      <c r="U257" t="s">
        <v>5335</v>
      </c>
      <c r="V257" t="s">
        <v>5336</v>
      </c>
      <c r="W257" t="s">
        <v>5337</v>
      </c>
      <c r="X257" t="s">
        <v>5338</v>
      </c>
      <c r="Y257" t="s">
        <v>5339</v>
      </c>
      <c r="Z257" t="s">
        <v>5340</v>
      </c>
      <c r="AA257" t="s">
        <v>74</v>
      </c>
      <c r="AB257" t="s">
        <v>5341</v>
      </c>
      <c r="AC257" t="s">
        <v>5342</v>
      </c>
      <c r="AD257" t="s">
        <v>5342</v>
      </c>
      <c r="AE257" t="s">
        <v>5343</v>
      </c>
      <c r="AF257" t="s">
        <v>74</v>
      </c>
      <c r="AG257">
        <v>78</v>
      </c>
      <c r="AH257">
        <v>14</v>
      </c>
      <c r="AI257">
        <v>14</v>
      </c>
      <c r="AJ257">
        <v>1</v>
      </c>
      <c r="AK257">
        <v>11</v>
      </c>
      <c r="AL257" t="s">
        <v>1039</v>
      </c>
      <c r="AM257" t="s">
        <v>816</v>
      </c>
      <c r="AN257" t="s">
        <v>1040</v>
      </c>
      <c r="AO257" t="s">
        <v>5344</v>
      </c>
      <c r="AP257" t="s">
        <v>5345</v>
      </c>
      <c r="AQ257" t="s">
        <v>74</v>
      </c>
      <c r="AR257" t="s">
        <v>5346</v>
      </c>
      <c r="AS257" t="s">
        <v>5347</v>
      </c>
      <c r="AT257" t="s">
        <v>5327</v>
      </c>
      <c r="AU257">
        <v>2015</v>
      </c>
      <c r="AV257">
        <v>116</v>
      </c>
      <c r="AW257" t="s">
        <v>74</v>
      </c>
      <c r="AX257" t="s">
        <v>74</v>
      </c>
      <c r="AY257" t="s">
        <v>74</v>
      </c>
      <c r="AZ257" t="s">
        <v>74</v>
      </c>
      <c r="BA257" t="s">
        <v>74</v>
      </c>
      <c r="BB257">
        <v>1</v>
      </c>
      <c r="BC257">
        <v>14</v>
      </c>
      <c r="BD257" t="s">
        <v>74</v>
      </c>
      <c r="BE257" t="s">
        <v>5348</v>
      </c>
      <c r="BF257" t="str">
        <f>HYPERLINK("http://dx.doi.org/10.1016/j.marmicro.2014.12.003","http://dx.doi.org/10.1016/j.marmicro.2014.12.003")</f>
        <v>http://dx.doi.org/10.1016/j.marmicro.2014.12.003</v>
      </c>
      <c r="BG257" t="s">
        <v>74</v>
      </c>
      <c r="BH257" t="s">
        <v>74</v>
      </c>
      <c r="BI257">
        <v>14</v>
      </c>
      <c r="BJ257" t="s">
        <v>1215</v>
      </c>
      <c r="BK257" t="s">
        <v>100</v>
      </c>
      <c r="BL257" t="s">
        <v>1215</v>
      </c>
      <c r="BM257" t="s">
        <v>5349</v>
      </c>
      <c r="BN257" t="s">
        <v>74</v>
      </c>
      <c r="BO257" t="s">
        <v>74</v>
      </c>
      <c r="BP257" t="s">
        <v>74</v>
      </c>
      <c r="BQ257" t="s">
        <v>74</v>
      </c>
      <c r="BR257" t="s">
        <v>104</v>
      </c>
      <c r="BS257" t="s">
        <v>5350</v>
      </c>
      <c r="BT257" t="str">
        <f>HYPERLINK("https%3A%2F%2Fwww.webofscience.com%2Fwos%2Fwoscc%2Ffull-record%2FWOS:000357904500001","View Full Record in Web of Science")</f>
        <v>View Full Record in Web of Science</v>
      </c>
    </row>
    <row r="258" spans="1:72" x14ac:dyDescent="0.15">
      <c r="A258" t="s">
        <v>72</v>
      </c>
      <c r="B258" t="s">
        <v>5351</v>
      </c>
      <c r="C258" t="s">
        <v>74</v>
      </c>
      <c r="D258" t="s">
        <v>74</v>
      </c>
      <c r="E258" t="s">
        <v>74</v>
      </c>
      <c r="F258" t="s">
        <v>5352</v>
      </c>
      <c r="G258" t="s">
        <v>74</v>
      </c>
      <c r="H258" t="s">
        <v>74</v>
      </c>
      <c r="I258" t="s">
        <v>5353</v>
      </c>
      <c r="J258" t="s">
        <v>5354</v>
      </c>
      <c r="K258" t="s">
        <v>74</v>
      </c>
      <c r="L258" t="s">
        <v>74</v>
      </c>
      <c r="M258" t="s">
        <v>78</v>
      </c>
      <c r="N258" t="s">
        <v>79</v>
      </c>
      <c r="O258" t="s">
        <v>74</v>
      </c>
      <c r="P258" t="s">
        <v>74</v>
      </c>
      <c r="Q258" t="s">
        <v>74</v>
      </c>
      <c r="R258" t="s">
        <v>74</v>
      </c>
      <c r="S258" t="s">
        <v>74</v>
      </c>
      <c r="T258" t="s">
        <v>5355</v>
      </c>
      <c r="U258" t="s">
        <v>5356</v>
      </c>
      <c r="V258" t="s">
        <v>5357</v>
      </c>
      <c r="W258" t="s">
        <v>5358</v>
      </c>
      <c r="X258" t="s">
        <v>5359</v>
      </c>
      <c r="Y258" t="s">
        <v>5360</v>
      </c>
      <c r="Z258" t="s">
        <v>5361</v>
      </c>
      <c r="AA258" t="s">
        <v>5362</v>
      </c>
      <c r="AB258" t="s">
        <v>5363</v>
      </c>
      <c r="AC258" t="s">
        <v>5364</v>
      </c>
      <c r="AD258" t="s">
        <v>5365</v>
      </c>
      <c r="AE258" t="s">
        <v>5366</v>
      </c>
      <c r="AF258" t="s">
        <v>74</v>
      </c>
      <c r="AG258">
        <v>41</v>
      </c>
      <c r="AH258">
        <v>15</v>
      </c>
      <c r="AI258">
        <v>18</v>
      </c>
      <c r="AJ258">
        <v>0</v>
      </c>
      <c r="AK258">
        <v>25</v>
      </c>
      <c r="AL258" t="s">
        <v>5367</v>
      </c>
      <c r="AM258" t="s">
        <v>5368</v>
      </c>
      <c r="AN258" t="s">
        <v>5369</v>
      </c>
      <c r="AO258" t="s">
        <v>5370</v>
      </c>
      <c r="AP258" t="s">
        <v>74</v>
      </c>
      <c r="AQ258" t="s">
        <v>74</v>
      </c>
      <c r="AR258" t="s">
        <v>5371</v>
      </c>
      <c r="AS258" t="s">
        <v>5372</v>
      </c>
      <c r="AT258" t="s">
        <v>5278</v>
      </c>
      <c r="AU258">
        <v>2015</v>
      </c>
      <c r="AV258">
        <v>13</v>
      </c>
      <c r="AW258">
        <v>2</v>
      </c>
      <c r="AX258" t="s">
        <v>74</v>
      </c>
      <c r="AY258" t="s">
        <v>74</v>
      </c>
      <c r="AZ258" t="s">
        <v>74</v>
      </c>
      <c r="BA258" t="s">
        <v>74</v>
      </c>
      <c r="BB258">
        <v>255</v>
      </c>
      <c r="BC258">
        <v>264</v>
      </c>
      <c r="BD258" t="s">
        <v>74</v>
      </c>
      <c r="BE258" t="s">
        <v>5373</v>
      </c>
      <c r="BF258" t="str">
        <f>HYPERLINK("http://dx.doi.org/10.1590/1982-0224-20130219","http://dx.doi.org/10.1590/1982-0224-20130219")</f>
        <v>http://dx.doi.org/10.1590/1982-0224-20130219</v>
      </c>
      <c r="BG258" t="s">
        <v>74</v>
      </c>
      <c r="BH258" t="s">
        <v>74</v>
      </c>
      <c r="BI258">
        <v>10</v>
      </c>
      <c r="BJ258" t="s">
        <v>509</v>
      </c>
      <c r="BK258" t="s">
        <v>100</v>
      </c>
      <c r="BL258" t="s">
        <v>509</v>
      </c>
      <c r="BM258" t="s">
        <v>5374</v>
      </c>
      <c r="BN258" t="s">
        <v>74</v>
      </c>
      <c r="BO258" t="s">
        <v>432</v>
      </c>
      <c r="BP258" t="s">
        <v>74</v>
      </c>
      <c r="BQ258" t="s">
        <v>74</v>
      </c>
      <c r="BR258" t="s">
        <v>104</v>
      </c>
      <c r="BS258" t="s">
        <v>5375</v>
      </c>
      <c r="BT258" t="str">
        <f>HYPERLINK("https%3A%2F%2Fwww.webofscience.com%2Fwos%2Fwoscc%2Ffull-record%2FWOS:000358438400001","View Full Record in Web of Science")</f>
        <v>View Full Record in Web of Science</v>
      </c>
    </row>
    <row r="259" spans="1:72" x14ac:dyDescent="0.15">
      <c r="A259" t="s">
        <v>72</v>
      </c>
      <c r="B259" t="s">
        <v>5376</v>
      </c>
      <c r="C259" t="s">
        <v>74</v>
      </c>
      <c r="D259" t="s">
        <v>74</v>
      </c>
      <c r="E259" t="s">
        <v>74</v>
      </c>
      <c r="F259" t="s">
        <v>5377</v>
      </c>
      <c r="G259" t="s">
        <v>74</v>
      </c>
      <c r="H259" t="s">
        <v>74</v>
      </c>
      <c r="I259" t="s">
        <v>5378</v>
      </c>
      <c r="J259" t="s">
        <v>5379</v>
      </c>
      <c r="K259" t="s">
        <v>74</v>
      </c>
      <c r="L259" t="s">
        <v>74</v>
      </c>
      <c r="M259" t="s">
        <v>78</v>
      </c>
      <c r="N259" t="s">
        <v>79</v>
      </c>
      <c r="O259" t="s">
        <v>74</v>
      </c>
      <c r="P259" t="s">
        <v>74</v>
      </c>
      <c r="Q259" t="s">
        <v>74</v>
      </c>
      <c r="R259" t="s">
        <v>74</v>
      </c>
      <c r="S259" t="s">
        <v>74</v>
      </c>
      <c r="T259" t="s">
        <v>5380</v>
      </c>
      <c r="U259" t="s">
        <v>74</v>
      </c>
      <c r="V259" t="s">
        <v>5381</v>
      </c>
      <c r="W259" t="s">
        <v>5382</v>
      </c>
      <c r="X259" t="s">
        <v>5383</v>
      </c>
      <c r="Y259" t="s">
        <v>5384</v>
      </c>
      <c r="Z259" t="s">
        <v>5385</v>
      </c>
      <c r="AA259" t="s">
        <v>5386</v>
      </c>
      <c r="AB259" t="s">
        <v>5387</v>
      </c>
      <c r="AC259" t="s">
        <v>5388</v>
      </c>
      <c r="AD259" t="s">
        <v>5389</v>
      </c>
      <c r="AE259" t="s">
        <v>5390</v>
      </c>
      <c r="AF259" t="s">
        <v>74</v>
      </c>
      <c r="AG259">
        <v>15</v>
      </c>
      <c r="AH259">
        <v>19</v>
      </c>
      <c r="AI259">
        <v>21</v>
      </c>
      <c r="AJ259">
        <v>0</v>
      </c>
      <c r="AK259">
        <v>8</v>
      </c>
      <c r="AL259" t="s">
        <v>5391</v>
      </c>
      <c r="AM259" t="s">
        <v>5392</v>
      </c>
      <c r="AN259" t="s">
        <v>5393</v>
      </c>
      <c r="AO259" t="s">
        <v>5394</v>
      </c>
      <c r="AP259" t="s">
        <v>5395</v>
      </c>
      <c r="AQ259" t="s">
        <v>74</v>
      </c>
      <c r="AR259" t="s">
        <v>5396</v>
      </c>
      <c r="AS259" t="s">
        <v>5397</v>
      </c>
      <c r="AT259" t="s">
        <v>5327</v>
      </c>
      <c r="AU259">
        <v>2015</v>
      </c>
      <c r="AV259">
        <v>86</v>
      </c>
      <c r="AW259">
        <v>4</v>
      </c>
      <c r="AX259" t="s">
        <v>74</v>
      </c>
      <c r="AY259" t="s">
        <v>74</v>
      </c>
      <c r="AZ259" t="s">
        <v>74</v>
      </c>
      <c r="BA259" t="s">
        <v>74</v>
      </c>
      <c r="BB259">
        <v>392</v>
      </c>
      <c r="BC259">
        <v>396</v>
      </c>
      <c r="BD259" t="s">
        <v>74</v>
      </c>
      <c r="BE259" t="s">
        <v>5398</v>
      </c>
      <c r="BF259" t="str">
        <f>HYPERLINK("http://dx.doi.org/10.3357/AMHP.4159.2015","http://dx.doi.org/10.3357/AMHP.4159.2015")</f>
        <v>http://dx.doi.org/10.3357/AMHP.4159.2015</v>
      </c>
      <c r="BG259" t="s">
        <v>74</v>
      </c>
      <c r="BH259" t="s">
        <v>74</v>
      </c>
      <c r="BI259">
        <v>5</v>
      </c>
      <c r="BJ259" t="s">
        <v>5399</v>
      </c>
      <c r="BK259" t="s">
        <v>100</v>
      </c>
      <c r="BL259" t="s">
        <v>5400</v>
      </c>
      <c r="BM259" t="s">
        <v>5401</v>
      </c>
      <c r="BN259">
        <v>25945557</v>
      </c>
      <c r="BO259" t="s">
        <v>74</v>
      </c>
      <c r="BP259" t="s">
        <v>74</v>
      </c>
      <c r="BQ259" t="s">
        <v>74</v>
      </c>
      <c r="BR259" t="s">
        <v>104</v>
      </c>
      <c r="BS259" t="s">
        <v>5402</v>
      </c>
      <c r="BT259" t="str">
        <f>HYPERLINK("https%3A%2F%2Fwww.webofscience.com%2Fwos%2Fwoscc%2Ffull-record%2FWOS:000357344600008","View Full Record in Web of Science")</f>
        <v>View Full Record in Web of Science</v>
      </c>
    </row>
    <row r="260" spans="1:72" x14ac:dyDescent="0.15">
      <c r="A260" t="s">
        <v>72</v>
      </c>
      <c r="B260" t="s">
        <v>5403</v>
      </c>
      <c r="C260" t="s">
        <v>74</v>
      </c>
      <c r="D260" t="s">
        <v>74</v>
      </c>
      <c r="E260" t="s">
        <v>74</v>
      </c>
      <c r="F260" t="s">
        <v>5404</v>
      </c>
      <c r="G260" t="s">
        <v>74</v>
      </c>
      <c r="H260" t="s">
        <v>74</v>
      </c>
      <c r="I260" t="s">
        <v>5405</v>
      </c>
      <c r="J260" t="s">
        <v>5406</v>
      </c>
      <c r="K260" t="s">
        <v>74</v>
      </c>
      <c r="L260" t="s">
        <v>74</v>
      </c>
      <c r="M260" t="s">
        <v>78</v>
      </c>
      <c r="N260" t="s">
        <v>79</v>
      </c>
      <c r="O260" t="s">
        <v>74</v>
      </c>
      <c r="P260" t="s">
        <v>74</v>
      </c>
      <c r="Q260" t="s">
        <v>74</v>
      </c>
      <c r="R260" t="s">
        <v>74</v>
      </c>
      <c r="S260" t="s">
        <v>74</v>
      </c>
      <c r="T260" t="s">
        <v>5407</v>
      </c>
      <c r="U260" t="s">
        <v>5408</v>
      </c>
      <c r="V260" t="s">
        <v>5409</v>
      </c>
      <c r="W260" t="s">
        <v>5410</v>
      </c>
      <c r="X260" t="s">
        <v>83</v>
      </c>
      <c r="Y260" t="s">
        <v>5411</v>
      </c>
      <c r="Z260" t="s">
        <v>5412</v>
      </c>
      <c r="AA260" t="s">
        <v>5413</v>
      </c>
      <c r="AB260" t="s">
        <v>5414</v>
      </c>
      <c r="AC260" t="s">
        <v>5415</v>
      </c>
      <c r="AD260" t="s">
        <v>5416</v>
      </c>
      <c r="AE260" t="s">
        <v>5417</v>
      </c>
      <c r="AF260" t="s">
        <v>74</v>
      </c>
      <c r="AG260">
        <v>26</v>
      </c>
      <c r="AH260">
        <v>6</v>
      </c>
      <c r="AI260">
        <v>7</v>
      </c>
      <c r="AJ260">
        <v>1</v>
      </c>
      <c r="AK260">
        <v>16</v>
      </c>
      <c r="AL260" t="s">
        <v>1621</v>
      </c>
      <c r="AM260" t="s">
        <v>787</v>
      </c>
      <c r="AN260" t="s">
        <v>1622</v>
      </c>
      <c r="AO260" t="s">
        <v>5418</v>
      </c>
      <c r="AP260" t="s">
        <v>5419</v>
      </c>
      <c r="AQ260" t="s">
        <v>74</v>
      </c>
      <c r="AR260" t="s">
        <v>5420</v>
      </c>
      <c r="AS260" t="s">
        <v>5421</v>
      </c>
      <c r="AT260" t="s">
        <v>5327</v>
      </c>
      <c r="AU260">
        <v>2015</v>
      </c>
      <c r="AV260">
        <v>362</v>
      </c>
      <c r="AW260">
        <v>8</v>
      </c>
      <c r="AX260" t="s">
        <v>74</v>
      </c>
      <c r="AY260" t="s">
        <v>74</v>
      </c>
      <c r="AZ260" t="s">
        <v>74</v>
      </c>
      <c r="BA260" t="s">
        <v>74</v>
      </c>
      <c r="BB260" t="s">
        <v>74</v>
      </c>
      <c r="BC260" t="s">
        <v>74</v>
      </c>
      <c r="BD260" t="s">
        <v>5422</v>
      </c>
      <c r="BE260" t="s">
        <v>5423</v>
      </c>
      <c r="BF260" t="str">
        <f>HYPERLINK("http://dx.doi.org/10.1093/femsle/fnv037","http://dx.doi.org/10.1093/femsle/fnv037")</f>
        <v>http://dx.doi.org/10.1093/femsle/fnv037</v>
      </c>
      <c r="BG260" t="s">
        <v>74</v>
      </c>
      <c r="BH260" t="s">
        <v>74</v>
      </c>
      <c r="BI260">
        <v>4</v>
      </c>
      <c r="BJ260" t="s">
        <v>483</v>
      </c>
      <c r="BK260" t="s">
        <v>100</v>
      </c>
      <c r="BL260" t="s">
        <v>483</v>
      </c>
      <c r="BM260" t="s">
        <v>5424</v>
      </c>
      <c r="BN260">
        <v>25761753</v>
      </c>
      <c r="BO260" t="s">
        <v>2307</v>
      </c>
      <c r="BP260" t="s">
        <v>74</v>
      </c>
      <c r="BQ260" t="s">
        <v>74</v>
      </c>
      <c r="BR260" t="s">
        <v>104</v>
      </c>
      <c r="BS260" t="s">
        <v>5425</v>
      </c>
      <c r="BT260" t="str">
        <f>HYPERLINK("https%3A%2F%2Fwww.webofscience.com%2Fwos%2Fwoscc%2Ffull-record%2FWOS:000356888900004","View Full Record in Web of Science")</f>
        <v>View Full Record in Web of Science</v>
      </c>
    </row>
    <row r="261" spans="1:72" x14ac:dyDescent="0.15">
      <c r="A261" t="s">
        <v>72</v>
      </c>
      <c r="B261" t="s">
        <v>5426</v>
      </c>
      <c r="C261" t="s">
        <v>74</v>
      </c>
      <c r="D261" t="s">
        <v>74</v>
      </c>
      <c r="E261" t="s">
        <v>74</v>
      </c>
      <c r="F261" t="s">
        <v>5427</v>
      </c>
      <c r="G261" t="s">
        <v>74</v>
      </c>
      <c r="H261" t="s">
        <v>74</v>
      </c>
      <c r="I261" t="s">
        <v>5428</v>
      </c>
      <c r="J261" t="s">
        <v>5429</v>
      </c>
      <c r="K261" t="s">
        <v>74</v>
      </c>
      <c r="L261" t="s">
        <v>74</v>
      </c>
      <c r="M261" t="s">
        <v>78</v>
      </c>
      <c r="N261" t="s">
        <v>79</v>
      </c>
      <c r="O261" t="s">
        <v>74</v>
      </c>
      <c r="P261" t="s">
        <v>74</v>
      </c>
      <c r="Q261" t="s">
        <v>74</v>
      </c>
      <c r="R261" t="s">
        <v>74</v>
      </c>
      <c r="S261" t="s">
        <v>74</v>
      </c>
      <c r="T261" t="s">
        <v>74</v>
      </c>
      <c r="U261" t="s">
        <v>5430</v>
      </c>
      <c r="V261" t="s">
        <v>5431</v>
      </c>
      <c r="W261" t="s">
        <v>5432</v>
      </c>
      <c r="X261" t="s">
        <v>5433</v>
      </c>
      <c r="Y261" t="s">
        <v>5434</v>
      </c>
      <c r="Z261" t="s">
        <v>5435</v>
      </c>
      <c r="AA261" t="s">
        <v>5436</v>
      </c>
      <c r="AB261" t="s">
        <v>5437</v>
      </c>
      <c r="AC261" t="s">
        <v>5438</v>
      </c>
      <c r="AD261" t="s">
        <v>5439</v>
      </c>
      <c r="AE261" t="s">
        <v>5440</v>
      </c>
      <c r="AF261" t="s">
        <v>74</v>
      </c>
      <c r="AG261">
        <v>82</v>
      </c>
      <c r="AH261">
        <v>46</v>
      </c>
      <c r="AI261">
        <v>50</v>
      </c>
      <c r="AJ261">
        <v>2</v>
      </c>
      <c r="AK261">
        <v>55</v>
      </c>
      <c r="AL261" t="s">
        <v>266</v>
      </c>
      <c r="AM261" t="s">
        <v>267</v>
      </c>
      <c r="AN261" t="s">
        <v>268</v>
      </c>
      <c r="AO261" t="s">
        <v>5441</v>
      </c>
      <c r="AP261" t="s">
        <v>5442</v>
      </c>
      <c r="AQ261" t="s">
        <v>74</v>
      </c>
      <c r="AR261" t="s">
        <v>5443</v>
      </c>
      <c r="AS261" t="s">
        <v>5444</v>
      </c>
      <c r="AT261" t="s">
        <v>5327</v>
      </c>
      <c r="AU261">
        <v>2015</v>
      </c>
      <c r="AV261">
        <v>29</v>
      </c>
      <c r="AW261">
        <v>4</v>
      </c>
      <c r="AX261" t="s">
        <v>74</v>
      </c>
      <c r="AY261" t="s">
        <v>74</v>
      </c>
      <c r="AZ261" t="s">
        <v>74</v>
      </c>
      <c r="BA261" t="s">
        <v>74</v>
      </c>
      <c r="BB261">
        <v>427</v>
      </c>
      <c r="BC261">
        <v>445</v>
      </c>
      <c r="BD261" t="s">
        <v>74</v>
      </c>
      <c r="BE261" t="s">
        <v>5445</v>
      </c>
      <c r="BF261" t="str">
        <f>HYPERLINK("http://dx.doi.org/10.1002/2014GB005013","http://dx.doi.org/10.1002/2014GB005013")</f>
        <v>http://dx.doi.org/10.1002/2014GB005013</v>
      </c>
      <c r="BG261" t="s">
        <v>74</v>
      </c>
      <c r="BH261" t="s">
        <v>74</v>
      </c>
      <c r="BI261">
        <v>19</v>
      </c>
      <c r="BJ261" t="s">
        <v>1439</v>
      </c>
      <c r="BK261" t="s">
        <v>100</v>
      </c>
      <c r="BL261" t="s">
        <v>1440</v>
      </c>
      <c r="BM261" t="s">
        <v>5446</v>
      </c>
      <c r="BN261" t="s">
        <v>74</v>
      </c>
      <c r="BO261" t="s">
        <v>156</v>
      </c>
      <c r="BP261" t="s">
        <v>74</v>
      </c>
      <c r="BQ261" t="s">
        <v>74</v>
      </c>
      <c r="BR261" t="s">
        <v>104</v>
      </c>
      <c r="BS261" t="s">
        <v>5447</v>
      </c>
      <c r="BT261" t="str">
        <f>HYPERLINK("https%3A%2F%2Fwww.webofscience.com%2Fwos%2Fwoscc%2Ffull-record%2FWOS:000356383100003","View Full Record in Web of Science")</f>
        <v>View Full Record in Web of Science</v>
      </c>
    </row>
    <row r="262" spans="1:72" x14ac:dyDescent="0.15">
      <c r="A262" t="s">
        <v>72</v>
      </c>
      <c r="B262" t="s">
        <v>5448</v>
      </c>
      <c r="C262" t="s">
        <v>74</v>
      </c>
      <c r="D262" t="s">
        <v>74</v>
      </c>
      <c r="E262" t="s">
        <v>74</v>
      </c>
      <c r="F262" t="s">
        <v>5449</v>
      </c>
      <c r="G262" t="s">
        <v>74</v>
      </c>
      <c r="H262" t="s">
        <v>74</v>
      </c>
      <c r="I262" t="s">
        <v>5450</v>
      </c>
      <c r="J262" t="s">
        <v>5429</v>
      </c>
      <c r="K262" t="s">
        <v>74</v>
      </c>
      <c r="L262" t="s">
        <v>74</v>
      </c>
      <c r="M262" t="s">
        <v>78</v>
      </c>
      <c r="N262" t="s">
        <v>79</v>
      </c>
      <c r="O262" t="s">
        <v>74</v>
      </c>
      <c r="P262" t="s">
        <v>74</v>
      </c>
      <c r="Q262" t="s">
        <v>74</v>
      </c>
      <c r="R262" t="s">
        <v>74</v>
      </c>
      <c r="S262" t="s">
        <v>74</v>
      </c>
      <c r="T262" t="s">
        <v>74</v>
      </c>
      <c r="U262" t="s">
        <v>5451</v>
      </c>
      <c r="V262" t="s">
        <v>5452</v>
      </c>
      <c r="W262" t="s">
        <v>5453</v>
      </c>
      <c r="X262" t="s">
        <v>5454</v>
      </c>
      <c r="Y262" t="s">
        <v>5455</v>
      </c>
      <c r="Z262" t="s">
        <v>5456</v>
      </c>
      <c r="AA262" t="s">
        <v>5457</v>
      </c>
      <c r="AB262" t="s">
        <v>5458</v>
      </c>
      <c r="AC262" t="s">
        <v>5459</v>
      </c>
      <c r="AD262" t="s">
        <v>5460</v>
      </c>
      <c r="AE262" t="s">
        <v>5461</v>
      </c>
      <c r="AF262" t="s">
        <v>74</v>
      </c>
      <c r="AG262">
        <v>134</v>
      </c>
      <c r="AH262">
        <v>33</v>
      </c>
      <c r="AI262">
        <v>36</v>
      </c>
      <c r="AJ262">
        <v>0</v>
      </c>
      <c r="AK262">
        <v>42</v>
      </c>
      <c r="AL262" t="s">
        <v>266</v>
      </c>
      <c r="AM262" t="s">
        <v>267</v>
      </c>
      <c r="AN262" t="s">
        <v>268</v>
      </c>
      <c r="AO262" t="s">
        <v>5441</v>
      </c>
      <c r="AP262" t="s">
        <v>5442</v>
      </c>
      <c r="AQ262" t="s">
        <v>74</v>
      </c>
      <c r="AR262" t="s">
        <v>5443</v>
      </c>
      <c r="AS262" t="s">
        <v>5444</v>
      </c>
      <c r="AT262" t="s">
        <v>5327</v>
      </c>
      <c r="AU262">
        <v>2015</v>
      </c>
      <c r="AV262">
        <v>29</v>
      </c>
      <c r="AW262">
        <v>4</v>
      </c>
      <c r="AX262" t="s">
        <v>74</v>
      </c>
      <c r="AY262" t="s">
        <v>74</v>
      </c>
      <c r="AZ262" t="s">
        <v>74</v>
      </c>
      <c r="BA262" t="s">
        <v>74</v>
      </c>
      <c r="BB262">
        <v>446</v>
      </c>
      <c r="BC262">
        <v>462</v>
      </c>
      <c r="BD262" t="s">
        <v>74</v>
      </c>
      <c r="BE262" t="s">
        <v>5462</v>
      </c>
      <c r="BF262" t="str">
        <f>HYPERLINK("http://dx.doi.org/10.1002/2014GB004936","http://dx.doi.org/10.1002/2014GB004936")</f>
        <v>http://dx.doi.org/10.1002/2014GB004936</v>
      </c>
      <c r="BG262" t="s">
        <v>74</v>
      </c>
      <c r="BH262" t="s">
        <v>74</v>
      </c>
      <c r="BI262">
        <v>17</v>
      </c>
      <c r="BJ262" t="s">
        <v>1439</v>
      </c>
      <c r="BK262" t="s">
        <v>100</v>
      </c>
      <c r="BL262" t="s">
        <v>1440</v>
      </c>
      <c r="BM262" t="s">
        <v>5446</v>
      </c>
      <c r="BN262" t="s">
        <v>74</v>
      </c>
      <c r="BO262" t="s">
        <v>5463</v>
      </c>
      <c r="BP262" t="s">
        <v>74</v>
      </c>
      <c r="BQ262" t="s">
        <v>74</v>
      </c>
      <c r="BR262" t="s">
        <v>104</v>
      </c>
      <c r="BS262" t="s">
        <v>5464</v>
      </c>
      <c r="BT262" t="str">
        <f>HYPERLINK("https%3A%2F%2Fwww.webofscience.com%2Fwos%2Fwoscc%2Ffull-record%2FWOS:000356383100004","View Full Record in Web of Science")</f>
        <v>View Full Record in Web of Science</v>
      </c>
    </row>
    <row r="263" spans="1:72" x14ac:dyDescent="0.15">
      <c r="A263" t="s">
        <v>72</v>
      </c>
      <c r="B263" t="s">
        <v>5465</v>
      </c>
      <c r="C263" t="s">
        <v>74</v>
      </c>
      <c r="D263" t="s">
        <v>74</v>
      </c>
      <c r="E263" t="s">
        <v>74</v>
      </c>
      <c r="F263" t="s">
        <v>5466</v>
      </c>
      <c r="G263" t="s">
        <v>74</v>
      </c>
      <c r="H263" t="s">
        <v>74</v>
      </c>
      <c r="I263" t="s">
        <v>5467</v>
      </c>
      <c r="J263" t="s">
        <v>5468</v>
      </c>
      <c r="K263" t="s">
        <v>74</v>
      </c>
      <c r="L263" t="s">
        <v>74</v>
      </c>
      <c r="M263" t="s">
        <v>78</v>
      </c>
      <c r="N263" t="s">
        <v>79</v>
      </c>
      <c r="O263" t="s">
        <v>74</v>
      </c>
      <c r="P263" t="s">
        <v>74</v>
      </c>
      <c r="Q263" t="s">
        <v>74</v>
      </c>
      <c r="R263" t="s">
        <v>74</v>
      </c>
      <c r="S263" t="s">
        <v>74</v>
      </c>
      <c r="T263" t="s">
        <v>5469</v>
      </c>
      <c r="U263" t="s">
        <v>5470</v>
      </c>
      <c r="V263" t="s">
        <v>5471</v>
      </c>
      <c r="W263" t="s">
        <v>5472</v>
      </c>
      <c r="X263" t="s">
        <v>5473</v>
      </c>
      <c r="Y263" t="s">
        <v>5474</v>
      </c>
      <c r="Z263" t="s">
        <v>5475</v>
      </c>
      <c r="AA263" t="s">
        <v>74</v>
      </c>
      <c r="AB263" t="s">
        <v>5476</v>
      </c>
      <c r="AC263" t="s">
        <v>5477</v>
      </c>
      <c r="AD263" t="s">
        <v>5478</v>
      </c>
      <c r="AE263" t="s">
        <v>5479</v>
      </c>
      <c r="AF263" t="s">
        <v>74</v>
      </c>
      <c r="AG263">
        <v>35</v>
      </c>
      <c r="AH263">
        <v>11</v>
      </c>
      <c r="AI263">
        <v>13</v>
      </c>
      <c r="AJ263">
        <v>0</v>
      </c>
      <c r="AK263">
        <v>27</v>
      </c>
      <c r="AL263" t="s">
        <v>91</v>
      </c>
      <c r="AM263" t="s">
        <v>92</v>
      </c>
      <c r="AN263" t="s">
        <v>93</v>
      </c>
      <c r="AO263" t="s">
        <v>5480</v>
      </c>
      <c r="AP263" t="s">
        <v>5481</v>
      </c>
      <c r="AQ263" t="s">
        <v>74</v>
      </c>
      <c r="AR263" t="s">
        <v>5482</v>
      </c>
      <c r="AS263" t="s">
        <v>5483</v>
      </c>
      <c r="AT263" t="s">
        <v>5327</v>
      </c>
      <c r="AU263">
        <v>2015</v>
      </c>
      <c r="AV263">
        <v>26</v>
      </c>
      <c r="AW263">
        <v>2</v>
      </c>
      <c r="AX263" t="s">
        <v>74</v>
      </c>
      <c r="AY263" t="s">
        <v>74</v>
      </c>
      <c r="AZ263" t="s">
        <v>74</v>
      </c>
      <c r="BA263" t="s">
        <v>74</v>
      </c>
      <c r="BB263">
        <v>188</v>
      </c>
      <c r="BC263">
        <v>199</v>
      </c>
      <c r="BD263" t="s">
        <v>74</v>
      </c>
      <c r="BE263" t="s">
        <v>5484</v>
      </c>
      <c r="BF263" t="str">
        <f>HYPERLINK("http://dx.doi.org/10.1002/ppp.1845","http://dx.doi.org/10.1002/ppp.1845")</f>
        <v>http://dx.doi.org/10.1002/ppp.1845</v>
      </c>
      <c r="BG263" t="s">
        <v>74</v>
      </c>
      <c r="BH263" t="s">
        <v>74</v>
      </c>
      <c r="BI263">
        <v>12</v>
      </c>
      <c r="BJ263" t="s">
        <v>5485</v>
      </c>
      <c r="BK263" t="s">
        <v>100</v>
      </c>
      <c r="BL263" t="s">
        <v>796</v>
      </c>
      <c r="BM263" t="s">
        <v>5486</v>
      </c>
      <c r="BN263" t="s">
        <v>74</v>
      </c>
      <c r="BO263" t="s">
        <v>74</v>
      </c>
      <c r="BP263" t="s">
        <v>74</v>
      </c>
      <c r="BQ263" t="s">
        <v>74</v>
      </c>
      <c r="BR263" t="s">
        <v>104</v>
      </c>
      <c r="BS263" t="s">
        <v>5487</v>
      </c>
      <c r="BT263" t="str">
        <f>HYPERLINK("https%3A%2F%2Fwww.webofscience.com%2Fwos%2Fwoscc%2Ffull-record%2FWOS:000355864700007","View Full Record in Web of Science")</f>
        <v>View Full Record in Web of Science</v>
      </c>
    </row>
    <row r="264" spans="1:72" x14ac:dyDescent="0.15">
      <c r="A264" t="s">
        <v>72</v>
      </c>
      <c r="B264" t="s">
        <v>5488</v>
      </c>
      <c r="C264" t="s">
        <v>74</v>
      </c>
      <c r="D264" t="s">
        <v>74</v>
      </c>
      <c r="E264" t="s">
        <v>74</v>
      </c>
      <c r="F264" t="s">
        <v>5489</v>
      </c>
      <c r="G264" t="s">
        <v>74</v>
      </c>
      <c r="H264" t="s">
        <v>74</v>
      </c>
      <c r="I264" t="s">
        <v>5490</v>
      </c>
      <c r="J264" t="s">
        <v>5491</v>
      </c>
      <c r="K264" t="s">
        <v>74</v>
      </c>
      <c r="L264" t="s">
        <v>74</v>
      </c>
      <c r="M264" t="s">
        <v>78</v>
      </c>
      <c r="N264" t="s">
        <v>79</v>
      </c>
      <c r="O264" t="s">
        <v>74</v>
      </c>
      <c r="P264" t="s">
        <v>74</v>
      </c>
      <c r="Q264" t="s">
        <v>74</v>
      </c>
      <c r="R264" t="s">
        <v>74</v>
      </c>
      <c r="S264" t="s">
        <v>74</v>
      </c>
      <c r="T264" t="s">
        <v>5492</v>
      </c>
      <c r="U264" t="s">
        <v>5493</v>
      </c>
      <c r="V264" t="s">
        <v>5494</v>
      </c>
      <c r="W264" t="s">
        <v>5495</v>
      </c>
      <c r="X264" t="s">
        <v>5496</v>
      </c>
      <c r="Y264" t="s">
        <v>5497</v>
      </c>
      <c r="Z264" t="s">
        <v>5498</v>
      </c>
      <c r="AA264" t="s">
        <v>5499</v>
      </c>
      <c r="AB264" t="s">
        <v>5500</v>
      </c>
      <c r="AC264" t="s">
        <v>5501</v>
      </c>
      <c r="AD264" t="s">
        <v>5502</v>
      </c>
      <c r="AE264" t="s">
        <v>5503</v>
      </c>
      <c r="AF264" t="s">
        <v>74</v>
      </c>
      <c r="AG264">
        <v>82</v>
      </c>
      <c r="AH264">
        <v>12</v>
      </c>
      <c r="AI264">
        <v>13</v>
      </c>
      <c r="AJ264">
        <v>0</v>
      </c>
      <c r="AK264">
        <v>15</v>
      </c>
      <c r="AL264" t="s">
        <v>5504</v>
      </c>
      <c r="AM264" t="s">
        <v>5505</v>
      </c>
      <c r="AN264" t="s">
        <v>5506</v>
      </c>
      <c r="AO264" t="s">
        <v>5507</v>
      </c>
      <c r="AP264" t="s">
        <v>5508</v>
      </c>
      <c r="AQ264" t="s">
        <v>74</v>
      </c>
      <c r="AR264" t="s">
        <v>5509</v>
      </c>
      <c r="AS264" t="s">
        <v>5510</v>
      </c>
      <c r="AT264" t="s">
        <v>5327</v>
      </c>
      <c r="AU264">
        <v>2015</v>
      </c>
      <c r="AV264">
        <v>73</v>
      </c>
      <c r="AW264">
        <v>1</v>
      </c>
      <c r="AX264" t="s">
        <v>74</v>
      </c>
      <c r="AY264" t="s">
        <v>74</v>
      </c>
      <c r="AZ264" t="s">
        <v>74</v>
      </c>
      <c r="BA264" t="s">
        <v>74</v>
      </c>
      <c r="BB264">
        <v>107</v>
      </c>
      <c r="BC264">
        <v>128</v>
      </c>
      <c r="BD264" t="s">
        <v>74</v>
      </c>
      <c r="BE264" t="s">
        <v>74</v>
      </c>
      <c r="BF264" t="s">
        <v>74</v>
      </c>
      <c r="BG264" t="s">
        <v>74</v>
      </c>
      <c r="BH264" t="s">
        <v>74</v>
      </c>
      <c r="BI264">
        <v>22</v>
      </c>
      <c r="BJ264" t="s">
        <v>5511</v>
      </c>
      <c r="BK264" t="s">
        <v>100</v>
      </c>
      <c r="BL264" t="s">
        <v>5511</v>
      </c>
      <c r="BM264" t="s">
        <v>5512</v>
      </c>
      <c r="BN264" t="s">
        <v>74</v>
      </c>
      <c r="BO264" t="s">
        <v>74</v>
      </c>
      <c r="BP264" t="s">
        <v>74</v>
      </c>
      <c r="BQ264" t="s">
        <v>74</v>
      </c>
      <c r="BR264" t="s">
        <v>104</v>
      </c>
      <c r="BS264" t="s">
        <v>5513</v>
      </c>
      <c r="BT264" t="str">
        <f>HYPERLINK("https%3A%2F%2Fwww.webofscience.com%2Fwos%2Fwoscc%2Ffull-record%2FWOS:000355781000006","View Full Record in Web of Science")</f>
        <v>View Full Record in Web of Science</v>
      </c>
    </row>
    <row r="265" spans="1:72" x14ac:dyDescent="0.15">
      <c r="A265" t="s">
        <v>72</v>
      </c>
      <c r="B265" t="s">
        <v>5514</v>
      </c>
      <c r="C265" t="s">
        <v>74</v>
      </c>
      <c r="D265" t="s">
        <v>74</v>
      </c>
      <c r="E265" t="s">
        <v>74</v>
      </c>
      <c r="F265" t="s">
        <v>5515</v>
      </c>
      <c r="G265" t="s">
        <v>74</v>
      </c>
      <c r="H265" t="s">
        <v>74</v>
      </c>
      <c r="I265" t="s">
        <v>5516</v>
      </c>
      <c r="J265" t="s">
        <v>5517</v>
      </c>
      <c r="K265" t="s">
        <v>74</v>
      </c>
      <c r="L265" t="s">
        <v>74</v>
      </c>
      <c r="M265" t="s">
        <v>78</v>
      </c>
      <c r="N265" t="s">
        <v>79</v>
      </c>
      <c r="O265" t="s">
        <v>74</v>
      </c>
      <c r="P265" t="s">
        <v>74</v>
      </c>
      <c r="Q265" t="s">
        <v>74</v>
      </c>
      <c r="R265" t="s">
        <v>74</v>
      </c>
      <c r="S265" t="s">
        <v>74</v>
      </c>
      <c r="T265" t="s">
        <v>5518</v>
      </c>
      <c r="U265" t="s">
        <v>74</v>
      </c>
      <c r="V265" t="s">
        <v>5519</v>
      </c>
      <c r="W265" t="s">
        <v>5520</v>
      </c>
      <c r="X265" t="s">
        <v>5521</v>
      </c>
      <c r="Y265" t="s">
        <v>5522</v>
      </c>
      <c r="Z265" t="s">
        <v>5523</v>
      </c>
      <c r="AA265" t="s">
        <v>5524</v>
      </c>
      <c r="AB265" t="s">
        <v>5525</v>
      </c>
      <c r="AC265" t="s">
        <v>5526</v>
      </c>
      <c r="AD265" t="s">
        <v>5527</v>
      </c>
      <c r="AE265" t="s">
        <v>5528</v>
      </c>
      <c r="AF265" t="s">
        <v>74</v>
      </c>
      <c r="AG265">
        <v>9</v>
      </c>
      <c r="AH265">
        <v>5</v>
      </c>
      <c r="AI265">
        <v>5</v>
      </c>
      <c r="AJ265">
        <v>0</v>
      </c>
      <c r="AK265">
        <v>2</v>
      </c>
      <c r="AL265" t="s">
        <v>5529</v>
      </c>
      <c r="AM265" t="s">
        <v>5323</v>
      </c>
      <c r="AN265" t="s">
        <v>5530</v>
      </c>
      <c r="AO265" t="s">
        <v>5531</v>
      </c>
      <c r="AP265" t="s">
        <v>5532</v>
      </c>
      <c r="AQ265" t="s">
        <v>74</v>
      </c>
      <c r="AR265" t="s">
        <v>5533</v>
      </c>
      <c r="AS265" t="s">
        <v>5534</v>
      </c>
      <c r="AT265" t="s">
        <v>5327</v>
      </c>
      <c r="AU265">
        <v>2015</v>
      </c>
      <c r="AV265">
        <v>85</v>
      </c>
      <c r="AW265">
        <v>4</v>
      </c>
      <c r="AX265" t="s">
        <v>74</v>
      </c>
      <c r="AY265" t="s">
        <v>74</v>
      </c>
      <c r="AZ265" t="s">
        <v>74</v>
      </c>
      <c r="BA265" t="s">
        <v>74</v>
      </c>
      <c r="BB265">
        <v>431</v>
      </c>
      <c r="BC265">
        <v>433</v>
      </c>
      <c r="BD265" t="s">
        <v>74</v>
      </c>
      <c r="BE265" t="s">
        <v>5535</v>
      </c>
      <c r="BF265" t="str">
        <f>HYPERLINK("http://dx.doi.org/10.1007/s12594-015-0233-4","http://dx.doi.org/10.1007/s12594-015-0233-4")</f>
        <v>http://dx.doi.org/10.1007/s12594-015-0233-4</v>
      </c>
      <c r="BG265" t="s">
        <v>74</v>
      </c>
      <c r="BH265" t="s">
        <v>74</v>
      </c>
      <c r="BI265">
        <v>3</v>
      </c>
      <c r="BJ265" t="s">
        <v>219</v>
      </c>
      <c r="BK265" t="s">
        <v>100</v>
      </c>
      <c r="BL265" t="s">
        <v>220</v>
      </c>
      <c r="BM265" t="s">
        <v>5536</v>
      </c>
      <c r="BN265" t="s">
        <v>74</v>
      </c>
      <c r="BO265" t="s">
        <v>74</v>
      </c>
      <c r="BP265" t="s">
        <v>74</v>
      </c>
      <c r="BQ265" t="s">
        <v>74</v>
      </c>
      <c r="BR265" t="s">
        <v>104</v>
      </c>
      <c r="BS265" t="s">
        <v>5537</v>
      </c>
      <c r="BT265" t="str">
        <f>HYPERLINK("https%3A%2F%2Fwww.webofscience.com%2Fwos%2Fwoscc%2Ffull-record%2FWOS:000355878000004","View Full Record in Web of Science")</f>
        <v>View Full Record in Web of Science</v>
      </c>
    </row>
    <row r="266" spans="1:72" x14ac:dyDescent="0.15">
      <c r="A266" t="s">
        <v>72</v>
      </c>
      <c r="B266" t="s">
        <v>5538</v>
      </c>
      <c r="C266" t="s">
        <v>74</v>
      </c>
      <c r="D266" t="s">
        <v>74</v>
      </c>
      <c r="E266" t="s">
        <v>74</v>
      </c>
      <c r="F266" t="s">
        <v>5539</v>
      </c>
      <c r="G266" t="s">
        <v>74</v>
      </c>
      <c r="H266" t="s">
        <v>74</v>
      </c>
      <c r="I266" t="s">
        <v>5540</v>
      </c>
      <c r="J266" t="s">
        <v>3338</v>
      </c>
      <c r="K266" t="s">
        <v>74</v>
      </c>
      <c r="L266" t="s">
        <v>74</v>
      </c>
      <c r="M266" t="s">
        <v>78</v>
      </c>
      <c r="N266" t="s">
        <v>79</v>
      </c>
      <c r="O266" t="s">
        <v>74</v>
      </c>
      <c r="P266" t="s">
        <v>74</v>
      </c>
      <c r="Q266" t="s">
        <v>74</v>
      </c>
      <c r="R266" t="s">
        <v>74</v>
      </c>
      <c r="S266" t="s">
        <v>74</v>
      </c>
      <c r="T266" t="s">
        <v>5541</v>
      </c>
      <c r="U266" t="s">
        <v>5542</v>
      </c>
      <c r="V266" t="s">
        <v>5543</v>
      </c>
      <c r="W266" t="s">
        <v>5544</v>
      </c>
      <c r="X266" t="s">
        <v>5545</v>
      </c>
      <c r="Y266" t="s">
        <v>5546</v>
      </c>
      <c r="Z266" t="s">
        <v>5547</v>
      </c>
      <c r="AA266" t="s">
        <v>5548</v>
      </c>
      <c r="AB266" t="s">
        <v>5549</v>
      </c>
      <c r="AC266" t="s">
        <v>5550</v>
      </c>
      <c r="AD266" t="s">
        <v>5551</v>
      </c>
      <c r="AE266" t="s">
        <v>5552</v>
      </c>
      <c r="AF266" t="s">
        <v>74</v>
      </c>
      <c r="AG266">
        <v>30</v>
      </c>
      <c r="AH266">
        <v>31</v>
      </c>
      <c r="AI266">
        <v>32</v>
      </c>
      <c r="AJ266">
        <v>0</v>
      </c>
      <c r="AK266">
        <v>12</v>
      </c>
      <c r="AL266" t="s">
        <v>266</v>
      </c>
      <c r="AM266" t="s">
        <v>267</v>
      </c>
      <c r="AN266" t="s">
        <v>268</v>
      </c>
      <c r="AO266" t="s">
        <v>3350</v>
      </c>
      <c r="AP266" t="s">
        <v>3351</v>
      </c>
      <c r="AQ266" t="s">
        <v>74</v>
      </c>
      <c r="AR266" t="s">
        <v>3352</v>
      </c>
      <c r="AS266" t="s">
        <v>3353</v>
      </c>
      <c r="AT266" t="s">
        <v>5327</v>
      </c>
      <c r="AU266">
        <v>2015</v>
      </c>
      <c r="AV266">
        <v>120</v>
      </c>
      <c r="AW266">
        <v>4</v>
      </c>
      <c r="AX266" t="s">
        <v>74</v>
      </c>
      <c r="AY266" t="s">
        <v>74</v>
      </c>
      <c r="AZ266" t="s">
        <v>74</v>
      </c>
      <c r="BA266" t="s">
        <v>74</v>
      </c>
      <c r="BB266">
        <v>2557</v>
      </c>
      <c r="BC266">
        <v>2570</v>
      </c>
      <c r="BD266" t="s">
        <v>74</v>
      </c>
      <c r="BE266" t="s">
        <v>5553</v>
      </c>
      <c r="BF266" t="str">
        <f>HYPERLINK("http://dx.doi.org/10.1002/2014JA020873","http://dx.doi.org/10.1002/2014JA020873")</f>
        <v>http://dx.doi.org/10.1002/2014JA020873</v>
      </c>
      <c r="BG266" t="s">
        <v>74</v>
      </c>
      <c r="BH266" t="s">
        <v>74</v>
      </c>
      <c r="BI266">
        <v>14</v>
      </c>
      <c r="BJ266" t="s">
        <v>246</v>
      </c>
      <c r="BK266" t="s">
        <v>100</v>
      </c>
      <c r="BL266" t="s">
        <v>246</v>
      </c>
      <c r="BM266" t="s">
        <v>5554</v>
      </c>
      <c r="BN266" t="s">
        <v>74</v>
      </c>
      <c r="BO266" t="s">
        <v>2481</v>
      </c>
      <c r="BP266" t="s">
        <v>74</v>
      </c>
      <c r="BQ266" t="s">
        <v>74</v>
      </c>
      <c r="BR266" t="s">
        <v>104</v>
      </c>
      <c r="BS266" t="s">
        <v>5555</v>
      </c>
      <c r="BT266" t="str">
        <f>HYPERLINK("https%3A%2F%2Fwww.webofscience.com%2Fwos%2Fwoscc%2Ffull-record%2FWOS:000354894800015","View Full Record in Web of Science")</f>
        <v>View Full Record in Web of Science</v>
      </c>
    </row>
    <row r="267" spans="1:72" x14ac:dyDescent="0.15">
      <c r="A267" t="s">
        <v>72</v>
      </c>
      <c r="B267" t="s">
        <v>5556</v>
      </c>
      <c r="C267" t="s">
        <v>74</v>
      </c>
      <c r="D267" t="s">
        <v>74</v>
      </c>
      <c r="E267" t="s">
        <v>74</v>
      </c>
      <c r="F267" t="s">
        <v>5557</v>
      </c>
      <c r="G267" t="s">
        <v>74</v>
      </c>
      <c r="H267" t="s">
        <v>74</v>
      </c>
      <c r="I267" t="s">
        <v>5558</v>
      </c>
      <c r="J267" t="s">
        <v>5559</v>
      </c>
      <c r="K267" t="s">
        <v>74</v>
      </c>
      <c r="L267" t="s">
        <v>74</v>
      </c>
      <c r="M267" t="s">
        <v>78</v>
      </c>
      <c r="N267" t="s">
        <v>79</v>
      </c>
      <c r="O267" t="s">
        <v>74</v>
      </c>
      <c r="P267" t="s">
        <v>74</v>
      </c>
      <c r="Q267" t="s">
        <v>74</v>
      </c>
      <c r="R267" t="s">
        <v>74</v>
      </c>
      <c r="S267" t="s">
        <v>74</v>
      </c>
      <c r="T267" t="s">
        <v>74</v>
      </c>
      <c r="U267" t="s">
        <v>5560</v>
      </c>
      <c r="V267" t="s">
        <v>5561</v>
      </c>
      <c r="W267" t="s">
        <v>5562</v>
      </c>
      <c r="X267" t="s">
        <v>5563</v>
      </c>
      <c r="Y267" t="s">
        <v>5564</v>
      </c>
      <c r="Z267" t="s">
        <v>5565</v>
      </c>
      <c r="AA267" t="s">
        <v>5566</v>
      </c>
      <c r="AB267" t="s">
        <v>5567</v>
      </c>
      <c r="AC267" t="s">
        <v>5568</v>
      </c>
      <c r="AD267" t="s">
        <v>5569</v>
      </c>
      <c r="AE267" t="s">
        <v>5570</v>
      </c>
      <c r="AF267" t="s">
        <v>74</v>
      </c>
      <c r="AG267">
        <v>61</v>
      </c>
      <c r="AH267">
        <v>5</v>
      </c>
      <c r="AI267">
        <v>5</v>
      </c>
      <c r="AJ267">
        <v>0</v>
      </c>
      <c r="AK267">
        <v>8</v>
      </c>
      <c r="AL267" t="s">
        <v>5571</v>
      </c>
      <c r="AM267" t="s">
        <v>2168</v>
      </c>
      <c r="AN267" t="s">
        <v>5572</v>
      </c>
      <c r="AO267" t="s">
        <v>5573</v>
      </c>
      <c r="AP267" t="s">
        <v>74</v>
      </c>
      <c r="AQ267" t="s">
        <v>74</v>
      </c>
      <c r="AR267" t="s">
        <v>5574</v>
      </c>
      <c r="AS267" t="s">
        <v>5575</v>
      </c>
      <c r="AT267" t="s">
        <v>5327</v>
      </c>
      <c r="AU267">
        <v>2015</v>
      </c>
      <c r="AV267">
        <v>45</v>
      </c>
      <c r="AW267">
        <v>2</v>
      </c>
      <c r="AX267" t="s">
        <v>74</v>
      </c>
      <c r="AY267" t="s">
        <v>74</v>
      </c>
      <c r="AZ267" t="s">
        <v>74</v>
      </c>
      <c r="BA267" t="s">
        <v>74</v>
      </c>
      <c r="BB267">
        <v>128</v>
      </c>
      <c r="BC267">
        <v>145</v>
      </c>
      <c r="BD267" t="s">
        <v>74</v>
      </c>
      <c r="BE267" t="s">
        <v>5576</v>
      </c>
      <c r="BF267" t="str">
        <f>HYPERLINK("http://dx.doi.org/10.2113/gsjfr.45.2.128","http://dx.doi.org/10.2113/gsjfr.45.2.128")</f>
        <v>http://dx.doi.org/10.2113/gsjfr.45.2.128</v>
      </c>
      <c r="BG267" t="s">
        <v>74</v>
      </c>
      <c r="BH267" t="s">
        <v>74</v>
      </c>
      <c r="BI267">
        <v>18</v>
      </c>
      <c r="BJ267" t="s">
        <v>1215</v>
      </c>
      <c r="BK267" t="s">
        <v>100</v>
      </c>
      <c r="BL267" t="s">
        <v>1215</v>
      </c>
      <c r="BM267" t="s">
        <v>5577</v>
      </c>
      <c r="BN267" t="s">
        <v>74</v>
      </c>
      <c r="BO267" t="s">
        <v>74</v>
      </c>
      <c r="BP267" t="s">
        <v>74</v>
      </c>
      <c r="BQ267" t="s">
        <v>74</v>
      </c>
      <c r="BR267" t="s">
        <v>104</v>
      </c>
      <c r="BS267" t="s">
        <v>5578</v>
      </c>
      <c r="BT267" t="str">
        <f>HYPERLINK("https%3A%2F%2Fwww.webofscience.com%2Fwos%2Fwoscc%2Ffull-record%2FWOS:000354829700002","View Full Record in Web of Science")</f>
        <v>View Full Record in Web of Science</v>
      </c>
    </row>
    <row r="268" spans="1:72" x14ac:dyDescent="0.15">
      <c r="A268" t="s">
        <v>72</v>
      </c>
      <c r="B268" t="s">
        <v>5579</v>
      </c>
      <c r="C268" t="s">
        <v>74</v>
      </c>
      <c r="D268" t="s">
        <v>74</v>
      </c>
      <c r="E268" t="s">
        <v>74</v>
      </c>
      <c r="F268" t="s">
        <v>5580</v>
      </c>
      <c r="G268" t="s">
        <v>74</v>
      </c>
      <c r="H268" t="s">
        <v>74</v>
      </c>
      <c r="I268" t="s">
        <v>5581</v>
      </c>
      <c r="J268" t="s">
        <v>1519</v>
      </c>
      <c r="K268" t="s">
        <v>74</v>
      </c>
      <c r="L268" t="s">
        <v>74</v>
      </c>
      <c r="M268" t="s">
        <v>78</v>
      </c>
      <c r="N268" t="s">
        <v>79</v>
      </c>
      <c r="O268" t="s">
        <v>74</v>
      </c>
      <c r="P268" t="s">
        <v>74</v>
      </c>
      <c r="Q268" t="s">
        <v>74</v>
      </c>
      <c r="R268" t="s">
        <v>74</v>
      </c>
      <c r="S268" t="s">
        <v>74</v>
      </c>
      <c r="T268" t="s">
        <v>5582</v>
      </c>
      <c r="U268" t="s">
        <v>5583</v>
      </c>
      <c r="V268" t="s">
        <v>5584</v>
      </c>
      <c r="W268" t="s">
        <v>5585</v>
      </c>
      <c r="X268" t="s">
        <v>5586</v>
      </c>
      <c r="Y268" t="s">
        <v>5587</v>
      </c>
      <c r="Z268" t="s">
        <v>5588</v>
      </c>
      <c r="AA268" t="s">
        <v>5589</v>
      </c>
      <c r="AB268" t="s">
        <v>5590</v>
      </c>
      <c r="AC268" t="s">
        <v>5591</v>
      </c>
      <c r="AD268" t="s">
        <v>5592</v>
      </c>
      <c r="AE268" t="s">
        <v>5593</v>
      </c>
      <c r="AF268" t="s">
        <v>74</v>
      </c>
      <c r="AG268">
        <v>41</v>
      </c>
      <c r="AH268">
        <v>7</v>
      </c>
      <c r="AI268">
        <v>7</v>
      </c>
      <c r="AJ268">
        <v>0</v>
      </c>
      <c r="AK268">
        <v>7</v>
      </c>
      <c r="AL268" t="s">
        <v>266</v>
      </c>
      <c r="AM268" t="s">
        <v>267</v>
      </c>
      <c r="AN268" t="s">
        <v>268</v>
      </c>
      <c r="AO268" t="s">
        <v>1535</v>
      </c>
      <c r="AP268" t="s">
        <v>1536</v>
      </c>
      <c r="AQ268" t="s">
        <v>74</v>
      </c>
      <c r="AR268" t="s">
        <v>1537</v>
      </c>
      <c r="AS268" t="s">
        <v>1538</v>
      </c>
      <c r="AT268" t="s">
        <v>5327</v>
      </c>
      <c r="AU268">
        <v>2015</v>
      </c>
      <c r="AV268">
        <v>120</v>
      </c>
      <c r="AW268">
        <v>4</v>
      </c>
      <c r="AX268" t="s">
        <v>74</v>
      </c>
      <c r="AY268" t="s">
        <v>74</v>
      </c>
      <c r="AZ268" t="s">
        <v>74</v>
      </c>
      <c r="BA268" t="s">
        <v>74</v>
      </c>
      <c r="BB268">
        <v>2856</v>
      </c>
      <c r="BC268">
        <v>2868</v>
      </c>
      <c r="BD268" t="s">
        <v>74</v>
      </c>
      <c r="BE268" t="s">
        <v>5594</v>
      </c>
      <c r="BF268" t="str">
        <f>HYPERLINK("http://dx.doi.org/10.1002/2014JC010151","http://dx.doi.org/10.1002/2014JC010151")</f>
        <v>http://dx.doi.org/10.1002/2014JC010151</v>
      </c>
      <c r="BG268" t="s">
        <v>74</v>
      </c>
      <c r="BH268" t="s">
        <v>74</v>
      </c>
      <c r="BI268">
        <v>13</v>
      </c>
      <c r="BJ268" t="s">
        <v>1540</v>
      </c>
      <c r="BK268" t="s">
        <v>100</v>
      </c>
      <c r="BL268" t="s">
        <v>1540</v>
      </c>
      <c r="BM268" t="s">
        <v>5595</v>
      </c>
      <c r="BN268" t="s">
        <v>74</v>
      </c>
      <c r="BO268" t="s">
        <v>293</v>
      </c>
      <c r="BP268" t="s">
        <v>74</v>
      </c>
      <c r="BQ268" t="s">
        <v>74</v>
      </c>
      <c r="BR268" t="s">
        <v>104</v>
      </c>
      <c r="BS268" t="s">
        <v>5596</v>
      </c>
      <c r="BT268" t="str">
        <f>HYPERLINK("https%3A%2F%2Fwww.webofscience.com%2Fwos%2Fwoscc%2Ffull-record%2FWOS:000354417200028","View Full Record in Web of Science")</f>
        <v>View Full Record in Web of Science</v>
      </c>
    </row>
    <row r="269" spans="1:72" x14ac:dyDescent="0.15">
      <c r="A269" t="s">
        <v>72</v>
      </c>
      <c r="B269" t="s">
        <v>5597</v>
      </c>
      <c r="C269" t="s">
        <v>74</v>
      </c>
      <c r="D269" t="s">
        <v>74</v>
      </c>
      <c r="E269" t="s">
        <v>74</v>
      </c>
      <c r="F269" t="s">
        <v>5598</v>
      </c>
      <c r="G269" t="s">
        <v>74</v>
      </c>
      <c r="H269" t="s">
        <v>74</v>
      </c>
      <c r="I269" t="s">
        <v>5599</v>
      </c>
      <c r="J269" t="s">
        <v>1519</v>
      </c>
      <c r="K269" t="s">
        <v>74</v>
      </c>
      <c r="L269" t="s">
        <v>74</v>
      </c>
      <c r="M269" t="s">
        <v>78</v>
      </c>
      <c r="N269" t="s">
        <v>79</v>
      </c>
      <c r="O269" t="s">
        <v>74</v>
      </c>
      <c r="P269" t="s">
        <v>74</v>
      </c>
      <c r="Q269" t="s">
        <v>74</v>
      </c>
      <c r="R269" t="s">
        <v>74</v>
      </c>
      <c r="S269" t="s">
        <v>74</v>
      </c>
      <c r="T269" t="s">
        <v>5600</v>
      </c>
      <c r="U269" t="s">
        <v>5601</v>
      </c>
      <c r="V269" t="s">
        <v>5602</v>
      </c>
      <c r="W269" t="s">
        <v>5603</v>
      </c>
      <c r="X269" t="s">
        <v>5604</v>
      </c>
      <c r="Y269" t="s">
        <v>5605</v>
      </c>
      <c r="Z269" t="s">
        <v>5606</v>
      </c>
      <c r="AA269" t="s">
        <v>74</v>
      </c>
      <c r="AB269" t="s">
        <v>5607</v>
      </c>
      <c r="AC269" t="s">
        <v>5608</v>
      </c>
      <c r="AD269" t="s">
        <v>5608</v>
      </c>
      <c r="AE269" t="s">
        <v>5609</v>
      </c>
      <c r="AF269" t="s">
        <v>74</v>
      </c>
      <c r="AG269">
        <v>83</v>
      </c>
      <c r="AH269">
        <v>26</v>
      </c>
      <c r="AI269">
        <v>28</v>
      </c>
      <c r="AJ269">
        <v>1</v>
      </c>
      <c r="AK269">
        <v>12</v>
      </c>
      <c r="AL269" t="s">
        <v>266</v>
      </c>
      <c r="AM269" t="s">
        <v>267</v>
      </c>
      <c r="AN269" t="s">
        <v>268</v>
      </c>
      <c r="AO269" t="s">
        <v>1535</v>
      </c>
      <c r="AP269" t="s">
        <v>1536</v>
      </c>
      <c r="AQ269" t="s">
        <v>74</v>
      </c>
      <c r="AR269" t="s">
        <v>1537</v>
      </c>
      <c r="AS269" t="s">
        <v>1538</v>
      </c>
      <c r="AT269" t="s">
        <v>5327</v>
      </c>
      <c r="AU269">
        <v>2015</v>
      </c>
      <c r="AV269">
        <v>120</v>
      </c>
      <c r="AW269">
        <v>4</v>
      </c>
      <c r="AX269" t="s">
        <v>74</v>
      </c>
      <c r="AY269" t="s">
        <v>74</v>
      </c>
      <c r="AZ269" t="s">
        <v>74</v>
      </c>
      <c r="BA269" t="s">
        <v>74</v>
      </c>
      <c r="BB269">
        <v>2920</v>
      </c>
      <c r="BC269">
        <v>2944</v>
      </c>
      <c r="BD269" t="s">
        <v>74</v>
      </c>
      <c r="BE269" t="s">
        <v>5610</v>
      </c>
      <c r="BF269" t="str">
        <f>HYPERLINK("http://dx.doi.org/10.1002/2014JC010619","http://dx.doi.org/10.1002/2014JC010619")</f>
        <v>http://dx.doi.org/10.1002/2014JC010619</v>
      </c>
      <c r="BG269" t="s">
        <v>74</v>
      </c>
      <c r="BH269" t="s">
        <v>74</v>
      </c>
      <c r="BI269">
        <v>25</v>
      </c>
      <c r="BJ269" t="s">
        <v>1540</v>
      </c>
      <c r="BK269" t="s">
        <v>100</v>
      </c>
      <c r="BL269" t="s">
        <v>1540</v>
      </c>
      <c r="BM269" t="s">
        <v>5595</v>
      </c>
      <c r="BN269" t="s">
        <v>74</v>
      </c>
      <c r="BO269" t="s">
        <v>74</v>
      </c>
      <c r="BP269" t="s">
        <v>74</v>
      </c>
      <c r="BQ269" t="s">
        <v>74</v>
      </c>
      <c r="BR269" t="s">
        <v>104</v>
      </c>
      <c r="BS269" t="s">
        <v>5611</v>
      </c>
      <c r="BT269" t="str">
        <f>HYPERLINK("https%3A%2F%2Fwww.webofscience.com%2Fwos%2Fwoscc%2Ffull-record%2FWOS:000354417200032","View Full Record in Web of Science")</f>
        <v>View Full Record in Web of Science</v>
      </c>
    </row>
    <row r="270" spans="1:72" x14ac:dyDescent="0.15">
      <c r="A270" t="s">
        <v>72</v>
      </c>
      <c r="B270" t="s">
        <v>5612</v>
      </c>
      <c r="C270" t="s">
        <v>74</v>
      </c>
      <c r="D270" t="s">
        <v>74</v>
      </c>
      <c r="E270" t="s">
        <v>74</v>
      </c>
      <c r="F270" t="s">
        <v>5613</v>
      </c>
      <c r="G270" t="s">
        <v>74</v>
      </c>
      <c r="H270" t="s">
        <v>74</v>
      </c>
      <c r="I270" t="s">
        <v>5614</v>
      </c>
      <c r="J270" t="s">
        <v>1519</v>
      </c>
      <c r="K270" t="s">
        <v>74</v>
      </c>
      <c r="L270" t="s">
        <v>74</v>
      </c>
      <c r="M270" t="s">
        <v>78</v>
      </c>
      <c r="N270" t="s">
        <v>79</v>
      </c>
      <c r="O270" t="s">
        <v>74</v>
      </c>
      <c r="P270" t="s">
        <v>74</v>
      </c>
      <c r="Q270" t="s">
        <v>74</v>
      </c>
      <c r="R270" t="s">
        <v>74</v>
      </c>
      <c r="S270" t="s">
        <v>74</v>
      </c>
      <c r="T270" t="s">
        <v>5615</v>
      </c>
      <c r="U270" t="s">
        <v>5616</v>
      </c>
      <c r="V270" t="s">
        <v>5617</v>
      </c>
      <c r="W270" t="s">
        <v>5618</v>
      </c>
      <c r="X270" t="s">
        <v>5619</v>
      </c>
      <c r="Y270" t="s">
        <v>5620</v>
      </c>
      <c r="Z270" t="s">
        <v>5621</v>
      </c>
      <c r="AA270" t="s">
        <v>5622</v>
      </c>
      <c r="AB270" t="s">
        <v>5623</v>
      </c>
      <c r="AC270" t="s">
        <v>5624</v>
      </c>
      <c r="AD270" t="s">
        <v>5625</v>
      </c>
      <c r="AE270" t="s">
        <v>5626</v>
      </c>
      <c r="AF270" t="s">
        <v>74</v>
      </c>
      <c r="AG270">
        <v>90</v>
      </c>
      <c r="AH270">
        <v>24</v>
      </c>
      <c r="AI270">
        <v>25</v>
      </c>
      <c r="AJ270">
        <v>0</v>
      </c>
      <c r="AK270">
        <v>32</v>
      </c>
      <c r="AL270" t="s">
        <v>266</v>
      </c>
      <c r="AM270" t="s">
        <v>267</v>
      </c>
      <c r="AN270" t="s">
        <v>268</v>
      </c>
      <c r="AO270" t="s">
        <v>1535</v>
      </c>
      <c r="AP270" t="s">
        <v>1536</v>
      </c>
      <c r="AQ270" t="s">
        <v>74</v>
      </c>
      <c r="AR270" t="s">
        <v>1537</v>
      </c>
      <c r="AS270" t="s">
        <v>1538</v>
      </c>
      <c r="AT270" t="s">
        <v>5327</v>
      </c>
      <c r="AU270">
        <v>2015</v>
      </c>
      <c r="AV270">
        <v>120</v>
      </c>
      <c r="AW270">
        <v>4</v>
      </c>
      <c r="AX270" t="s">
        <v>74</v>
      </c>
      <c r="AY270" t="s">
        <v>74</v>
      </c>
      <c r="AZ270" t="s">
        <v>74</v>
      </c>
      <c r="BA270" t="s">
        <v>74</v>
      </c>
      <c r="BB270">
        <v>3079</v>
      </c>
      <c r="BC270">
        <v>3097</v>
      </c>
      <c r="BD270" t="s">
        <v>74</v>
      </c>
      <c r="BE270" t="s">
        <v>5627</v>
      </c>
      <c r="BF270" t="str">
        <f>HYPERLINK("http://dx.doi.org/10.1002/2014JC010583","http://dx.doi.org/10.1002/2014JC010583")</f>
        <v>http://dx.doi.org/10.1002/2014JC010583</v>
      </c>
      <c r="BG270" t="s">
        <v>74</v>
      </c>
      <c r="BH270" t="s">
        <v>74</v>
      </c>
      <c r="BI270">
        <v>19</v>
      </c>
      <c r="BJ270" t="s">
        <v>1540</v>
      </c>
      <c r="BK270" t="s">
        <v>100</v>
      </c>
      <c r="BL270" t="s">
        <v>1540</v>
      </c>
      <c r="BM270" t="s">
        <v>5595</v>
      </c>
      <c r="BN270" t="s">
        <v>74</v>
      </c>
      <c r="BO270" t="s">
        <v>293</v>
      </c>
      <c r="BP270" t="s">
        <v>74</v>
      </c>
      <c r="BQ270" t="s">
        <v>74</v>
      </c>
      <c r="BR270" t="s">
        <v>104</v>
      </c>
      <c r="BS270" t="s">
        <v>5628</v>
      </c>
      <c r="BT270" t="str">
        <f>HYPERLINK("https%3A%2F%2Fwww.webofscience.com%2Fwos%2Fwoscc%2Ffull-record%2FWOS:000354417200041","View Full Record in Web of Science")</f>
        <v>View Full Record in Web of Science</v>
      </c>
    </row>
    <row r="271" spans="1:72" x14ac:dyDescent="0.15">
      <c r="A271" t="s">
        <v>72</v>
      </c>
      <c r="B271" t="s">
        <v>5629</v>
      </c>
      <c r="C271" t="s">
        <v>74</v>
      </c>
      <c r="D271" t="s">
        <v>74</v>
      </c>
      <c r="E271" t="s">
        <v>74</v>
      </c>
      <c r="F271" t="s">
        <v>5630</v>
      </c>
      <c r="G271" t="s">
        <v>74</v>
      </c>
      <c r="H271" t="s">
        <v>74</v>
      </c>
      <c r="I271" t="s">
        <v>5631</v>
      </c>
      <c r="J271" t="s">
        <v>1519</v>
      </c>
      <c r="K271" t="s">
        <v>74</v>
      </c>
      <c r="L271" t="s">
        <v>74</v>
      </c>
      <c r="M271" t="s">
        <v>78</v>
      </c>
      <c r="N271" t="s">
        <v>79</v>
      </c>
      <c r="O271" t="s">
        <v>74</v>
      </c>
      <c r="P271" t="s">
        <v>74</v>
      </c>
      <c r="Q271" t="s">
        <v>74</v>
      </c>
      <c r="R271" t="s">
        <v>74</v>
      </c>
      <c r="S271" t="s">
        <v>74</v>
      </c>
      <c r="T271" t="s">
        <v>5632</v>
      </c>
      <c r="U271" t="s">
        <v>5633</v>
      </c>
      <c r="V271" t="s">
        <v>5634</v>
      </c>
      <c r="W271" t="s">
        <v>5635</v>
      </c>
      <c r="X271" t="s">
        <v>5636</v>
      </c>
      <c r="Y271" t="s">
        <v>5637</v>
      </c>
      <c r="Z271" t="s">
        <v>5638</v>
      </c>
      <c r="AA271" t="s">
        <v>5639</v>
      </c>
      <c r="AB271" t="s">
        <v>5640</v>
      </c>
      <c r="AC271" t="s">
        <v>5641</v>
      </c>
      <c r="AD271" t="s">
        <v>5642</v>
      </c>
      <c r="AE271" t="s">
        <v>5643</v>
      </c>
      <c r="AF271" t="s">
        <v>74</v>
      </c>
      <c r="AG271">
        <v>38</v>
      </c>
      <c r="AH271">
        <v>57</v>
      </c>
      <c r="AI271">
        <v>64</v>
      </c>
      <c r="AJ271">
        <v>2</v>
      </c>
      <c r="AK271">
        <v>42</v>
      </c>
      <c r="AL271" t="s">
        <v>266</v>
      </c>
      <c r="AM271" t="s">
        <v>267</v>
      </c>
      <c r="AN271" t="s">
        <v>268</v>
      </c>
      <c r="AO271" t="s">
        <v>1535</v>
      </c>
      <c r="AP271" t="s">
        <v>1536</v>
      </c>
      <c r="AQ271" t="s">
        <v>74</v>
      </c>
      <c r="AR271" t="s">
        <v>1537</v>
      </c>
      <c r="AS271" t="s">
        <v>1538</v>
      </c>
      <c r="AT271" t="s">
        <v>5327</v>
      </c>
      <c r="AU271">
        <v>2015</v>
      </c>
      <c r="AV271">
        <v>120</v>
      </c>
      <c r="AW271">
        <v>4</v>
      </c>
      <c r="AX271" t="s">
        <v>74</v>
      </c>
      <c r="AY271" t="s">
        <v>74</v>
      </c>
      <c r="AZ271" t="s">
        <v>74</v>
      </c>
      <c r="BA271" t="s">
        <v>74</v>
      </c>
      <c r="BB271">
        <v>3098</v>
      </c>
      <c r="BC271">
        <v>3112</v>
      </c>
      <c r="BD271" t="s">
        <v>74</v>
      </c>
      <c r="BE271" t="s">
        <v>5644</v>
      </c>
      <c r="BF271" t="str">
        <f>HYPERLINK("http://dx.doi.org/10.1002/2015JC010697","http://dx.doi.org/10.1002/2015JC010697")</f>
        <v>http://dx.doi.org/10.1002/2015JC010697</v>
      </c>
      <c r="BG271" t="s">
        <v>74</v>
      </c>
      <c r="BH271" t="s">
        <v>74</v>
      </c>
      <c r="BI271">
        <v>15</v>
      </c>
      <c r="BJ271" t="s">
        <v>1540</v>
      </c>
      <c r="BK271" t="s">
        <v>100</v>
      </c>
      <c r="BL271" t="s">
        <v>1540</v>
      </c>
      <c r="BM271" t="s">
        <v>5595</v>
      </c>
      <c r="BN271" t="s">
        <v>74</v>
      </c>
      <c r="BO271" t="s">
        <v>408</v>
      </c>
      <c r="BP271" t="s">
        <v>74</v>
      </c>
      <c r="BQ271" t="s">
        <v>74</v>
      </c>
      <c r="BR271" t="s">
        <v>104</v>
      </c>
      <c r="BS271" t="s">
        <v>5645</v>
      </c>
      <c r="BT271" t="str">
        <f>HYPERLINK("https%3A%2F%2Fwww.webofscience.com%2Fwos%2Fwoscc%2Ffull-record%2FWOS:000354417200042","View Full Record in Web of Science")</f>
        <v>View Full Record in Web of Science</v>
      </c>
    </row>
    <row r="272" spans="1:72" x14ac:dyDescent="0.15">
      <c r="A272" t="s">
        <v>72</v>
      </c>
      <c r="B272" t="s">
        <v>5646</v>
      </c>
      <c r="C272" t="s">
        <v>74</v>
      </c>
      <c r="D272" t="s">
        <v>74</v>
      </c>
      <c r="E272" t="s">
        <v>74</v>
      </c>
      <c r="F272" t="s">
        <v>5647</v>
      </c>
      <c r="G272" t="s">
        <v>74</v>
      </c>
      <c r="H272" t="s">
        <v>74</v>
      </c>
      <c r="I272" t="s">
        <v>5648</v>
      </c>
      <c r="J272" t="s">
        <v>2019</v>
      </c>
      <c r="K272" t="s">
        <v>74</v>
      </c>
      <c r="L272" t="s">
        <v>74</v>
      </c>
      <c r="M272" t="s">
        <v>2020</v>
      </c>
      <c r="N272" t="s">
        <v>79</v>
      </c>
      <c r="O272" t="s">
        <v>74</v>
      </c>
      <c r="P272" t="s">
        <v>74</v>
      </c>
      <c r="Q272" t="s">
        <v>74</v>
      </c>
      <c r="R272" t="s">
        <v>74</v>
      </c>
      <c r="S272" t="s">
        <v>74</v>
      </c>
      <c r="T272" t="s">
        <v>5649</v>
      </c>
      <c r="U272" t="s">
        <v>5650</v>
      </c>
      <c r="V272" t="s">
        <v>5651</v>
      </c>
      <c r="W272" t="s">
        <v>5652</v>
      </c>
      <c r="X272" t="s">
        <v>2025</v>
      </c>
      <c r="Y272" t="s">
        <v>5653</v>
      </c>
      <c r="Z272" t="s">
        <v>5654</v>
      </c>
      <c r="AA272" t="s">
        <v>5655</v>
      </c>
      <c r="AB272" t="s">
        <v>74</v>
      </c>
      <c r="AC272" t="s">
        <v>74</v>
      </c>
      <c r="AD272" t="s">
        <v>74</v>
      </c>
      <c r="AE272" t="s">
        <v>74</v>
      </c>
      <c r="AF272" t="s">
        <v>74</v>
      </c>
      <c r="AG272">
        <v>36</v>
      </c>
      <c r="AH272">
        <v>8</v>
      </c>
      <c r="AI272">
        <v>17</v>
      </c>
      <c r="AJ272">
        <v>0</v>
      </c>
      <c r="AK272">
        <v>22</v>
      </c>
      <c r="AL272" t="s">
        <v>2028</v>
      </c>
      <c r="AM272" t="s">
        <v>2029</v>
      </c>
      <c r="AN272" t="s">
        <v>2030</v>
      </c>
      <c r="AO272" t="s">
        <v>2031</v>
      </c>
      <c r="AP272" t="s">
        <v>74</v>
      </c>
      <c r="AQ272" t="s">
        <v>74</v>
      </c>
      <c r="AR272" t="s">
        <v>2032</v>
      </c>
      <c r="AS272" t="s">
        <v>2033</v>
      </c>
      <c r="AT272" t="s">
        <v>5327</v>
      </c>
      <c r="AU272">
        <v>2015</v>
      </c>
      <c r="AV272">
        <v>58</v>
      </c>
      <c r="AW272">
        <v>4</v>
      </c>
      <c r="AX272" t="s">
        <v>74</v>
      </c>
      <c r="AY272" t="s">
        <v>74</v>
      </c>
      <c r="AZ272" t="s">
        <v>74</v>
      </c>
      <c r="BA272" t="s">
        <v>74</v>
      </c>
      <c r="BB272">
        <v>1135</v>
      </c>
      <c r="BC272">
        <v>1144</v>
      </c>
      <c r="BD272" t="s">
        <v>74</v>
      </c>
      <c r="BE272" t="s">
        <v>5656</v>
      </c>
      <c r="BF272" t="str">
        <f>HYPERLINK("http://dx.doi.org/10.6038/cjg20150404","http://dx.doi.org/10.6038/cjg20150404")</f>
        <v>http://dx.doi.org/10.6038/cjg20150404</v>
      </c>
      <c r="BG272" t="s">
        <v>74</v>
      </c>
      <c r="BH272" t="s">
        <v>74</v>
      </c>
      <c r="BI272">
        <v>10</v>
      </c>
      <c r="BJ272" t="s">
        <v>863</v>
      </c>
      <c r="BK272" t="s">
        <v>100</v>
      </c>
      <c r="BL272" t="s">
        <v>863</v>
      </c>
      <c r="BM272" t="s">
        <v>5657</v>
      </c>
      <c r="BN272" t="s">
        <v>74</v>
      </c>
      <c r="BO272" t="s">
        <v>74</v>
      </c>
      <c r="BP272" t="s">
        <v>74</v>
      </c>
      <c r="BQ272" t="s">
        <v>74</v>
      </c>
      <c r="BR272" t="s">
        <v>104</v>
      </c>
      <c r="BS272" t="s">
        <v>5658</v>
      </c>
      <c r="BT272" t="str">
        <f>HYPERLINK("https%3A%2F%2Fwww.webofscience.com%2Fwos%2Fwoscc%2Ffull-record%2FWOS:000353664300004","View Full Record in Web of Science")</f>
        <v>View Full Record in Web of Science</v>
      </c>
    </row>
    <row r="273" spans="1:72" x14ac:dyDescent="0.15">
      <c r="A273" t="s">
        <v>72</v>
      </c>
      <c r="B273" t="s">
        <v>5659</v>
      </c>
      <c r="C273" t="s">
        <v>74</v>
      </c>
      <c r="D273" t="s">
        <v>74</v>
      </c>
      <c r="E273" t="s">
        <v>74</v>
      </c>
      <c r="F273" t="s">
        <v>5660</v>
      </c>
      <c r="G273" t="s">
        <v>74</v>
      </c>
      <c r="H273" t="s">
        <v>74</v>
      </c>
      <c r="I273" t="s">
        <v>5661</v>
      </c>
      <c r="J273" t="s">
        <v>2131</v>
      </c>
      <c r="K273" t="s">
        <v>74</v>
      </c>
      <c r="L273" t="s">
        <v>74</v>
      </c>
      <c r="M273" t="s">
        <v>78</v>
      </c>
      <c r="N273" t="s">
        <v>79</v>
      </c>
      <c r="O273" t="s">
        <v>74</v>
      </c>
      <c r="P273" t="s">
        <v>74</v>
      </c>
      <c r="Q273" t="s">
        <v>74</v>
      </c>
      <c r="R273" t="s">
        <v>74</v>
      </c>
      <c r="S273" t="s">
        <v>74</v>
      </c>
      <c r="T273" t="s">
        <v>5662</v>
      </c>
      <c r="U273" t="s">
        <v>5663</v>
      </c>
      <c r="V273" t="s">
        <v>5664</v>
      </c>
      <c r="W273" t="s">
        <v>5665</v>
      </c>
      <c r="X273" t="s">
        <v>5666</v>
      </c>
      <c r="Y273" t="s">
        <v>5667</v>
      </c>
      <c r="Z273" t="s">
        <v>5668</v>
      </c>
      <c r="AA273" t="s">
        <v>5669</v>
      </c>
      <c r="AB273" t="s">
        <v>5670</v>
      </c>
      <c r="AC273" t="s">
        <v>5671</v>
      </c>
      <c r="AD273" t="s">
        <v>5672</v>
      </c>
      <c r="AE273" t="s">
        <v>5673</v>
      </c>
      <c r="AF273" t="s">
        <v>74</v>
      </c>
      <c r="AG273">
        <v>42</v>
      </c>
      <c r="AH273">
        <v>8</v>
      </c>
      <c r="AI273">
        <v>8</v>
      </c>
      <c r="AJ273">
        <v>0</v>
      </c>
      <c r="AK273">
        <v>30</v>
      </c>
      <c r="AL273" t="s">
        <v>786</v>
      </c>
      <c r="AM273" t="s">
        <v>787</v>
      </c>
      <c r="AN273" t="s">
        <v>788</v>
      </c>
      <c r="AO273" t="s">
        <v>2144</v>
      </c>
      <c r="AP273" t="s">
        <v>2145</v>
      </c>
      <c r="AQ273" t="s">
        <v>74</v>
      </c>
      <c r="AR273" t="s">
        <v>2146</v>
      </c>
      <c r="AS273" t="s">
        <v>2147</v>
      </c>
      <c r="AT273" t="s">
        <v>5327</v>
      </c>
      <c r="AU273">
        <v>2015</v>
      </c>
      <c r="AV273">
        <v>114</v>
      </c>
      <c r="AW273" t="s">
        <v>74</v>
      </c>
      <c r="AX273" t="s">
        <v>74</v>
      </c>
      <c r="AY273" t="s">
        <v>74</v>
      </c>
      <c r="AZ273" t="s">
        <v>74</v>
      </c>
      <c r="BA273" t="s">
        <v>74</v>
      </c>
      <c r="BB273">
        <v>12</v>
      </c>
      <c r="BC273">
        <v>26</v>
      </c>
      <c r="BD273" t="s">
        <v>74</v>
      </c>
      <c r="BE273" t="s">
        <v>5674</v>
      </c>
      <c r="BF273" t="str">
        <f>HYPERLINK("http://dx.doi.org/10.1016/j.dsr2.2014.01.017","http://dx.doi.org/10.1016/j.dsr2.2014.01.017")</f>
        <v>http://dx.doi.org/10.1016/j.dsr2.2014.01.017</v>
      </c>
      <c r="BG273" t="s">
        <v>74</v>
      </c>
      <c r="BH273" t="s">
        <v>74</v>
      </c>
      <c r="BI273">
        <v>15</v>
      </c>
      <c r="BJ273" t="s">
        <v>1540</v>
      </c>
      <c r="BK273" t="s">
        <v>100</v>
      </c>
      <c r="BL273" t="s">
        <v>1540</v>
      </c>
      <c r="BM273" t="s">
        <v>5675</v>
      </c>
      <c r="BN273" t="s">
        <v>74</v>
      </c>
      <c r="BO273" t="s">
        <v>74</v>
      </c>
      <c r="BP273" t="s">
        <v>74</v>
      </c>
      <c r="BQ273" t="s">
        <v>74</v>
      </c>
      <c r="BR273" t="s">
        <v>104</v>
      </c>
      <c r="BS273" t="s">
        <v>5676</v>
      </c>
      <c r="BT273" t="str">
        <f>HYPERLINK("https%3A%2F%2Fwww.webofscience.com%2Fwos%2Fwoscc%2Ffull-record%2FWOS:000354342300003","View Full Record in Web of Science")</f>
        <v>View Full Record in Web of Science</v>
      </c>
    </row>
    <row r="274" spans="1:72" x14ac:dyDescent="0.15">
      <c r="A274" t="s">
        <v>72</v>
      </c>
      <c r="B274" t="s">
        <v>5677</v>
      </c>
      <c r="C274" t="s">
        <v>74</v>
      </c>
      <c r="D274" t="s">
        <v>74</v>
      </c>
      <c r="E274" t="s">
        <v>74</v>
      </c>
      <c r="F274" t="s">
        <v>5678</v>
      </c>
      <c r="G274" t="s">
        <v>74</v>
      </c>
      <c r="H274" t="s">
        <v>74</v>
      </c>
      <c r="I274" t="s">
        <v>5679</v>
      </c>
      <c r="J274" t="s">
        <v>2131</v>
      </c>
      <c r="K274" t="s">
        <v>74</v>
      </c>
      <c r="L274" t="s">
        <v>74</v>
      </c>
      <c r="M274" t="s">
        <v>78</v>
      </c>
      <c r="N274" t="s">
        <v>79</v>
      </c>
      <c r="O274" t="s">
        <v>74</v>
      </c>
      <c r="P274" t="s">
        <v>74</v>
      </c>
      <c r="Q274" t="s">
        <v>74</v>
      </c>
      <c r="R274" t="s">
        <v>74</v>
      </c>
      <c r="S274" t="s">
        <v>74</v>
      </c>
      <c r="T274" t="s">
        <v>5680</v>
      </c>
      <c r="U274" t="s">
        <v>5681</v>
      </c>
      <c r="V274" t="s">
        <v>5682</v>
      </c>
      <c r="W274" t="s">
        <v>5683</v>
      </c>
      <c r="X274" t="s">
        <v>5684</v>
      </c>
      <c r="Y274" t="s">
        <v>5685</v>
      </c>
      <c r="Z274" t="s">
        <v>5686</v>
      </c>
      <c r="AA274" t="s">
        <v>5687</v>
      </c>
      <c r="AB274" t="s">
        <v>5688</v>
      </c>
      <c r="AC274" t="s">
        <v>5689</v>
      </c>
      <c r="AD274" t="s">
        <v>5690</v>
      </c>
      <c r="AE274" t="s">
        <v>5691</v>
      </c>
      <c r="AF274" t="s">
        <v>74</v>
      </c>
      <c r="AG274">
        <v>60</v>
      </c>
      <c r="AH274">
        <v>18</v>
      </c>
      <c r="AI274">
        <v>18</v>
      </c>
      <c r="AJ274">
        <v>0</v>
      </c>
      <c r="AK274">
        <v>18</v>
      </c>
      <c r="AL274" t="s">
        <v>786</v>
      </c>
      <c r="AM274" t="s">
        <v>787</v>
      </c>
      <c r="AN274" t="s">
        <v>788</v>
      </c>
      <c r="AO274" t="s">
        <v>2144</v>
      </c>
      <c r="AP274" t="s">
        <v>2145</v>
      </c>
      <c r="AQ274" t="s">
        <v>74</v>
      </c>
      <c r="AR274" t="s">
        <v>2146</v>
      </c>
      <c r="AS274" t="s">
        <v>2147</v>
      </c>
      <c r="AT274" t="s">
        <v>5327</v>
      </c>
      <c r="AU274">
        <v>2015</v>
      </c>
      <c r="AV274">
        <v>114</v>
      </c>
      <c r="AW274" t="s">
        <v>74</v>
      </c>
      <c r="AX274" t="s">
        <v>74</v>
      </c>
      <c r="AY274" t="s">
        <v>74</v>
      </c>
      <c r="AZ274" t="s">
        <v>74</v>
      </c>
      <c r="BA274" t="s">
        <v>74</v>
      </c>
      <c r="BB274">
        <v>27</v>
      </c>
      <c r="BC274">
        <v>38</v>
      </c>
      <c r="BD274" t="s">
        <v>74</v>
      </c>
      <c r="BE274" t="s">
        <v>5692</v>
      </c>
      <c r="BF274" t="str">
        <f>HYPERLINK("http://dx.doi.org/10.1016/j.dsr2.2014.05.016","http://dx.doi.org/10.1016/j.dsr2.2014.05.016")</f>
        <v>http://dx.doi.org/10.1016/j.dsr2.2014.05.016</v>
      </c>
      <c r="BG274" t="s">
        <v>74</v>
      </c>
      <c r="BH274" t="s">
        <v>74</v>
      </c>
      <c r="BI274">
        <v>12</v>
      </c>
      <c r="BJ274" t="s">
        <v>1540</v>
      </c>
      <c r="BK274" t="s">
        <v>100</v>
      </c>
      <c r="BL274" t="s">
        <v>1540</v>
      </c>
      <c r="BM274" t="s">
        <v>5675</v>
      </c>
      <c r="BN274" t="s">
        <v>74</v>
      </c>
      <c r="BO274" t="s">
        <v>74</v>
      </c>
      <c r="BP274" t="s">
        <v>74</v>
      </c>
      <c r="BQ274" t="s">
        <v>74</v>
      </c>
      <c r="BR274" t="s">
        <v>104</v>
      </c>
      <c r="BS274" t="s">
        <v>5693</v>
      </c>
      <c r="BT274" t="str">
        <f>HYPERLINK("https%3A%2F%2Fwww.webofscience.com%2Fwos%2Fwoscc%2Ffull-record%2FWOS:000354342300004","View Full Record in Web of Science")</f>
        <v>View Full Record in Web of Science</v>
      </c>
    </row>
    <row r="275" spans="1:72" x14ac:dyDescent="0.15">
      <c r="A275" t="s">
        <v>72</v>
      </c>
      <c r="B275" t="s">
        <v>5694</v>
      </c>
      <c r="C275" t="s">
        <v>74</v>
      </c>
      <c r="D275" t="s">
        <v>74</v>
      </c>
      <c r="E275" t="s">
        <v>74</v>
      </c>
      <c r="F275" t="s">
        <v>5695</v>
      </c>
      <c r="G275" t="s">
        <v>74</v>
      </c>
      <c r="H275" t="s">
        <v>74</v>
      </c>
      <c r="I275" t="s">
        <v>5696</v>
      </c>
      <c r="J275" t="s">
        <v>2131</v>
      </c>
      <c r="K275" t="s">
        <v>74</v>
      </c>
      <c r="L275" t="s">
        <v>74</v>
      </c>
      <c r="M275" t="s">
        <v>78</v>
      </c>
      <c r="N275" t="s">
        <v>79</v>
      </c>
      <c r="O275" t="s">
        <v>74</v>
      </c>
      <c r="P275" t="s">
        <v>74</v>
      </c>
      <c r="Q275" t="s">
        <v>74</v>
      </c>
      <c r="R275" t="s">
        <v>74</v>
      </c>
      <c r="S275" t="s">
        <v>74</v>
      </c>
      <c r="T275" t="s">
        <v>74</v>
      </c>
      <c r="U275" t="s">
        <v>5697</v>
      </c>
      <c r="V275" t="s">
        <v>5698</v>
      </c>
      <c r="W275" t="s">
        <v>5699</v>
      </c>
      <c r="X275" t="s">
        <v>5700</v>
      </c>
      <c r="Y275" t="s">
        <v>5701</v>
      </c>
      <c r="Z275" t="s">
        <v>5702</v>
      </c>
      <c r="AA275" t="s">
        <v>5703</v>
      </c>
      <c r="AB275" t="s">
        <v>5704</v>
      </c>
      <c r="AC275" t="s">
        <v>5705</v>
      </c>
      <c r="AD275" t="s">
        <v>5706</v>
      </c>
      <c r="AE275" t="s">
        <v>5707</v>
      </c>
      <c r="AF275" t="s">
        <v>74</v>
      </c>
      <c r="AG275">
        <v>74</v>
      </c>
      <c r="AH275">
        <v>43</v>
      </c>
      <c r="AI275">
        <v>46</v>
      </c>
      <c r="AJ275">
        <v>2</v>
      </c>
      <c r="AK275">
        <v>67</v>
      </c>
      <c r="AL275" t="s">
        <v>786</v>
      </c>
      <c r="AM275" t="s">
        <v>787</v>
      </c>
      <c r="AN275" t="s">
        <v>788</v>
      </c>
      <c r="AO275" t="s">
        <v>2144</v>
      </c>
      <c r="AP275" t="s">
        <v>2145</v>
      </c>
      <c r="AQ275" t="s">
        <v>74</v>
      </c>
      <c r="AR275" t="s">
        <v>2146</v>
      </c>
      <c r="AS275" t="s">
        <v>2147</v>
      </c>
      <c r="AT275" t="s">
        <v>5327</v>
      </c>
      <c r="AU275">
        <v>2015</v>
      </c>
      <c r="AV275">
        <v>114</v>
      </c>
      <c r="AW275" t="s">
        <v>74</v>
      </c>
      <c r="AX275" t="s">
        <v>74</v>
      </c>
      <c r="AY275" t="s">
        <v>74</v>
      </c>
      <c r="AZ275" t="s">
        <v>74</v>
      </c>
      <c r="BA275" t="s">
        <v>74</v>
      </c>
      <c r="BB275">
        <v>49</v>
      </c>
      <c r="BC275">
        <v>63</v>
      </c>
      <c r="BD275" t="s">
        <v>74</v>
      </c>
      <c r="BE275" t="s">
        <v>5708</v>
      </c>
      <c r="BF275" t="str">
        <f>HYPERLINK("http://dx.doi.org/10.1016/j.dsr2.2014.12.014","http://dx.doi.org/10.1016/j.dsr2.2014.12.014")</f>
        <v>http://dx.doi.org/10.1016/j.dsr2.2014.12.014</v>
      </c>
      <c r="BG275" t="s">
        <v>74</v>
      </c>
      <c r="BH275" t="s">
        <v>74</v>
      </c>
      <c r="BI275">
        <v>15</v>
      </c>
      <c r="BJ275" t="s">
        <v>1540</v>
      </c>
      <c r="BK275" t="s">
        <v>100</v>
      </c>
      <c r="BL275" t="s">
        <v>1540</v>
      </c>
      <c r="BM275" t="s">
        <v>5675</v>
      </c>
      <c r="BN275" t="s">
        <v>74</v>
      </c>
      <c r="BO275" t="s">
        <v>74</v>
      </c>
      <c r="BP275" t="s">
        <v>74</v>
      </c>
      <c r="BQ275" t="s">
        <v>74</v>
      </c>
      <c r="BR275" t="s">
        <v>104</v>
      </c>
      <c r="BS275" t="s">
        <v>5709</v>
      </c>
      <c r="BT275" t="str">
        <f>HYPERLINK("https%3A%2F%2Fwww.webofscience.com%2Fwos%2Fwoscc%2Ffull-record%2FWOS:000354342300006","View Full Record in Web of Science")</f>
        <v>View Full Record in Web of Science</v>
      </c>
    </row>
    <row r="276" spans="1:72" x14ac:dyDescent="0.15">
      <c r="A276" t="s">
        <v>72</v>
      </c>
      <c r="B276" t="s">
        <v>5710</v>
      </c>
      <c r="C276" t="s">
        <v>74</v>
      </c>
      <c r="D276" t="s">
        <v>74</v>
      </c>
      <c r="E276" t="s">
        <v>74</v>
      </c>
      <c r="F276" t="s">
        <v>5711</v>
      </c>
      <c r="G276" t="s">
        <v>74</v>
      </c>
      <c r="H276" t="s">
        <v>74</v>
      </c>
      <c r="I276" t="s">
        <v>5712</v>
      </c>
      <c r="J276" t="s">
        <v>2131</v>
      </c>
      <c r="K276" t="s">
        <v>74</v>
      </c>
      <c r="L276" t="s">
        <v>74</v>
      </c>
      <c r="M276" t="s">
        <v>78</v>
      </c>
      <c r="N276" t="s">
        <v>79</v>
      </c>
      <c r="O276" t="s">
        <v>74</v>
      </c>
      <c r="P276" t="s">
        <v>74</v>
      </c>
      <c r="Q276" t="s">
        <v>74</v>
      </c>
      <c r="R276" t="s">
        <v>74</v>
      </c>
      <c r="S276" t="s">
        <v>74</v>
      </c>
      <c r="T276" t="s">
        <v>5713</v>
      </c>
      <c r="U276" t="s">
        <v>5714</v>
      </c>
      <c r="V276" t="s">
        <v>5715</v>
      </c>
      <c r="W276" t="s">
        <v>5716</v>
      </c>
      <c r="X276" t="s">
        <v>5717</v>
      </c>
      <c r="Y276" t="s">
        <v>5718</v>
      </c>
      <c r="Z276" t="s">
        <v>5719</v>
      </c>
      <c r="AA276" t="s">
        <v>5720</v>
      </c>
      <c r="AB276" t="s">
        <v>5721</v>
      </c>
      <c r="AC276" t="s">
        <v>5722</v>
      </c>
      <c r="AD276" t="s">
        <v>5723</v>
      </c>
      <c r="AE276" t="s">
        <v>5724</v>
      </c>
      <c r="AF276" t="s">
        <v>74</v>
      </c>
      <c r="AG276">
        <v>46</v>
      </c>
      <c r="AH276">
        <v>12</v>
      </c>
      <c r="AI276">
        <v>13</v>
      </c>
      <c r="AJ276">
        <v>1</v>
      </c>
      <c r="AK276">
        <v>17</v>
      </c>
      <c r="AL276" t="s">
        <v>786</v>
      </c>
      <c r="AM276" t="s">
        <v>787</v>
      </c>
      <c r="AN276" t="s">
        <v>788</v>
      </c>
      <c r="AO276" t="s">
        <v>2144</v>
      </c>
      <c r="AP276" t="s">
        <v>2145</v>
      </c>
      <c r="AQ276" t="s">
        <v>74</v>
      </c>
      <c r="AR276" t="s">
        <v>2146</v>
      </c>
      <c r="AS276" t="s">
        <v>2147</v>
      </c>
      <c r="AT276" t="s">
        <v>5327</v>
      </c>
      <c r="AU276">
        <v>2015</v>
      </c>
      <c r="AV276">
        <v>114</v>
      </c>
      <c r="AW276" t="s">
        <v>74</v>
      </c>
      <c r="AX276" t="s">
        <v>74</v>
      </c>
      <c r="AY276" t="s">
        <v>74</v>
      </c>
      <c r="AZ276" t="s">
        <v>74</v>
      </c>
      <c r="BA276" t="s">
        <v>74</v>
      </c>
      <c r="BB276">
        <v>64</v>
      </c>
      <c r="BC276">
        <v>73</v>
      </c>
      <c r="BD276" t="s">
        <v>74</v>
      </c>
      <c r="BE276" t="s">
        <v>5725</v>
      </c>
      <c r="BF276" t="str">
        <f>HYPERLINK("http://dx.doi.org/10.1016/j.dsr2.2013.02.017","http://dx.doi.org/10.1016/j.dsr2.2013.02.017")</f>
        <v>http://dx.doi.org/10.1016/j.dsr2.2013.02.017</v>
      </c>
      <c r="BG276" t="s">
        <v>74</v>
      </c>
      <c r="BH276" t="s">
        <v>74</v>
      </c>
      <c r="BI276">
        <v>10</v>
      </c>
      <c r="BJ276" t="s">
        <v>1540</v>
      </c>
      <c r="BK276" t="s">
        <v>100</v>
      </c>
      <c r="BL276" t="s">
        <v>1540</v>
      </c>
      <c r="BM276" t="s">
        <v>5675</v>
      </c>
      <c r="BN276" t="s">
        <v>74</v>
      </c>
      <c r="BO276" t="s">
        <v>74</v>
      </c>
      <c r="BP276" t="s">
        <v>74</v>
      </c>
      <c r="BQ276" t="s">
        <v>74</v>
      </c>
      <c r="BR276" t="s">
        <v>104</v>
      </c>
      <c r="BS276" t="s">
        <v>5726</v>
      </c>
      <c r="BT276" t="str">
        <f>HYPERLINK("https%3A%2F%2Fwww.webofscience.com%2Fwos%2Fwoscc%2Ffull-record%2FWOS:000354342300007","View Full Record in Web of Science")</f>
        <v>View Full Record in Web of Science</v>
      </c>
    </row>
    <row r="277" spans="1:72" x14ac:dyDescent="0.15">
      <c r="A277" t="s">
        <v>72</v>
      </c>
      <c r="B277" t="s">
        <v>5727</v>
      </c>
      <c r="C277" t="s">
        <v>74</v>
      </c>
      <c r="D277" t="s">
        <v>74</v>
      </c>
      <c r="E277" t="s">
        <v>74</v>
      </c>
      <c r="F277" t="s">
        <v>5728</v>
      </c>
      <c r="G277" t="s">
        <v>74</v>
      </c>
      <c r="H277" t="s">
        <v>74</v>
      </c>
      <c r="I277" t="s">
        <v>5729</v>
      </c>
      <c r="J277" t="s">
        <v>5730</v>
      </c>
      <c r="K277" t="s">
        <v>74</v>
      </c>
      <c r="L277" t="s">
        <v>74</v>
      </c>
      <c r="M277" t="s">
        <v>78</v>
      </c>
      <c r="N277" t="s">
        <v>79</v>
      </c>
      <c r="O277" t="s">
        <v>74</v>
      </c>
      <c r="P277" t="s">
        <v>74</v>
      </c>
      <c r="Q277" t="s">
        <v>74</v>
      </c>
      <c r="R277" t="s">
        <v>74</v>
      </c>
      <c r="S277" t="s">
        <v>74</v>
      </c>
      <c r="T277" t="s">
        <v>5731</v>
      </c>
      <c r="U277" t="s">
        <v>5732</v>
      </c>
      <c r="V277" t="s">
        <v>5733</v>
      </c>
      <c r="W277" t="s">
        <v>5734</v>
      </c>
      <c r="X277" t="s">
        <v>5735</v>
      </c>
      <c r="Y277" t="s">
        <v>5736</v>
      </c>
      <c r="Z277" t="s">
        <v>5737</v>
      </c>
      <c r="AA277" t="s">
        <v>5738</v>
      </c>
      <c r="AB277" t="s">
        <v>5739</v>
      </c>
      <c r="AC277" t="s">
        <v>5740</v>
      </c>
      <c r="AD277" t="s">
        <v>5741</v>
      </c>
      <c r="AE277" t="s">
        <v>5742</v>
      </c>
      <c r="AF277" t="s">
        <v>74</v>
      </c>
      <c r="AG277">
        <v>29</v>
      </c>
      <c r="AH277">
        <v>17</v>
      </c>
      <c r="AI277">
        <v>22</v>
      </c>
      <c r="AJ277">
        <v>7</v>
      </c>
      <c r="AK277">
        <v>53</v>
      </c>
      <c r="AL277" t="s">
        <v>1039</v>
      </c>
      <c r="AM277" t="s">
        <v>816</v>
      </c>
      <c r="AN277" t="s">
        <v>1040</v>
      </c>
      <c r="AO277" t="s">
        <v>5743</v>
      </c>
      <c r="AP277" t="s">
        <v>5744</v>
      </c>
      <c r="AQ277" t="s">
        <v>74</v>
      </c>
      <c r="AR277" t="s">
        <v>5745</v>
      </c>
      <c r="AS277" t="s">
        <v>5746</v>
      </c>
      <c r="AT277" t="s">
        <v>5327</v>
      </c>
      <c r="AU277">
        <v>2015</v>
      </c>
      <c r="AV277">
        <v>94</v>
      </c>
      <c r="AW277" t="s">
        <v>74</v>
      </c>
      <c r="AX277" t="s">
        <v>74</v>
      </c>
      <c r="AY277" t="s">
        <v>74</v>
      </c>
      <c r="AZ277" t="s">
        <v>74</v>
      </c>
      <c r="BA277" t="s">
        <v>74</v>
      </c>
      <c r="BB277">
        <v>629</v>
      </c>
      <c r="BC277">
        <v>636</v>
      </c>
      <c r="BD277" t="s">
        <v>74</v>
      </c>
      <c r="BE277" t="s">
        <v>5747</v>
      </c>
      <c r="BF277" t="str">
        <f>HYPERLINK("http://dx.doi.org/10.1016/j.fbp.2014.08.010","http://dx.doi.org/10.1016/j.fbp.2014.08.010")</f>
        <v>http://dx.doi.org/10.1016/j.fbp.2014.08.010</v>
      </c>
      <c r="BG277" t="s">
        <v>74</v>
      </c>
      <c r="BH277" t="s">
        <v>74</v>
      </c>
      <c r="BI277">
        <v>8</v>
      </c>
      <c r="BJ277" t="s">
        <v>5748</v>
      </c>
      <c r="BK277" t="s">
        <v>100</v>
      </c>
      <c r="BL277" t="s">
        <v>5749</v>
      </c>
      <c r="BM277" t="s">
        <v>5750</v>
      </c>
      <c r="BN277" t="s">
        <v>74</v>
      </c>
      <c r="BO277" t="s">
        <v>74</v>
      </c>
      <c r="BP277" t="s">
        <v>74</v>
      </c>
      <c r="BQ277" t="s">
        <v>74</v>
      </c>
      <c r="BR277" t="s">
        <v>104</v>
      </c>
      <c r="BS277" t="s">
        <v>5751</v>
      </c>
      <c r="BT277" t="str">
        <f>HYPERLINK("https%3A%2F%2Fwww.webofscience.com%2Fwos%2Fwoscc%2Ffull-record%2FWOS:000354140500068","View Full Record in Web of Science")</f>
        <v>View Full Record in Web of Science</v>
      </c>
    </row>
    <row r="278" spans="1:72" x14ac:dyDescent="0.15">
      <c r="A278" t="s">
        <v>72</v>
      </c>
      <c r="B278" t="s">
        <v>5752</v>
      </c>
      <c r="C278" t="s">
        <v>74</v>
      </c>
      <c r="D278" t="s">
        <v>74</v>
      </c>
      <c r="E278" t="s">
        <v>74</v>
      </c>
      <c r="F278" t="s">
        <v>5753</v>
      </c>
      <c r="G278" t="s">
        <v>74</v>
      </c>
      <c r="H278" t="s">
        <v>74</v>
      </c>
      <c r="I278" t="s">
        <v>5754</v>
      </c>
      <c r="J278" t="s">
        <v>5755</v>
      </c>
      <c r="K278" t="s">
        <v>74</v>
      </c>
      <c r="L278" t="s">
        <v>74</v>
      </c>
      <c r="M278" t="s">
        <v>78</v>
      </c>
      <c r="N278" t="s">
        <v>79</v>
      </c>
      <c r="O278" t="s">
        <v>74</v>
      </c>
      <c r="P278" t="s">
        <v>74</v>
      </c>
      <c r="Q278" t="s">
        <v>74</v>
      </c>
      <c r="R278" t="s">
        <v>74</v>
      </c>
      <c r="S278" t="s">
        <v>74</v>
      </c>
      <c r="T278" t="s">
        <v>74</v>
      </c>
      <c r="U278" t="s">
        <v>74</v>
      </c>
      <c r="V278" t="s">
        <v>5756</v>
      </c>
      <c r="W278" t="s">
        <v>5757</v>
      </c>
      <c r="X278" t="s">
        <v>5758</v>
      </c>
      <c r="Y278" t="s">
        <v>5759</v>
      </c>
      <c r="Z278" t="s">
        <v>5760</v>
      </c>
      <c r="AA278" t="s">
        <v>5761</v>
      </c>
      <c r="AB278" t="s">
        <v>5762</v>
      </c>
      <c r="AC278" t="s">
        <v>5763</v>
      </c>
      <c r="AD278" t="s">
        <v>5764</v>
      </c>
      <c r="AE278" t="s">
        <v>5765</v>
      </c>
      <c r="AF278" t="s">
        <v>74</v>
      </c>
      <c r="AG278">
        <v>7</v>
      </c>
      <c r="AH278">
        <v>3</v>
      </c>
      <c r="AI278">
        <v>5</v>
      </c>
      <c r="AJ278">
        <v>0</v>
      </c>
      <c r="AK278">
        <v>6</v>
      </c>
      <c r="AL278" t="s">
        <v>5766</v>
      </c>
      <c r="AM278" t="s">
        <v>5767</v>
      </c>
      <c r="AN278" t="s">
        <v>5768</v>
      </c>
      <c r="AO278" t="s">
        <v>5769</v>
      </c>
      <c r="AP278" t="s">
        <v>5770</v>
      </c>
      <c r="AQ278" t="s">
        <v>74</v>
      </c>
      <c r="AR278" t="s">
        <v>5771</v>
      </c>
      <c r="AS278" t="s">
        <v>5772</v>
      </c>
      <c r="AT278" t="s">
        <v>5327</v>
      </c>
      <c r="AU278">
        <v>2015</v>
      </c>
      <c r="AV278">
        <v>137</v>
      </c>
      <c r="AW278">
        <v>4</v>
      </c>
      <c r="AX278" t="s">
        <v>74</v>
      </c>
      <c r="AY278" t="s">
        <v>74</v>
      </c>
      <c r="AZ278" t="s">
        <v>74</v>
      </c>
      <c r="BA278" t="s">
        <v>74</v>
      </c>
      <c r="BB278" t="s">
        <v>5773</v>
      </c>
      <c r="BC278" t="s">
        <v>5774</v>
      </c>
      <c r="BD278" t="s">
        <v>74</v>
      </c>
      <c r="BE278" t="s">
        <v>5775</v>
      </c>
      <c r="BF278" t="str">
        <f>HYPERLINK("http://dx.doi.org/10.1121/1.4916794","http://dx.doi.org/10.1121/1.4916794")</f>
        <v>http://dx.doi.org/10.1121/1.4916794</v>
      </c>
      <c r="BG278" t="s">
        <v>74</v>
      </c>
      <c r="BH278" t="s">
        <v>74</v>
      </c>
      <c r="BI278">
        <v>6</v>
      </c>
      <c r="BJ278" t="s">
        <v>5776</v>
      </c>
      <c r="BK278" t="s">
        <v>100</v>
      </c>
      <c r="BL278" t="s">
        <v>5776</v>
      </c>
      <c r="BM278" t="s">
        <v>5777</v>
      </c>
      <c r="BN278">
        <v>25920883</v>
      </c>
      <c r="BO278" t="s">
        <v>5778</v>
      </c>
      <c r="BP278" t="s">
        <v>74</v>
      </c>
      <c r="BQ278" t="s">
        <v>74</v>
      </c>
      <c r="BR278" t="s">
        <v>104</v>
      </c>
      <c r="BS278" t="s">
        <v>5779</v>
      </c>
      <c r="BT278" t="str">
        <f>HYPERLINK("https%3A%2F%2Fwww.webofscience.com%2Fwos%2Fwoscc%2Ffull-record%2FWOS:000353653500013","View Full Record in Web of Science")</f>
        <v>View Full Record in Web of Science</v>
      </c>
    </row>
    <row r="279" spans="1:72" x14ac:dyDescent="0.15">
      <c r="A279" t="s">
        <v>72</v>
      </c>
      <c r="B279" t="s">
        <v>5780</v>
      </c>
      <c r="C279" t="s">
        <v>74</v>
      </c>
      <c r="D279" t="s">
        <v>74</v>
      </c>
      <c r="E279" t="s">
        <v>74</v>
      </c>
      <c r="F279" t="s">
        <v>5781</v>
      </c>
      <c r="G279" t="s">
        <v>74</v>
      </c>
      <c r="H279" t="s">
        <v>74</v>
      </c>
      <c r="I279" t="s">
        <v>5782</v>
      </c>
      <c r="J279" t="s">
        <v>5783</v>
      </c>
      <c r="K279" t="s">
        <v>74</v>
      </c>
      <c r="L279" t="s">
        <v>74</v>
      </c>
      <c r="M279" t="s">
        <v>78</v>
      </c>
      <c r="N279" t="s">
        <v>79</v>
      </c>
      <c r="O279" t="s">
        <v>74</v>
      </c>
      <c r="P279" t="s">
        <v>74</v>
      </c>
      <c r="Q279" t="s">
        <v>74</v>
      </c>
      <c r="R279" t="s">
        <v>74</v>
      </c>
      <c r="S279" t="s">
        <v>74</v>
      </c>
      <c r="T279" t="s">
        <v>5784</v>
      </c>
      <c r="U279" t="s">
        <v>5785</v>
      </c>
      <c r="V279" t="s">
        <v>5786</v>
      </c>
      <c r="W279" t="s">
        <v>5787</v>
      </c>
      <c r="X279" t="s">
        <v>5788</v>
      </c>
      <c r="Y279" t="s">
        <v>5789</v>
      </c>
      <c r="Z279" t="s">
        <v>5790</v>
      </c>
      <c r="AA279" t="s">
        <v>5791</v>
      </c>
      <c r="AB279" t="s">
        <v>5792</v>
      </c>
      <c r="AC279" t="s">
        <v>74</v>
      </c>
      <c r="AD279" t="s">
        <v>74</v>
      </c>
      <c r="AE279" t="s">
        <v>74</v>
      </c>
      <c r="AF279" t="s">
        <v>74</v>
      </c>
      <c r="AG279">
        <v>94</v>
      </c>
      <c r="AH279">
        <v>86</v>
      </c>
      <c r="AI279">
        <v>91</v>
      </c>
      <c r="AJ279">
        <v>0</v>
      </c>
      <c r="AK279">
        <v>40</v>
      </c>
      <c r="AL279" t="s">
        <v>266</v>
      </c>
      <c r="AM279" t="s">
        <v>267</v>
      </c>
      <c r="AN279" t="s">
        <v>268</v>
      </c>
      <c r="AO279" t="s">
        <v>5793</v>
      </c>
      <c r="AP279" t="s">
        <v>5794</v>
      </c>
      <c r="AQ279" t="s">
        <v>74</v>
      </c>
      <c r="AR279" t="s">
        <v>5783</v>
      </c>
      <c r="AS279" t="s">
        <v>5795</v>
      </c>
      <c r="AT279" t="s">
        <v>5327</v>
      </c>
      <c r="AU279">
        <v>2015</v>
      </c>
      <c r="AV279">
        <v>34</v>
      </c>
      <c r="AW279">
        <v>4</v>
      </c>
      <c r="AX279" t="s">
        <v>74</v>
      </c>
      <c r="AY279" t="s">
        <v>74</v>
      </c>
      <c r="AZ279" t="s">
        <v>74</v>
      </c>
      <c r="BA279" t="s">
        <v>74</v>
      </c>
      <c r="BB279">
        <v>753</v>
      </c>
      <c r="BC279">
        <v>783</v>
      </c>
      <c r="BD279" t="s">
        <v>74</v>
      </c>
      <c r="BE279" t="s">
        <v>5796</v>
      </c>
      <c r="BF279" t="str">
        <f>HYPERLINK("http://dx.doi.org/10.1002/2015TC003850","http://dx.doi.org/10.1002/2015TC003850")</f>
        <v>http://dx.doi.org/10.1002/2015TC003850</v>
      </c>
      <c r="BG279" t="s">
        <v>74</v>
      </c>
      <c r="BH279" t="s">
        <v>74</v>
      </c>
      <c r="BI279">
        <v>31</v>
      </c>
      <c r="BJ279" t="s">
        <v>863</v>
      </c>
      <c r="BK279" t="s">
        <v>100</v>
      </c>
      <c r="BL279" t="s">
        <v>863</v>
      </c>
      <c r="BM279" t="s">
        <v>5797</v>
      </c>
      <c r="BN279" t="s">
        <v>74</v>
      </c>
      <c r="BO279" t="s">
        <v>248</v>
      </c>
      <c r="BP279" t="s">
        <v>74</v>
      </c>
      <c r="BQ279" t="s">
        <v>74</v>
      </c>
      <c r="BR279" t="s">
        <v>104</v>
      </c>
      <c r="BS279" t="s">
        <v>5798</v>
      </c>
      <c r="BT279" t="str">
        <f>HYPERLINK("https%3A%2F%2Fwww.webofscience.com%2Fwos%2Fwoscc%2Ffull-record%2FWOS:000354317400008","View Full Record in Web of Science")</f>
        <v>View Full Record in Web of Science</v>
      </c>
    </row>
    <row r="280" spans="1:72" x14ac:dyDescent="0.15">
      <c r="A280" t="s">
        <v>72</v>
      </c>
      <c r="B280" t="s">
        <v>5799</v>
      </c>
      <c r="C280" t="s">
        <v>74</v>
      </c>
      <c r="D280" t="s">
        <v>74</v>
      </c>
      <c r="E280" t="s">
        <v>74</v>
      </c>
      <c r="F280" t="s">
        <v>5800</v>
      </c>
      <c r="G280" t="s">
        <v>74</v>
      </c>
      <c r="H280" t="s">
        <v>74</v>
      </c>
      <c r="I280" t="s">
        <v>5801</v>
      </c>
      <c r="J280" t="s">
        <v>5802</v>
      </c>
      <c r="K280" t="s">
        <v>74</v>
      </c>
      <c r="L280" t="s">
        <v>74</v>
      </c>
      <c r="M280" t="s">
        <v>78</v>
      </c>
      <c r="N280" t="s">
        <v>79</v>
      </c>
      <c r="O280" t="s">
        <v>74</v>
      </c>
      <c r="P280" t="s">
        <v>74</v>
      </c>
      <c r="Q280" t="s">
        <v>74</v>
      </c>
      <c r="R280" t="s">
        <v>74</v>
      </c>
      <c r="S280" t="s">
        <v>74</v>
      </c>
      <c r="T280" t="s">
        <v>5803</v>
      </c>
      <c r="U280" t="s">
        <v>5804</v>
      </c>
      <c r="V280" t="s">
        <v>5805</v>
      </c>
      <c r="W280" t="s">
        <v>5806</v>
      </c>
      <c r="X280" t="s">
        <v>5807</v>
      </c>
      <c r="Y280" t="s">
        <v>5808</v>
      </c>
      <c r="Z280" t="s">
        <v>5809</v>
      </c>
      <c r="AA280" t="s">
        <v>5810</v>
      </c>
      <c r="AB280" t="s">
        <v>5811</v>
      </c>
      <c r="AC280" t="s">
        <v>5812</v>
      </c>
      <c r="AD280" t="s">
        <v>5813</v>
      </c>
      <c r="AE280" t="s">
        <v>5814</v>
      </c>
      <c r="AF280" t="s">
        <v>74</v>
      </c>
      <c r="AG280">
        <v>29</v>
      </c>
      <c r="AH280">
        <v>9</v>
      </c>
      <c r="AI280">
        <v>10</v>
      </c>
      <c r="AJ280">
        <v>0</v>
      </c>
      <c r="AK280">
        <v>20</v>
      </c>
      <c r="AL280" t="s">
        <v>990</v>
      </c>
      <c r="AM280" t="s">
        <v>991</v>
      </c>
      <c r="AN280" t="s">
        <v>992</v>
      </c>
      <c r="AO280" t="s">
        <v>5815</v>
      </c>
      <c r="AP280" t="s">
        <v>5816</v>
      </c>
      <c r="AQ280" t="s">
        <v>74</v>
      </c>
      <c r="AR280" t="s">
        <v>5817</v>
      </c>
      <c r="AS280" t="s">
        <v>5818</v>
      </c>
      <c r="AT280" t="s">
        <v>5327</v>
      </c>
      <c r="AU280">
        <v>2015</v>
      </c>
      <c r="AV280">
        <v>36</v>
      </c>
      <c r="AW280">
        <v>4</v>
      </c>
      <c r="AX280" t="s">
        <v>74</v>
      </c>
      <c r="AY280" t="s">
        <v>74</v>
      </c>
      <c r="AZ280" t="s">
        <v>74</v>
      </c>
      <c r="BA280" t="s">
        <v>74</v>
      </c>
      <c r="BB280">
        <v>1069</v>
      </c>
      <c r="BC280">
        <v>1081</v>
      </c>
      <c r="BD280" t="s">
        <v>74</v>
      </c>
      <c r="BE280" t="s">
        <v>5819</v>
      </c>
      <c r="BF280" t="str">
        <f>HYPERLINK("http://dx.doi.org/10.1002/bkcs.10198","http://dx.doi.org/10.1002/bkcs.10198")</f>
        <v>http://dx.doi.org/10.1002/bkcs.10198</v>
      </c>
      <c r="BG280" t="s">
        <v>74</v>
      </c>
      <c r="BH280" t="s">
        <v>74</v>
      </c>
      <c r="BI280">
        <v>13</v>
      </c>
      <c r="BJ280" t="s">
        <v>999</v>
      </c>
      <c r="BK280" t="s">
        <v>100</v>
      </c>
      <c r="BL280" t="s">
        <v>655</v>
      </c>
      <c r="BM280" t="s">
        <v>5820</v>
      </c>
      <c r="BN280" t="s">
        <v>74</v>
      </c>
      <c r="BO280" t="s">
        <v>74</v>
      </c>
      <c r="BP280" t="s">
        <v>74</v>
      </c>
      <c r="BQ280" t="s">
        <v>74</v>
      </c>
      <c r="BR280" t="s">
        <v>104</v>
      </c>
      <c r="BS280" t="s">
        <v>5821</v>
      </c>
      <c r="BT280" t="str">
        <f>HYPERLINK("https%3A%2F%2Fwww.webofscience.com%2Fwos%2Fwoscc%2Ffull-record%2FWOS:000353577900003","View Full Record in Web of Science")</f>
        <v>View Full Record in Web of Science</v>
      </c>
    </row>
    <row r="281" spans="1:72" x14ac:dyDescent="0.15">
      <c r="A281" t="s">
        <v>72</v>
      </c>
      <c r="B281" t="s">
        <v>5822</v>
      </c>
      <c r="C281" t="s">
        <v>74</v>
      </c>
      <c r="D281" t="s">
        <v>74</v>
      </c>
      <c r="E281" t="s">
        <v>74</v>
      </c>
      <c r="F281" t="s">
        <v>5823</v>
      </c>
      <c r="G281" t="s">
        <v>74</v>
      </c>
      <c r="H281" t="s">
        <v>74</v>
      </c>
      <c r="I281" t="s">
        <v>5824</v>
      </c>
      <c r="J281" t="s">
        <v>5825</v>
      </c>
      <c r="K281" t="s">
        <v>74</v>
      </c>
      <c r="L281" t="s">
        <v>74</v>
      </c>
      <c r="M281" t="s">
        <v>78</v>
      </c>
      <c r="N281" t="s">
        <v>79</v>
      </c>
      <c r="O281" t="s">
        <v>74</v>
      </c>
      <c r="P281" t="s">
        <v>74</v>
      </c>
      <c r="Q281" t="s">
        <v>74</v>
      </c>
      <c r="R281" t="s">
        <v>74</v>
      </c>
      <c r="S281" t="s">
        <v>74</v>
      </c>
      <c r="T281" t="s">
        <v>74</v>
      </c>
      <c r="U281" t="s">
        <v>5826</v>
      </c>
      <c r="V281" t="s">
        <v>5827</v>
      </c>
      <c r="W281" t="s">
        <v>5828</v>
      </c>
      <c r="X281" t="s">
        <v>5829</v>
      </c>
      <c r="Y281" t="s">
        <v>5830</v>
      </c>
      <c r="Z281" t="s">
        <v>5831</v>
      </c>
      <c r="AA281" t="s">
        <v>5832</v>
      </c>
      <c r="AB281" t="s">
        <v>5833</v>
      </c>
      <c r="AC281" t="s">
        <v>5834</v>
      </c>
      <c r="AD281" t="s">
        <v>5834</v>
      </c>
      <c r="AE281" t="s">
        <v>5835</v>
      </c>
      <c r="AF281" t="s">
        <v>74</v>
      </c>
      <c r="AG281">
        <v>42</v>
      </c>
      <c r="AH281">
        <v>6</v>
      </c>
      <c r="AI281">
        <v>12</v>
      </c>
      <c r="AJ281">
        <v>0</v>
      </c>
      <c r="AK281">
        <v>18</v>
      </c>
      <c r="AL281" t="s">
        <v>5836</v>
      </c>
      <c r="AM281" t="s">
        <v>5837</v>
      </c>
      <c r="AN281" t="s">
        <v>5838</v>
      </c>
      <c r="AO281" t="s">
        <v>5839</v>
      </c>
      <c r="AP281" t="s">
        <v>5840</v>
      </c>
      <c r="AQ281" t="s">
        <v>74</v>
      </c>
      <c r="AR281" t="s">
        <v>5841</v>
      </c>
      <c r="AS281" t="s">
        <v>5842</v>
      </c>
      <c r="AT281" t="s">
        <v>5327</v>
      </c>
      <c r="AU281">
        <v>2015</v>
      </c>
      <c r="AV281">
        <v>113</v>
      </c>
      <c r="AW281">
        <v>2</v>
      </c>
      <c r="AX281" t="s">
        <v>74</v>
      </c>
      <c r="AY281" t="s">
        <v>74</v>
      </c>
      <c r="AZ281" t="s">
        <v>74</v>
      </c>
      <c r="BA281" t="s">
        <v>74</v>
      </c>
      <c r="BB281">
        <v>202</v>
      </c>
      <c r="BC281">
        <v>212</v>
      </c>
      <c r="BD281" t="s">
        <v>74</v>
      </c>
      <c r="BE281" t="s">
        <v>5843</v>
      </c>
      <c r="BF281" t="str">
        <f>HYPERLINK("http://dx.doi.org/10.7755/FB.113.2.8","http://dx.doi.org/10.7755/FB.113.2.8")</f>
        <v>http://dx.doi.org/10.7755/FB.113.2.8</v>
      </c>
      <c r="BG281" t="s">
        <v>74</v>
      </c>
      <c r="BH281" t="s">
        <v>74</v>
      </c>
      <c r="BI281">
        <v>11</v>
      </c>
      <c r="BJ281" t="s">
        <v>2622</v>
      </c>
      <c r="BK281" t="s">
        <v>100</v>
      </c>
      <c r="BL281" t="s">
        <v>2622</v>
      </c>
      <c r="BM281" t="s">
        <v>5844</v>
      </c>
      <c r="BN281" t="s">
        <v>74</v>
      </c>
      <c r="BO281" t="s">
        <v>4689</v>
      </c>
      <c r="BP281" t="s">
        <v>74</v>
      </c>
      <c r="BQ281" t="s">
        <v>74</v>
      </c>
      <c r="BR281" t="s">
        <v>104</v>
      </c>
      <c r="BS281" t="s">
        <v>5845</v>
      </c>
      <c r="BT281" t="str">
        <f>HYPERLINK("https%3A%2F%2Fwww.webofscience.com%2Fwos%2Fwoscc%2Ffull-record%2FWOS:000353845500008","View Full Record in Web of Science")</f>
        <v>View Full Record in Web of Science</v>
      </c>
    </row>
    <row r="282" spans="1:72" x14ac:dyDescent="0.15">
      <c r="A282" t="s">
        <v>72</v>
      </c>
      <c r="B282" t="s">
        <v>5846</v>
      </c>
      <c r="C282" t="s">
        <v>74</v>
      </c>
      <c r="D282" t="s">
        <v>74</v>
      </c>
      <c r="E282" t="s">
        <v>74</v>
      </c>
      <c r="F282" t="s">
        <v>5847</v>
      </c>
      <c r="G282" t="s">
        <v>74</v>
      </c>
      <c r="H282" t="s">
        <v>74</v>
      </c>
      <c r="I282" t="s">
        <v>5848</v>
      </c>
      <c r="J282" t="s">
        <v>5849</v>
      </c>
      <c r="K282" t="s">
        <v>74</v>
      </c>
      <c r="L282" t="s">
        <v>74</v>
      </c>
      <c r="M282" t="s">
        <v>78</v>
      </c>
      <c r="N282" t="s">
        <v>79</v>
      </c>
      <c r="O282" t="s">
        <v>74</v>
      </c>
      <c r="P282" t="s">
        <v>74</v>
      </c>
      <c r="Q282" t="s">
        <v>74</v>
      </c>
      <c r="R282" t="s">
        <v>74</v>
      </c>
      <c r="S282" t="s">
        <v>74</v>
      </c>
      <c r="T282" t="s">
        <v>5850</v>
      </c>
      <c r="U282" t="s">
        <v>5851</v>
      </c>
      <c r="V282" t="s">
        <v>5852</v>
      </c>
      <c r="W282" t="s">
        <v>5853</v>
      </c>
      <c r="X282" t="s">
        <v>5854</v>
      </c>
      <c r="Y282" t="s">
        <v>5855</v>
      </c>
      <c r="Z282" t="s">
        <v>5856</v>
      </c>
      <c r="AA282" t="s">
        <v>5857</v>
      </c>
      <c r="AB282" t="s">
        <v>5858</v>
      </c>
      <c r="AC282" t="s">
        <v>5859</v>
      </c>
      <c r="AD282" t="s">
        <v>5860</v>
      </c>
      <c r="AE282" t="s">
        <v>5861</v>
      </c>
      <c r="AF282" t="s">
        <v>74</v>
      </c>
      <c r="AG282">
        <v>39</v>
      </c>
      <c r="AH282">
        <v>35</v>
      </c>
      <c r="AI282">
        <v>38</v>
      </c>
      <c r="AJ282">
        <v>0</v>
      </c>
      <c r="AK282">
        <v>20</v>
      </c>
      <c r="AL282" t="s">
        <v>239</v>
      </c>
      <c r="AM282" t="s">
        <v>240</v>
      </c>
      <c r="AN282" t="s">
        <v>241</v>
      </c>
      <c r="AO282" t="s">
        <v>5862</v>
      </c>
      <c r="AP282" t="s">
        <v>5863</v>
      </c>
      <c r="AQ282" t="s">
        <v>74</v>
      </c>
      <c r="AR282" t="s">
        <v>5864</v>
      </c>
      <c r="AS282" t="s">
        <v>5865</v>
      </c>
      <c r="AT282" t="s">
        <v>5866</v>
      </c>
      <c r="AU282">
        <v>2015</v>
      </c>
      <c r="AV282">
        <v>214</v>
      </c>
      <c r="AW282" t="s">
        <v>74</v>
      </c>
      <c r="AX282" t="s">
        <v>74</v>
      </c>
      <c r="AY282" t="s">
        <v>74</v>
      </c>
      <c r="AZ282" t="s">
        <v>74</v>
      </c>
      <c r="BA282" t="s">
        <v>74</v>
      </c>
      <c r="BB282">
        <v>126</v>
      </c>
      <c r="BC282">
        <v>133</v>
      </c>
      <c r="BD282" t="s">
        <v>74</v>
      </c>
      <c r="BE282" t="s">
        <v>5867</v>
      </c>
      <c r="BF282" t="str">
        <f>HYPERLINK("http://dx.doi.org/10.1016/j.ygcen.2014.06.027","http://dx.doi.org/10.1016/j.ygcen.2014.06.027")</f>
        <v>http://dx.doi.org/10.1016/j.ygcen.2014.06.027</v>
      </c>
      <c r="BG282" t="s">
        <v>74</v>
      </c>
      <c r="BH282" t="s">
        <v>74</v>
      </c>
      <c r="BI282">
        <v>8</v>
      </c>
      <c r="BJ282" t="s">
        <v>5868</v>
      </c>
      <c r="BK282" t="s">
        <v>100</v>
      </c>
      <c r="BL282" t="s">
        <v>5868</v>
      </c>
      <c r="BM282" t="s">
        <v>5869</v>
      </c>
      <c r="BN282">
        <v>24997416</v>
      </c>
      <c r="BO282" t="s">
        <v>74</v>
      </c>
      <c r="BP282" t="s">
        <v>74</v>
      </c>
      <c r="BQ282" t="s">
        <v>74</v>
      </c>
      <c r="BR282" t="s">
        <v>104</v>
      </c>
      <c r="BS282" t="s">
        <v>5870</v>
      </c>
      <c r="BT282" t="str">
        <f>HYPERLINK("https%3A%2F%2Fwww.webofscience.com%2Fwos%2Fwoscc%2Ffull-record%2FWOS:000353844300016","View Full Record in Web of Science")</f>
        <v>View Full Record in Web of Science</v>
      </c>
    </row>
    <row r="283" spans="1:72" x14ac:dyDescent="0.15">
      <c r="A283" t="s">
        <v>72</v>
      </c>
      <c r="B283" t="s">
        <v>5871</v>
      </c>
      <c r="C283" t="s">
        <v>74</v>
      </c>
      <c r="D283" t="s">
        <v>74</v>
      </c>
      <c r="E283" t="s">
        <v>74</v>
      </c>
      <c r="F283" t="s">
        <v>5872</v>
      </c>
      <c r="G283" t="s">
        <v>74</v>
      </c>
      <c r="H283" t="s">
        <v>74</v>
      </c>
      <c r="I283" t="s">
        <v>5873</v>
      </c>
      <c r="J283" t="s">
        <v>5874</v>
      </c>
      <c r="K283" t="s">
        <v>74</v>
      </c>
      <c r="L283" t="s">
        <v>74</v>
      </c>
      <c r="M283" t="s">
        <v>78</v>
      </c>
      <c r="N283" t="s">
        <v>79</v>
      </c>
      <c r="O283" t="s">
        <v>74</v>
      </c>
      <c r="P283" t="s">
        <v>74</v>
      </c>
      <c r="Q283" t="s">
        <v>74</v>
      </c>
      <c r="R283" t="s">
        <v>74</v>
      </c>
      <c r="S283" t="s">
        <v>74</v>
      </c>
      <c r="T283" t="s">
        <v>74</v>
      </c>
      <c r="U283" t="s">
        <v>5875</v>
      </c>
      <c r="V283" t="s">
        <v>5876</v>
      </c>
      <c r="W283" t="s">
        <v>5877</v>
      </c>
      <c r="X283" t="s">
        <v>5878</v>
      </c>
      <c r="Y283" t="s">
        <v>5879</v>
      </c>
      <c r="Z283" t="s">
        <v>5880</v>
      </c>
      <c r="AA283" t="s">
        <v>5881</v>
      </c>
      <c r="AB283" t="s">
        <v>5882</v>
      </c>
      <c r="AC283" t="s">
        <v>5883</v>
      </c>
      <c r="AD283" t="s">
        <v>5884</v>
      </c>
      <c r="AE283" t="s">
        <v>5885</v>
      </c>
      <c r="AF283" t="s">
        <v>74</v>
      </c>
      <c r="AG283">
        <v>44</v>
      </c>
      <c r="AH283">
        <v>38</v>
      </c>
      <c r="AI283">
        <v>39</v>
      </c>
      <c r="AJ283">
        <v>0</v>
      </c>
      <c r="AK283">
        <v>19</v>
      </c>
      <c r="AL283" t="s">
        <v>3139</v>
      </c>
      <c r="AM283" t="s">
        <v>378</v>
      </c>
      <c r="AN283" t="s">
        <v>5886</v>
      </c>
      <c r="AO283" t="s">
        <v>5887</v>
      </c>
      <c r="AP283" t="s">
        <v>5888</v>
      </c>
      <c r="AQ283" t="s">
        <v>74</v>
      </c>
      <c r="AR283" t="s">
        <v>5889</v>
      </c>
      <c r="AS283" t="s">
        <v>5890</v>
      </c>
      <c r="AT283" t="s">
        <v>5327</v>
      </c>
      <c r="AU283">
        <v>2015</v>
      </c>
      <c r="AV283">
        <v>96</v>
      </c>
      <c r="AW283" t="s">
        <v>74</v>
      </c>
      <c r="AX283">
        <v>4</v>
      </c>
      <c r="AY283" t="s">
        <v>74</v>
      </c>
      <c r="AZ283" t="s">
        <v>74</v>
      </c>
      <c r="BA283" t="s">
        <v>74</v>
      </c>
      <c r="BB283">
        <v>851</v>
      </c>
      <c r="BC283">
        <v>857</v>
      </c>
      <c r="BD283" t="s">
        <v>74</v>
      </c>
      <c r="BE283" t="s">
        <v>5891</v>
      </c>
      <c r="BF283" t="str">
        <f>HYPERLINK("http://dx.doi.org/10.1099/vir.0.000038","http://dx.doi.org/10.1099/vir.0.000038")</f>
        <v>http://dx.doi.org/10.1099/vir.0.000038</v>
      </c>
      <c r="BG283" t="s">
        <v>74</v>
      </c>
      <c r="BH283" t="s">
        <v>74</v>
      </c>
      <c r="BI283">
        <v>7</v>
      </c>
      <c r="BJ283" t="s">
        <v>5892</v>
      </c>
      <c r="BK283" t="s">
        <v>100</v>
      </c>
      <c r="BL283" t="s">
        <v>5892</v>
      </c>
      <c r="BM283" t="s">
        <v>5893</v>
      </c>
      <c r="BN283">
        <v>25537375</v>
      </c>
      <c r="BO283" t="s">
        <v>156</v>
      </c>
      <c r="BP283" t="s">
        <v>74</v>
      </c>
      <c r="BQ283" t="s">
        <v>74</v>
      </c>
      <c r="BR283" t="s">
        <v>104</v>
      </c>
      <c r="BS283" t="s">
        <v>5894</v>
      </c>
      <c r="BT283" t="str">
        <f>HYPERLINK("https%3A%2F%2Fwww.webofscience.com%2Fwos%2Fwoscc%2Ffull-record%2FWOS:000353611200014","View Full Record in Web of Science")</f>
        <v>View Full Record in Web of Science</v>
      </c>
    </row>
    <row r="284" spans="1:72" x14ac:dyDescent="0.15">
      <c r="A284" t="s">
        <v>72</v>
      </c>
      <c r="B284" t="s">
        <v>5895</v>
      </c>
      <c r="C284" t="s">
        <v>74</v>
      </c>
      <c r="D284" t="s">
        <v>74</v>
      </c>
      <c r="E284" t="s">
        <v>74</v>
      </c>
      <c r="F284" t="s">
        <v>5896</v>
      </c>
      <c r="G284" t="s">
        <v>74</v>
      </c>
      <c r="H284" t="s">
        <v>74</v>
      </c>
      <c r="I284" t="s">
        <v>5897</v>
      </c>
      <c r="J284" t="s">
        <v>5898</v>
      </c>
      <c r="K284" t="s">
        <v>74</v>
      </c>
      <c r="L284" t="s">
        <v>74</v>
      </c>
      <c r="M284" t="s">
        <v>78</v>
      </c>
      <c r="N284" t="s">
        <v>79</v>
      </c>
      <c r="O284" t="s">
        <v>74</v>
      </c>
      <c r="P284" t="s">
        <v>74</v>
      </c>
      <c r="Q284" t="s">
        <v>74</v>
      </c>
      <c r="R284" t="s">
        <v>74</v>
      </c>
      <c r="S284" t="s">
        <v>74</v>
      </c>
      <c r="T284" t="s">
        <v>74</v>
      </c>
      <c r="U284" t="s">
        <v>5899</v>
      </c>
      <c r="V284" t="s">
        <v>5900</v>
      </c>
      <c r="W284" t="s">
        <v>5901</v>
      </c>
      <c r="X284" t="s">
        <v>5902</v>
      </c>
      <c r="Y284" t="s">
        <v>5903</v>
      </c>
      <c r="Z284" t="s">
        <v>74</v>
      </c>
      <c r="AA284" t="s">
        <v>5904</v>
      </c>
      <c r="AB284" t="s">
        <v>5905</v>
      </c>
      <c r="AC284" t="s">
        <v>5906</v>
      </c>
      <c r="AD284" t="s">
        <v>5907</v>
      </c>
      <c r="AE284" t="s">
        <v>5908</v>
      </c>
      <c r="AF284" t="s">
        <v>74</v>
      </c>
      <c r="AG284">
        <v>17</v>
      </c>
      <c r="AH284">
        <v>50</v>
      </c>
      <c r="AI284">
        <v>53</v>
      </c>
      <c r="AJ284">
        <v>2</v>
      </c>
      <c r="AK284">
        <v>12</v>
      </c>
      <c r="AL284" t="s">
        <v>5909</v>
      </c>
      <c r="AM284" t="s">
        <v>5767</v>
      </c>
      <c r="AN284" t="s">
        <v>5910</v>
      </c>
      <c r="AO284" t="s">
        <v>5911</v>
      </c>
      <c r="AP284" t="s">
        <v>5912</v>
      </c>
      <c r="AQ284" t="s">
        <v>74</v>
      </c>
      <c r="AR284" t="s">
        <v>5913</v>
      </c>
      <c r="AS284" t="s">
        <v>5914</v>
      </c>
      <c r="AT284" t="s">
        <v>5327</v>
      </c>
      <c r="AU284">
        <v>2015</v>
      </c>
      <c r="AV284">
        <v>27</v>
      </c>
      <c r="AW284">
        <v>4</v>
      </c>
      <c r="AX284" t="s">
        <v>74</v>
      </c>
      <c r="AY284" t="s">
        <v>74</v>
      </c>
      <c r="AZ284" t="s">
        <v>74</v>
      </c>
      <c r="BA284" t="s">
        <v>74</v>
      </c>
      <c r="BB284" t="s">
        <v>74</v>
      </c>
      <c r="BC284" t="s">
        <v>74</v>
      </c>
      <c r="BD284">
        <v>41704</v>
      </c>
      <c r="BE284" t="s">
        <v>5915</v>
      </c>
      <c r="BF284" t="str">
        <f>HYPERLINK("http://dx.doi.org/10.1063/1.4916573","http://dx.doi.org/10.1063/1.4916573")</f>
        <v>http://dx.doi.org/10.1063/1.4916573</v>
      </c>
      <c r="BG284" t="s">
        <v>74</v>
      </c>
      <c r="BH284" t="s">
        <v>74</v>
      </c>
      <c r="BI284">
        <v>7</v>
      </c>
      <c r="BJ284" t="s">
        <v>5916</v>
      </c>
      <c r="BK284" t="s">
        <v>100</v>
      </c>
      <c r="BL284" t="s">
        <v>5917</v>
      </c>
      <c r="BM284" t="s">
        <v>5918</v>
      </c>
      <c r="BN284" t="s">
        <v>74</v>
      </c>
      <c r="BO284" t="s">
        <v>559</v>
      </c>
      <c r="BP284" t="s">
        <v>74</v>
      </c>
      <c r="BQ284" t="s">
        <v>74</v>
      </c>
      <c r="BR284" t="s">
        <v>104</v>
      </c>
      <c r="BS284" t="s">
        <v>5919</v>
      </c>
      <c r="BT284" t="str">
        <f>HYPERLINK("https%3A%2F%2Fwww.webofscience.com%2Fwos%2Fwoscc%2Ffull-record%2FWOS:000353835700004","View Full Record in Web of Science")</f>
        <v>View Full Record in Web of Science</v>
      </c>
    </row>
    <row r="285" spans="1:72" x14ac:dyDescent="0.15">
      <c r="A285" t="s">
        <v>72</v>
      </c>
      <c r="B285" t="s">
        <v>5920</v>
      </c>
      <c r="C285" t="s">
        <v>74</v>
      </c>
      <c r="D285" t="s">
        <v>74</v>
      </c>
      <c r="E285" t="s">
        <v>74</v>
      </c>
      <c r="F285" t="s">
        <v>5921</v>
      </c>
      <c r="G285" t="s">
        <v>74</v>
      </c>
      <c r="H285" t="s">
        <v>74</v>
      </c>
      <c r="I285" t="s">
        <v>5922</v>
      </c>
      <c r="J285" t="s">
        <v>5923</v>
      </c>
      <c r="K285" t="s">
        <v>74</v>
      </c>
      <c r="L285" t="s">
        <v>74</v>
      </c>
      <c r="M285" t="s">
        <v>78</v>
      </c>
      <c r="N285" t="s">
        <v>5924</v>
      </c>
      <c r="O285" t="s">
        <v>74</v>
      </c>
      <c r="P285" t="s">
        <v>74</v>
      </c>
      <c r="Q285" t="s">
        <v>74</v>
      </c>
      <c r="R285" t="s">
        <v>74</v>
      </c>
      <c r="S285" t="s">
        <v>74</v>
      </c>
      <c r="T285" t="s">
        <v>74</v>
      </c>
      <c r="U285" t="s">
        <v>74</v>
      </c>
      <c r="V285" t="s">
        <v>74</v>
      </c>
      <c r="W285" t="s">
        <v>74</v>
      </c>
      <c r="X285" t="s">
        <v>74</v>
      </c>
      <c r="Y285" t="s">
        <v>5925</v>
      </c>
      <c r="Z285" t="s">
        <v>74</v>
      </c>
      <c r="AA285" t="s">
        <v>74</v>
      </c>
      <c r="AB285" t="s">
        <v>74</v>
      </c>
      <c r="AC285" t="s">
        <v>74</v>
      </c>
      <c r="AD285" t="s">
        <v>74</v>
      </c>
      <c r="AE285" t="s">
        <v>74</v>
      </c>
      <c r="AF285" t="s">
        <v>74</v>
      </c>
      <c r="AG285">
        <v>4</v>
      </c>
      <c r="AH285">
        <v>0</v>
      </c>
      <c r="AI285">
        <v>0</v>
      </c>
      <c r="AJ285">
        <v>0</v>
      </c>
      <c r="AK285">
        <v>2</v>
      </c>
      <c r="AL285" t="s">
        <v>2167</v>
      </c>
      <c r="AM285" t="s">
        <v>121</v>
      </c>
      <c r="AN285" t="s">
        <v>5926</v>
      </c>
      <c r="AO285" t="s">
        <v>5927</v>
      </c>
      <c r="AP285" t="s">
        <v>5928</v>
      </c>
      <c r="AQ285" t="s">
        <v>74</v>
      </c>
      <c r="AR285" t="s">
        <v>5929</v>
      </c>
      <c r="AS285" t="s">
        <v>5930</v>
      </c>
      <c r="AT285" t="s">
        <v>5327</v>
      </c>
      <c r="AU285">
        <v>2015</v>
      </c>
      <c r="AV285">
        <v>69</v>
      </c>
      <c r="AW285">
        <v>272</v>
      </c>
      <c r="AX285" t="s">
        <v>74</v>
      </c>
      <c r="AY285" t="s">
        <v>74</v>
      </c>
      <c r="AZ285" t="s">
        <v>74</v>
      </c>
      <c r="BA285" t="s">
        <v>74</v>
      </c>
      <c r="BB285">
        <v>81</v>
      </c>
      <c r="BC285">
        <v>83</v>
      </c>
      <c r="BD285" t="s">
        <v>74</v>
      </c>
      <c r="BE285" t="s">
        <v>74</v>
      </c>
      <c r="BF285" t="s">
        <v>74</v>
      </c>
      <c r="BG285" t="s">
        <v>74</v>
      </c>
      <c r="BH285" t="s">
        <v>74</v>
      </c>
      <c r="BI285">
        <v>3</v>
      </c>
      <c r="BJ285" t="s">
        <v>5931</v>
      </c>
      <c r="BK285" t="s">
        <v>457</v>
      </c>
      <c r="BL285" t="s">
        <v>5931</v>
      </c>
      <c r="BM285" t="s">
        <v>5932</v>
      </c>
      <c r="BN285" t="s">
        <v>74</v>
      </c>
      <c r="BO285" t="s">
        <v>74</v>
      </c>
      <c r="BP285" t="s">
        <v>74</v>
      </c>
      <c r="BQ285" t="s">
        <v>74</v>
      </c>
      <c r="BR285" t="s">
        <v>104</v>
      </c>
      <c r="BS285" t="s">
        <v>5933</v>
      </c>
      <c r="BT285" t="str">
        <f>HYPERLINK("https%3A%2F%2Fwww.webofscience.com%2Fwos%2Fwoscc%2Ffull-record%2FWOS:000353212100024","View Full Record in Web of Science")</f>
        <v>View Full Record in Web of Science</v>
      </c>
    </row>
    <row r="286" spans="1:72" x14ac:dyDescent="0.15">
      <c r="A286" t="s">
        <v>72</v>
      </c>
      <c r="B286" t="s">
        <v>5934</v>
      </c>
      <c r="C286" t="s">
        <v>74</v>
      </c>
      <c r="D286" t="s">
        <v>74</v>
      </c>
      <c r="E286" t="s">
        <v>74</v>
      </c>
      <c r="F286" t="s">
        <v>5935</v>
      </c>
      <c r="G286" t="s">
        <v>74</v>
      </c>
      <c r="H286" t="s">
        <v>74</v>
      </c>
      <c r="I286" t="s">
        <v>5936</v>
      </c>
      <c r="J286" t="s">
        <v>5937</v>
      </c>
      <c r="K286" t="s">
        <v>74</v>
      </c>
      <c r="L286" t="s">
        <v>74</v>
      </c>
      <c r="M286" t="s">
        <v>78</v>
      </c>
      <c r="N286" t="s">
        <v>79</v>
      </c>
      <c r="O286" t="s">
        <v>74</v>
      </c>
      <c r="P286" t="s">
        <v>74</v>
      </c>
      <c r="Q286" t="s">
        <v>74</v>
      </c>
      <c r="R286" t="s">
        <v>74</v>
      </c>
      <c r="S286" t="s">
        <v>74</v>
      </c>
      <c r="T286" t="s">
        <v>5938</v>
      </c>
      <c r="U286" t="s">
        <v>5939</v>
      </c>
      <c r="V286" t="s">
        <v>5940</v>
      </c>
      <c r="W286" t="s">
        <v>5941</v>
      </c>
      <c r="X286" t="s">
        <v>5942</v>
      </c>
      <c r="Y286" t="s">
        <v>5943</v>
      </c>
      <c r="Z286" t="s">
        <v>5944</v>
      </c>
      <c r="AA286" t="s">
        <v>5945</v>
      </c>
      <c r="AB286" t="s">
        <v>5946</v>
      </c>
      <c r="AC286" t="s">
        <v>5947</v>
      </c>
      <c r="AD286" t="s">
        <v>5948</v>
      </c>
      <c r="AE286" t="s">
        <v>5949</v>
      </c>
      <c r="AF286" t="s">
        <v>74</v>
      </c>
      <c r="AG286">
        <v>60</v>
      </c>
      <c r="AH286">
        <v>6</v>
      </c>
      <c r="AI286">
        <v>6</v>
      </c>
      <c r="AJ286">
        <v>0</v>
      </c>
      <c r="AK286">
        <v>11</v>
      </c>
      <c r="AL286" t="s">
        <v>120</v>
      </c>
      <c r="AM286" t="s">
        <v>121</v>
      </c>
      <c r="AN286" t="s">
        <v>1304</v>
      </c>
      <c r="AO286" t="s">
        <v>5950</v>
      </c>
      <c r="AP286" t="s">
        <v>5951</v>
      </c>
      <c r="AQ286" t="s">
        <v>74</v>
      </c>
      <c r="AR286" t="s">
        <v>5952</v>
      </c>
      <c r="AS286" t="s">
        <v>5953</v>
      </c>
      <c r="AT286" t="s">
        <v>5327</v>
      </c>
      <c r="AU286">
        <v>2015</v>
      </c>
      <c r="AV286">
        <v>80</v>
      </c>
      <c r="AW286" t="s">
        <v>3920</v>
      </c>
      <c r="AX286" t="s">
        <v>74</v>
      </c>
      <c r="AY286" t="s">
        <v>74</v>
      </c>
      <c r="AZ286" t="s">
        <v>74</v>
      </c>
      <c r="BA286" t="s">
        <v>74</v>
      </c>
      <c r="BB286">
        <v>193</v>
      </c>
      <c r="BC286">
        <v>208</v>
      </c>
      <c r="BD286" t="s">
        <v>74</v>
      </c>
      <c r="BE286" t="s">
        <v>5954</v>
      </c>
      <c r="BF286" t="str">
        <f>HYPERLINK("http://dx.doi.org/10.1007/s00239-015-9670-3","http://dx.doi.org/10.1007/s00239-015-9670-3")</f>
        <v>http://dx.doi.org/10.1007/s00239-015-9670-3</v>
      </c>
      <c r="BG286" t="s">
        <v>74</v>
      </c>
      <c r="BH286" t="s">
        <v>74</v>
      </c>
      <c r="BI286">
        <v>16</v>
      </c>
      <c r="BJ286" t="s">
        <v>5955</v>
      </c>
      <c r="BK286" t="s">
        <v>100</v>
      </c>
      <c r="BL286" t="s">
        <v>5955</v>
      </c>
      <c r="BM286" t="s">
        <v>5956</v>
      </c>
      <c r="BN286">
        <v>25758350</v>
      </c>
      <c r="BO286" t="s">
        <v>74</v>
      </c>
      <c r="BP286" t="s">
        <v>74</v>
      </c>
      <c r="BQ286" t="s">
        <v>74</v>
      </c>
      <c r="BR286" t="s">
        <v>104</v>
      </c>
      <c r="BS286" t="s">
        <v>5957</v>
      </c>
      <c r="BT286" t="str">
        <f>HYPERLINK("https%3A%2F%2Fwww.webofscience.com%2Fwos%2Fwoscc%2Ffull-record%2FWOS:000353354700007","View Full Record in Web of Science")</f>
        <v>View Full Record in Web of Science</v>
      </c>
    </row>
    <row r="287" spans="1:72" x14ac:dyDescent="0.15">
      <c r="A287" t="s">
        <v>72</v>
      </c>
      <c r="B287" t="s">
        <v>5958</v>
      </c>
      <c r="C287" t="s">
        <v>74</v>
      </c>
      <c r="D287" t="s">
        <v>74</v>
      </c>
      <c r="E287" t="s">
        <v>74</v>
      </c>
      <c r="F287" t="s">
        <v>5959</v>
      </c>
      <c r="G287" t="s">
        <v>74</v>
      </c>
      <c r="H287" t="s">
        <v>74</v>
      </c>
      <c r="I287" t="s">
        <v>5960</v>
      </c>
      <c r="J287" t="s">
        <v>1495</v>
      </c>
      <c r="K287" t="s">
        <v>74</v>
      </c>
      <c r="L287" t="s">
        <v>74</v>
      </c>
      <c r="M287" t="s">
        <v>78</v>
      </c>
      <c r="N287" t="s">
        <v>79</v>
      </c>
      <c r="O287" t="s">
        <v>74</v>
      </c>
      <c r="P287" t="s">
        <v>74</v>
      </c>
      <c r="Q287" t="s">
        <v>74</v>
      </c>
      <c r="R287" t="s">
        <v>74</v>
      </c>
      <c r="S287" t="s">
        <v>74</v>
      </c>
      <c r="T287" t="s">
        <v>5961</v>
      </c>
      <c r="U287" t="s">
        <v>5962</v>
      </c>
      <c r="V287" t="s">
        <v>5963</v>
      </c>
      <c r="W287" t="s">
        <v>5964</v>
      </c>
      <c r="X287" t="s">
        <v>5965</v>
      </c>
      <c r="Y287" t="s">
        <v>5966</v>
      </c>
      <c r="Z287" t="s">
        <v>5967</v>
      </c>
      <c r="AA287" t="s">
        <v>5968</v>
      </c>
      <c r="AB287" t="s">
        <v>5969</v>
      </c>
      <c r="AC287" t="s">
        <v>5970</v>
      </c>
      <c r="AD287" t="s">
        <v>5971</v>
      </c>
      <c r="AE287" t="s">
        <v>5972</v>
      </c>
      <c r="AF287" t="s">
        <v>74</v>
      </c>
      <c r="AG287">
        <v>63</v>
      </c>
      <c r="AH287">
        <v>15</v>
      </c>
      <c r="AI287">
        <v>16</v>
      </c>
      <c r="AJ287">
        <v>0</v>
      </c>
      <c r="AK287">
        <v>39</v>
      </c>
      <c r="AL287" t="s">
        <v>91</v>
      </c>
      <c r="AM287" t="s">
        <v>92</v>
      </c>
      <c r="AN287" t="s">
        <v>93</v>
      </c>
      <c r="AO287" t="s">
        <v>1509</v>
      </c>
      <c r="AP287" t="s">
        <v>1510</v>
      </c>
      <c r="AQ287" t="s">
        <v>74</v>
      </c>
      <c r="AR287" t="s">
        <v>1511</v>
      </c>
      <c r="AS287" t="s">
        <v>1512</v>
      </c>
      <c r="AT287" t="s">
        <v>5327</v>
      </c>
      <c r="AU287">
        <v>2015</v>
      </c>
      <c r="AV287">
        <v>30</v>
      </c>
      <c r="AW287">
        <v>3</v>
      </c>
      <c r="AX287" t="s">
        <v>74</v>
      </c>
      <c r="AY287" t="s">
        <v>74</v>
      </c>
      <c r="AZ287" t="s">
        <v>74</v>
      </c>
      <c r="BA287" t="s">
        <v>74</v>
      </c>
      <c r="BB287">
        <v>201</v>
      </c>
      <c r="BC287">
        <v>210</v>
      </c>
      <c r="BD287" t="s">
        <v>74</v>
      </c>
      <c r="BE287" t="s">
        <v>5973</v>
      </c>
      <c r="BF287" t="str">
        <f>HYPERLINK("http://dx.doi.org/10.1002/jqs.2767","http://dx.doi.org/10.1002/jqs.2767")</f>
        <v>http://dx.doi.org/10.1002/jqs.2767</v>
      </c>
      <c r="BG287" t="s">
        <v>74</v>
      </c>
      <c r="BH287" t="s">
        <v>74</v>
      </c>
      <c r="BI287">
        <v>10</v>
      </c>
      <c r="BJ287" t="s">
        <v>795</v>
      </c>
      <c r="BK287" t="s">
        <v>100</v>
      </c>
      <c r="BL287" t="s">
        <v>796</v>
      </c>
      <c r="BM287" t="s">
        <v>5974</v>
      </c>
      <c r="BN287" t="s">
        <v>74</v>
      </c>
      <c r="BO287" t="s">
        <v>559</v>
      </c>
      <c r="BP287" t="s">
        <v>74</v>
      </c>
      <c r="BQ287" t="s">
        <v>74</v>
      </c>
      <c r="BR287" t="s">
        <v>104</v>
      </c>
      <c r="BS287" t="s">
        <v>5975</v>
      </c>
      <c r="BT287" t="str">
        <f>HYPERLINK("https%3A%2F%2Fwww.webofscience.com%2Fwos%2Fwoscc%2Ffull-record%2FWOS:000353403800002","View Full Record in Web of Science")</f>
        <v>View Full Record in Web of Science</v>
      </c>
    </row>
    <row r="288" spans="1:72" x14ac:dyDescent="0.15">
      <c r="A288" t="s">
        <v>72</v>
      </c>
      <c r="B288" t="s">
        <v>5976</v>
      </c>
      <c r="C288" t="s">
        <v>74</v>
      </c>
      <c r="D288" t="s">
        <v>74</v>
      </c>
      <c r="E288" t="s">
        <v>74</v>
      </c>
      <c r="F288" t="s">
        <v>5977</v>
      </c>
      <c r="G288" t="s">
        <v>74</v>
      </c>
      <c r="H288" t="s">
        <v>74</v>
      </c>
      <c r="I288" t="s">
        <v>5978</v>
      </c>
      <c r="J288" t="s">
        <v>5979</v>
      </c>
      <c r="K288" t="s">
        <v>74</v>
      </c>
      <c r="L288" t="s">
        <v>74</v>
      </c>
      <c r="M288" t="s">
        <v>78</v>
      </c>
      <c r="N288" t="s">
        <v>79</v>
      </c>
      <c r="O288" t="s">
        <v>74</v>
      </c>
      <c r="P288" t="s">
        <v>74</v>
      </c>
      <c r="Q288" t="s">
        <v>74</v>
      </c>
      <c r="R288" t="s">
        <v>74</v>
      </c>
      <c r="S288" t="s">
        <v>74</v>
      </c>
      <c r="T288" t="s">
        <v>5980</v>
      </c>
      <c r="U288" t="s">
        <v>5981</v>
      </c>
      <c r="V288" t="s">
        <v>5982</v>
      </c>
      <c r="W288" t="s">
        <v>5983</v>
      </c>
      <c r="X288" t="s">
        <v>5984</v>
      </c>
      <c r="Y288" t="s">
        <v>5985</v>
      </c>
      <c r="Z288" t="s">
        <v>5986</v>
      </c>
      <c r="AA288" t="s">
        <v>74</v>
      </c>
      <c r="AB288" t="s">
        <v>74</v>
      </c>
      <c r="AC288" t="s">
        <v>74</v>
      </c>
      <c r="AD288" t="s">
        <v>74</v>
      </c>
      <c r="AE288" t="s">
        <v>74</v>
      </c>
      <c r="AF288" t="s">
        <v>74</v>
      </c>
      <c r="AG288">
        <v>43</v>
      </c>
      <c r="AH288">
        <v>11</v>
      </c>
      <c r="AI288">
        <v>11</v>
      </c>
      <c r="AJ288">
        <v>1</v>
      </c>
      <c r="AK288">
        <v>34</v>
      </c>
      <c r="AL288" t="s">
        <v>5987</v>
      </c>
      <c r="AM288" t="s">
        <v>5988</v>
      </c>
      <c r="AN288" t="s">
        <v>5989</v>
      </c>
      <c r="AO288" t="s">
        <v>5990</v>
      </c>
      <c r="AP288" t="s">
        <v>5991</v>
      </c>
      <c r="AQ288" t="s">
        <v>74</v>
      </c>
      <c r="AR288" t="s">
        <v>5992</v>
      </c>
      <c r="AS288" t="s">
        <v>5993</v>
      </c>
      <c r="AT288" t="s">
        <v>5327</v>
      </c>
      <c r="AU288">
        <v>2015</v>
      </c>
      <c r="AV288">
        <v>56</v>
      </c>
      <c r="AW288">
        <v>4</v>
      </c>
      <c r="AX288" t="s">
        <v>74</v>
      </c>
      <c r="AY288" t="s">
        <v>74</v>
      </c>
      <c r="AZ288" t="s">
        <v>454</v>
      </c>
      <c r="BA288" t="s">
        <v>74</v>
      </c>
      <c r="BB288">
        <v>541</v>
      </c>
      <c r="BC288">
        <v>548</v>
      </c>
      <c r="BD288" t="s">
        <v>74</v>
      </c>
      <c r="BE288" t="s">
        <v>5994</v>
      </c>
      <c r="BF288" t="str">
        <f>HYPERLINK("http://dx.doi.org/10.1016/j.rgg.2015.03.006","http://dx.doi.org/10.1016/j.rgg.2015.03.006")</f>
        <v>http://dx.doi.org/10.1016/j.rgg.2015.03.006</v>
      </c>
      <c r="BG288" t="s">
        <v>74</v>
      </c>
      <c r="BH288" t="s">
        <v>74</v>
      </c>
      <c r="BI288">
        <v>8</v>
      </c>
      <c r="BJ288" t="s">
        <v>219</v>
      </c>
      <c r="BK288" t="s">
        <v>100</v>
      </c>
      <c r="BL288" t="s">
        <v>220</v>
      </c>
      <c r="BM288" t="s">
        <v>5995</v>
      </c>
      <c r="BN288" t="s">
        <v>74</v>
      </c>
      <c r="BO288" t="s">
        <v>74</v>
      </c>
      <c r="BP288" t="s">
        <v>74</v>
      </c>
      <c r="BQ288" t="s">
        <v>74</v>
      </c>
      <c r="BR288" t="s">
        <v>104</v>
      </c>
      <c r="BS288" t="s">
        <v>5996</v>
      </c>
      <c r="BT288" t="str">
        <f>HYPERLINK("https%3A%2F%2Fwww.webofscience.com%2Fwos%2Fwoscc%2Ffull-record%2FWOS:000353212000006","View Full Record in Web of Science")</f>
        <v>View Full Record in Web of Science</v>
      </c>
    </row>
    <row r="289" spans="1:72" x14ac:dyDescent="0.15">
      <c r="A289" t="s">
        <v>72</v>
      </c>
      <c r="B289" t="s">
        <v>5997</v>
      </c>
      <c r="C289" t="s">
        <v>74</v>
      </c>
      <c r="D289" t="s">
        <v>74</v>
      </c>
      <c r="E289" t="s">
        <v>74</v>
      </c>
      <c r="F289" t="s">
        <v>5998</v>
      </c>
      <c r="G289" t="s">
        <v>74</v>
      </c>
      <c r="H289" t="s">
        <v>74</v>
      </c>
      <c r="I289" t="s">
        <v>5999</v>
      </c>
      <c r="J289" t="s">
        <v>6000</v>
      </c>
      <c r="K289" t="s">
        <v>74</v>
      </c>
      <c r="L289" t="s">
        <v>74</v>
      </c>
      <c r="M289" t="s">
        <v>78</v>
      </c>
      <c r="N289" t="s">
        <v>79</v>
      </c>
      <c r="O289" t="s">
        <v>74</v>
      </c>
      <c r="P289" t="s">
        <v>74</v>
      </c>
      <c r="Q289" t="s">
        <v>74</v>
      </c>
      <c r="R289" t="s">
        <v>74</v>
      </c>
      <c r="S289" t="s">
        <v>74</v>
      </c>
      <c r="T289" t="s">
        <v>6001</v>
      </c>
      <c r="U289" t="s">
        <v>6002</v>
      </c>
      <c r="V289" t="s">
        <v>6003</v>
      </c>
      <c r="W289" t="s">
        <v>6004</v>
      </c>
      <c r="X289" t="s">
        <v>6005</v>
      </c>
      <c r="Y289" t="s">
        <v>6006</v>
      </c>
      <c r="Z289" t="s">
        <v>6007</v>
      </c>
      <c r="AA289" t="s">
        <v>6008</v>
      </c>
      <c r="AB289" t="s">
        <v>6009</v>
      </c>
      <c r="AC289" t="s">
        <v>6010</v>
      </c>
      <c r="AD289" t="s">
        <v>6011</v>
      </c>
      <c r="AE289" t="s">
        <v>6012</v>
      </c>
      <c r="AF289" t="s">
        <v>74</v>
      </c>
      <c r="AG289">
        <v>29</v>
      </c>
      <c r="AH289">
        <v>7</v>
      </c>
      <c r="AI289">
        <v>7</v>
      </c>
      <c r="AJ289">
        <v>3</v>
      </c>
      <c r="AK289">
        <v>12</v>
      </c>
      <c r="AL289" t="s">
        <v>2192</v>
      </c>
      <c r="AM289" t="s">
        <v>2193</v>
      </c>
      <c r="AN289" t="s">
        <v>2194</v>
      </c>
      <c r="AO289" t="s">
        <v>6013</v>
      </c>
      <c r="AP289" t="s">
        <v>6014</v>
      </c>
      <c r="AQ289" t="s">
        <v>74</v>
      </c>
      <c r="AR289" t="s">
        <v>6015</v>
      </c>
      <c r="AS289" t="s">
        <v>6016</v>
      </c>
      <c r="AT289" t="s">
        <v>5327</v>
      </c>
      <c r="AU289">
        <v>2015</v>
      </c>
      <c r="AV289">
        <v>30</v>
      </c>
      <c r="AW289">
        <v>2</v>
      </c>
      <c r="AX289" t="s">
        <v>74</v>
      </c>
      <c r="AY289" t="s">
        <v>74</v>
      </c>
      <c r="AZ289" t="s">
        <v>74</v>
      </c>
      <c r="BA289" t="s">
        <v>74</v>
      </c>
      <c r="BB289">
        <v>486</v>
      </c>
      <c r="BC289">
        <v>497</v>
      </c>
      <c r="BD289" t="s">
        <v>74</v>
      </c>
      <c r="BE289" t="s">
        <v>6017</v>
      </c>
      <c r="BF289" t="str">
        <f>HYPERLINK("http://dx.doi.org/10.1175/WAF-D-14-00052.1","http://dx.doi.org/10.1175/WAF-D-14-00052.1")</f>
        <v>http://dx.doi.org/10.1175/WAF-D-14-00052.1</v>
      </c>
      <c r="BG289" t="s">
        <v>74</v>
      </c>
      <c r="BH289" t="s">
        <v>74</v>
      </c>
      <c r="BI289">
        <v>12</v>
      </c>
      <c r="BJ289" t="s">
        <v>406</v>
      </c>
      <c r="BK289" t="s">
        <v>100</v>
      </c>
      <c r="BL289" t="s">
        <v>406</v>
      </c>
      <c r="BM289" t="s">
        <v>6018</v>
      </c>
      <c r="BN289" t="s">
        <v>74</v>
      </c>
      <c r="BO289" t="s">
        <v>2126</v>
      </c>
      <c r="BP289" t="s">
        <v>74</v>
      </c>
      <c r="BQ289" t="s">
        <v>74</v>
      </c>
      <c r="BR289" t="s">
        <v>104</v>
      </c>
      <c r="BS289" t="s">
        <v>6019</v>
      </c>
      <c r="BT289" t="str">
        <f>HYPERLINK("https%3A%2F%2Fwww.webofscience.com%2Fwos%2Fwoscc%2Ffull-record%2FWOS:000353103600015","View Full Record in Web of Science")</f>
        <v>View Full Record in Web of Science</v>
      </c>
    </row>
    <row r="290" spans="1:72" x14ac:dyDescent="0.15">
      <c r="A290" t="s">
        <v>72</v>
      </c>
      <c r="B290" t="s">
        <v>6020</v>
      </c>
      <c r="C290" t="s">
        <v>74</v>
      </c>
      <c r="D290" t="s">
        <v>74</v>
      </c>
      <c r="E290" t="s">
        <v>74</v>
      </c>
      <c r="F290" t="s">
        <v>6021</v>
      </c>
      <c r="G290" t="s">
        <v>74</v>
      </c>
      <c r="H290" t="s">
        <v>74</v>
      </c>
      <c r="I290" t="s">
        <v>6022</v>
      </c>
      <c r="J290" t="s">
        <v>2878</v>
      </c>
      <c r="K290" t="s">
        <v>74</v>
      </c>
      <c r="L290" t="s">
        <v>74</v>
      </c>
      <c r="M290" t="s">
        <v>78</v>
      </c>
      <c r="N290" t="s">
        <v>1291</v>
      </c>
      <c r="O290" t="s">
        <v>74</v>
      </c>
      <c r="P290" t="s">
        <v>74</v>
      </c>
      <c r="Q290" t="s">
        <v>74</v>
      </c>
      <c r="R290" t="s">
        <v>74</v>
      </c>
      <c r="S290" t="s">
        <v>74</v>
      </c>
      <c r="T290" t="s">
        <v>6023</v>
      </c>
      <c r="U290" t="s">
        <v>6024</v>
      </c>
      <c r="V290" t="s">
        <v>6025</v>
      </c>
      <c r="W290" t="s">
        <v>6026</v>
      </c>
      <c r="X290" t="s">
        <v>6027</v>
      </c>
      <c r="Y290" t="s">
        <v>6028</v>
      </c>
      <c r="Z290" t="s">
        <v>5412</v>
      </c>
      <c r="AA290" t="s">
        <v>6029</v>
      </c>
      <c r="AB290" t="s">
        <v>6030</v>
      </c>
      <c r="AC290" t="s">
        <v>6031</v>
      </c>
      <c r="AD290" t="s">
        <v>6032</v>
      </c>
      <c r="AE290" t="s">
        <v>6033</v>
      </c>
      <c r="AF290" t="s">
        <v>74</v>
      </c>
      <c r="AG290">
        <v>172</v>
      </c>
      <c r="AH290">
        <v>52</v>
      </c>
      <c r="AI290">
        <v>60</v>
      </c>
      <c r="AJ290">
        <v>7</v>
      </c>
      <c r="AK290">
        <v>211</v>
      </c>
      <c r="AL290" t="s">
        <v>120</v>
      </c>
      <c r="AM290" t="s">
        <v>2560</v>
      </c>
      <c r="AN290" t="s">
        <v>2561</v>
      </c>
      <c r="AO290" t="s">
        <v>2891</v>
      </c>
      <c r="AP290" t="s">
        <v>2892</v>
      </c>
      <c r="AQ290" t="s">
        <v>74</v>
      </c>
      <c r="AR290" t="s">
        <v>2893</v>
      </c>
      <c r="AS290" t="s">
        <v>2894</v>
      </c>
      <c r="AT290" t="s">
        <v>5327</v>
      </c>
      <c r="AU290">
        <v>2015</v>
      </c>
      <c r="AV290">
        <v>24</v>
      </c>
      <c r="AW290">
        <v>4</v>
      </c>
      <c r="AX290" t="s">
        <v>74</v>
      </c>
      <c r="AY290" t="s">
        <v>74</v>
      </c>
      <c r="AZ290" t="s">
        <v>454</v>
      </c>
      <c r="BA290" t="s">
        <v>74</v>
      </c>
      <c r="BB290">
        <v>819</v>
      </c>
      <c r="BC290">
        <v>840</v>
      </c>
      <c r="BD290" t="s">
        <v>74</v>
      </c>
      <c r="BE290" t="s">
        <v>6034</v>
      </c>
      <c r="BF290" t="str">
        <f>HYPERLINK("http://dx.doi.org/10.1007/s10531-015-0902-z","http://dx.doi.org/10.1007/s10531-015-0902-z")</f>
        <v>http://dx.doi.org/10.1007/s10531-015-0902-z</v>
      </c>
      <c r="BG290" t="s">
        <v>74</v>
      </c>
      <c r="BH290" t="s">
        <v>74</v>
      </c>
      <c r="BI290">
        <v>22</v>
      </c>
      <c r="BJ290" t="s">
        <v>153</v>
      </c>
      <c r="BK290" t="s">
        <v>100</v>
      </c>
      <c r="BL290" t="s">
        <v>154</v>
      </c>
      <c r="BM290" t="s">
        <v>6035</v>
      </c>
      <c r="BN290" t="s">
        <v>74</v>
      </c>
      <c r="BO290" t="s">
        <v>74</v>
      </c>
      <c r="BP290" t="s">
        <v>74</v>
      </c>
      <c r="BQ290" t="s">
        <v>74</v>
      </c>
      <c r="BR290" t="s">
        <v>104</v>
      </c>
      <c r="BS290" t="s">
        <v>6036</v>
      </c>
      <c r="BT290" t="str">
        <f>HYPERLINK("https%3A%2F%2Fwww.webofscience.com%2Fwos%2Fwoscc%2Ffull-record%2FWOS:000352720400007","View Full Record in Web of Science")</f>
        <v>View Full Record in Web of Science</v>
      </c>
    </row>
    <row r="291" spans="1:72" x14ac:dyDescent="0.15">
      <c r="A291" t="s">
        <v>72</v>
      </c>
      <c r="B291" t="s">
        <v>6037</v>
      </c>
      <c r="C291" t="s">
        <v>74</v>
      </c>
      <c r="D291" t="s">
        <v>74</v>
      </c>
      <c r="E291" t="s">
        <v>74</v>
      </c>
      <c r="F291" t="s">
        <v>6038</v>
      </c>
      <c r="G291" t="s">
        <v>74</v>
      </c>
      <c r="H291" t="s">
        <v>74</v>
      </c>
      <c r="I291" t="s">
        <v>6039</v>
      </c>
      <c r="J291" t="s">
        <v>2878</v>
      </c>
      <c r="K291" t="s">
        <v>74</v>
      </c>
      <c r="L291" t="s">
        <v>74</v>
      </c>
      <c r="M291" t="s">
        <v>78</v>
      </c>
      <c r="N291" t="s">
        <v>79</v>
      </c>
      <c r="O291" t="s">
        <v>74</v>
      </c>
      <c r="P291" t="s">
        <v>74</v>
      </c>
      <c r="Q291" t="s">
        <v>74</v>
      </c>
      <c r="R291" t="s">
        <v>74</v>
      </c>
      <c r="S291" t="s">
        <v>74</v>
      </c>
      <c r="T291" t="s">
        <v>6040</v>
      </c>
      <c r="U291" t="s">
        <v>6041</v>
      </c>
      <c r="V291" t="s">
        <v>6042</v>
      </c>
      <c r="W291" t="s">
        <v>6043</v>
      </c>
      <c r="X291" t="s">
        <v>6044</v>
      </c>
      <c r="Y291" t="s">
        <v>6045</v>
      </c>
      <c r="Z291" t="s">
        <v>6046</v>
      </c>
      <c r="AA291" t="s">
        <v>6047</v>
      </c>
      <c r="AB291" t="s">
        <v>6048</v>
      </c>
      <c r="AC291" t="s">
        <v>6049</v>
      </c>
      <c r="AD291" t="s">
        <v>6050</v>
      </c>
      <c r="AE291" t="s">
        <v>6051</v>
      </c>
      <c r="AF291" t="s">
        <v>74</v>
      </c>
      <c r="AG291">
        <v>47</v>
      </c>
      <c r="AH291">
        <v>25</v>
      </c>
      <c r="AI291">
        <v>28</v>
      </c>
      <c r="AJ291">
        <v>0</v>
      </c>
      <c r="AK291">
        <v>49</v>
      </c>
      <c r="AL291" t="s">
        <v>120</v>
      </c>
      <c r="AM291" t="s">
        <v>2560</v>
      </c>
      <c r="AN291" t="s">
        <v>2561</v>
      </c>
      <c r="AO291" t="s">
        <v>2891</v>
      </c>
      <c r="AP291" t="s">
        <v>2892</v>
      </c>
      <c r="AQ291" t="s">
        <v>74</v>
      </c>
      <c r="AR291" t="s">
        <v>2893</v>
      </c>
      <c r="AS291" t="s">
        <v>2894</v>
      </c>
      <c r="AT291" t="s">
        <v>5327</v>
      </c>
      <c r="AU291">
        <v>2015</v>
      </c>
      <c r="AV291">
        <v>24</v>
      </c>
      <c r="AW291">
        <v>4</v>
      </c>
      <c r="AX291" t="s">
        <v>74</v>
      </c>
      <c r="AY291" t="s">
        <v>74</v>
      </c>
      <c r="AZ291" t="s">
        <v>454</v>
      </c>
      <c r="BA291" t="s">
        <v>74</v>
      </c>
      <c r="BB291">
        <v>841</v>
      </c>
      <c r="BC291">
        <v>863</v>
      </c>
      <c r="BD291" t="s">
        <v>74</v>
      </c>
      <c r="BE291" t="s">
        <v>6052</v>
      </c>
      <c r="BF291" t="str">
        <f>HYPERLINK("http://dx.doi.org/10.1007/s10531-015-0907-7","http://dx.doi.org/10.1007/s10531-015-0907-7")</f>
        <v>http://dx.doi.org/10.1007/s10531-015-0907-7</v>
      </c>
      <c r="BG291" t="s">
        <v>74</v>
      </c>
      <c r="BH291" t="s">
        <v>74</v>
      </c>
      <c r="BI291">
        <v>23</v>
      </c>
      <c r="BJ291" t="s">
        <v>153</v>
      </c>
      <c r="BK291" t="s">
        <v>100</v>
      </c>
      <c r="BL291" t="s">
        <v>154</v>
      </c>
      <c r="BM291" t="s">
        <v>6035</v>
      </c>
      <c r="BN291" t="s">
        <v>74</v>
      </c>
      <c r="BO291" t="s">
        <v>248</v>
      </c>
      <c r="BP291" t="s">
        <v>74</v>
      </c>
      <c r="BQ291" t="s">
        <v>74</v>
      </c>
      <c r="BR291" t="s">
        <v>104</v>
      </c>
      <c r="BS291" t="s">
        <v>6053</v>
      </c>
      <c r="BT291" t="str">
        <f>HYPERLINK("https%3A%2F%2Fwww.webofscience.com%2Fwos%2Fwoscc%2Ffull-record%2FWOS:000352720400008","View Full Record in Web of Science")</f>
        <v>View Full Record in Web of Science</v>
      </c>
    </row>
    <row r="292" spans="1:72" x14ac:dyDescent="0.15">
      <c r="A292" t="s">
        <v>72</v>
      </c>
      <c r="B292" t="s">
        <v>6054</v>
      </c>
      <c r="C292" t="s">
        <v>74</v>
      </c>
      <c r="D292" t="s">
        <v>74</v>
      </c>
      <c r="E292" t="s">
        <v>74</v>
      </c>
      <c r="F292" t="s">
        <v>6055</v>
      </c>
      <c r="G292" t="s">
        <v>74</v>
      </c>
      <c r="H292" t="s">
        <v>74</v>
      </c>
      <c r="I292" t="s">
        <v>6056</v>
      </c>
      <c r="J292" t="s">
        <v>6057</v>
      </c>
      <c r="K292" t="s">
        <v>74</v>
      </c>
      <c r="L292" t="s">
        <v>74</v>
      </c>
      <c r="M292" t="s">
        <v>78</v>
      </c>
      <c r="N292" t="s">
        <v>79</v>
      </c>
      <c r="O292" t="s">
        <v>74</v>
      </c>
      <c r="P292" t="s">
        <v>74</v>
      </c>
      <c r="Q292" t="s">
        <v>74</v>
      </c>
      <c r="R292" t="s">
        <v>74</v>
      </c>
      <c r="S292" t="s">
        <v>74</v>
      </c>
      <c r="T292" t="s">
        <v>6058</v>
      </c>
      <c r="U292" t="s">
        <v>6059</v>
      </c>
      <c r="V292" t="s">
        <v>6060</v>
      </c>
      <c r="W292" t="s">
        <v>6061</v>
      </c>
      <c r="X292" t="s">
        <v>6062</v>
      </c>
      <c r="Y292" t="s">
        <v>6063</v>
      </c>
      <c r="Z292" t="s">
        <v>6064</v>
      </c>
      <c r="AA292" t="s">
        <v>6065</v>
      </c>
      <c r="AB292" t="s">
        <v>6066</v>
      </c>
      <c r="AC292" t="s">
        <v>6067</v>
      </c>
      <c r="AD292" t="s">
        <v>6068</v>
      </c>
      <c r="AE292" t="s">
        <v>6069</v>
      </c>
      <c r="AF292" t="s">
        <v>74</v>
      </c>
      <c r="AG292">
        <v>38</v>
      </c>
      <c r="AH292">
        <v>9</v>
      </c>
      <c r="AI292">
        <v>11</v>
      </c>
      <c r="AJ292">
        <v>2</v>
      </c>
      <c r="AK292">
        <v>72</v>
      </c>
      <c r="AL292" t="s">
        <v>91</v>
      </c>
      <c r="AM292" t="s">
        <v>92</v>
      </c>
      <c r="AN292" t="s">
        <v>93</v>
      </c>
      <c r="AO292" t="s">
        <v>6070</v>
      </c>
      <c r="AP292" t="s">
        <v>6071</v>
      </c>
      <c r="AQ292" t="s">
        <v>74</v>
      </c>
      <c r="AR292" t="s">
        <v>6072</v>
      </c>
      <c r="AS292" t="s">
        <v>6073</v>
      </c>
      <c r="AT292" t="s">
        <v>5327</v>
      </c>
      <c r="AU292">
        <v>2015</v>
      </c>
      <c r="AV292">
        <v>117</v>
      </c>
      <c r="AW292">
        <v>4</v>
      </c>
      <c r="AX292" t="s">
        <v>74</v>
      </c>
      <c r="AY292" t="s">
        <v>74</v>
      </c>
      <c r="AZ292" t="s">
        <v>74</v>
      </c>
      <c r="BA292" t="s">
        <v>74</v>
      </c>
      <c r="BB292">
        <v>411</v>
      </c>
      <c r="BC292">
        <v>420</v>
      </c>
      <c r="BD292" t="s">
        <v>74</v>
      </c>
      <c r="BE292" t="s">
        <v>6074</v>
      </c>
      <c r="BF292" t="str">
        <f>HYPERLINK("http://dx.doi.org/10.1002/ejlt.201400280","http://dx.doi.org/10.1002/ejlt.201400280")</f>
        <v>http://dx.doi.org/10.1002/ejlt.201400280</v>
      </c>
      <c r="BG292" t="s">
        <v>74</v>
      </c>
      <c r="BH292" t="s">
        <v>74</v>
      </c>
      <c r="BI292">
        <v>12</v>
      </c>
      <c r="BJ292" t="s">
        <v>6075</v>
      </c>
      <c r="BK292" t="s">
        <v>100</v>
      </c>
      <c r="BL292" t="s">
        <v>6075</v>
      </c>
      <c r="BM292" t="s">
        <v>6076</v>
      </c>
      <c r="BN292" t="s">
        <v>74</v>
      </c>
      <c r="BO292" t="s">
        <v>74</v>
      </c>
      <c r="BP292" t="s">
        <v>74</v>
      </c>
      <c r="BQ292" t="s">
        <v>74</v>
      </c>
      <c r="BR292" t="s">
        <v>104</v>
      </c>
      <c r="BS292" t="s">
        <v>6077</v>
      </c>
      <c r="BT292" t="str">
        <f>HYPERLINK("https%3A%2F%2Fwww.webofscience.com%2Fwos%2Fwoscc%2Ffull-record%2FWOS:000352572800001","View Full Record in Web of Science")</f>
        <v>View Full Record in Web of Science</v>
      </c>
    </row>
    <row r="293" spans="1:72" x14ac:dyDescent="0.15">
      <c r="A293" t="s">
        <v>72</v>
      </c>
      <c r="B293" t="s">
        <v>6078</v>
      </c>
      <c r="C293" t="s">
        <v>74</v>
      </c>
      <c r="D293" t="s">
        <v>74</v>
      </c>
      <c r="E293" t="s">
        <v>74</v>
      </c>
      <c r="F293" t="s">
        <v>6079</v>
      </c>
      <c r="G293" t="s">
        <v>74</v>
      </c>
      <c r="H293" t="s">
        <v>74</v>
      </c>
      <c r="I293" t="s">
        <v>6080</v>
      </c>
      <c r="J293" t="s">
        <v>6081</v>
      </c>
      <c r="K293" t="s">
        <v>74</v>
      </c>
      <c r="L293" t="s">
        <v>74</v>
      </c>
      <c r="M293" t="s">
        <v>78</v>
      </c>
      <c r="N293" t="s">
        <v>79</v>
      </c>
      <c r="O293" t="s">
        <v>74</v>
      </c>
      <c r="P293" t="s">
        <v>74</v>
      </c>
      <c r="Q293" t="s">
        <v>74</v>
      </c>
      <c r="R293" t="s">
        <v>74</v>
      </c>
      <c r="S293" t="s">
        <v>74</v>
      </c>
      <c r="T293" t="s">
        <v>6082</v>
      </c>
      <c r="U293" t="s">
        <v>6083</v>
      </c>
      <c r="V293" t="s">
        <v>6084</v>
      </c>
      <c r="W293" t="s">
        <v>6085</v>
      </c>
      <c r="X293" t="s">
        <v>6086</v>
      </c>
      <c r="Y293" t="s">
        <v>6087</v>
      </c>
      <c r="Z293" t="s">
        <v>6088</v>
      </c>
      <c r="AA293" t="s">
        <v>74</v>
      </c>
      <c r="AB293" t="s">
        <v>6089</v>
      </c>
      <c r="AC293" t="s">
        <v>6090</v>
      </c>
      <c r="AD293" t="s">
        <v>6091</v>
      </c>
      <c r="AE293" t="s">
        <v>6092</v>
      </c>
      <c r="AF293" t="s">
        <v>74</v>
      </c>
      <c r="AG293">
        <v>12</v>
      </c>
      <c r="AH293">
        <v>7</v>
      </c>
      <c r="AI293">
        <v>7</v>
      </c>
      <c r="AJ293">
        <v>0</v>
      </c>
      <c r="AK293">
        <v>19</v>
      </c>
      <c r="AL293" t="s">
        <v>815</v>
      </c>
      <c r="AM293" t="s">
        <v>816</v>
      </c>
      <c r="AN293" t="s">
        <v>817</v>
      </c>
      <c r="AO293" t="s">
        <v>6093</v>
      </c>
      <c r="AP293" t="s">
        <v>6094</v>
      </c>
      <c r="AQ293" t="s">
        <v>74</v>
      </c>
      <c r="AR293" t="s">
        <v>6095</v>
      </c>
      <c r="AS293" t="s">
        <v>6096</v>
      </c>
      <c r="AT293" t="s">
        <v>5327</v>
      </c>
      <c r="AU293">
        <v>2015</v>
      </c>
      <c r="AV293">
        <v>20</v>
      </c>
      <c r="AW293" t="s">
        <v>74</v>
      </c>
      <c r="AX293" t="s">
        <v>74</v>
      </c>
      <c r="AY293" t="s">
        <v>74</v>
      </c>
      <c r="AZ293" t="s">
        <v>74</v>
      </c>
      <c r="BA293" t="s">
        <v>74</v>
      </c>
      <c r="BB293">
        <v>1</v>
      </c>
      <c r="BC293">
        <v>2</v>
      </c>
      <c r="BD293" t="s">
        <v>74</v>
      </c>
      <c r="BE293" t="s">
        <v>6097</v>
      </c>
      <c r="BF293" t="str">
        <f>HYPERLINK("http://dx.doi.org/10.1016/j.margen.2015.01.004","http://dx.doi.org/10.1016/j.margen.2015.01.004")</f>
        <v>http://dx.doi.org/10.1016/j.margen.2015.01.004</v>
      </c>
      <c r="BG293" t="s">
        <v>74</v>
      </c>
      <c r="BH293" t="s">
        <v>74</v>
      </c>
      <c r="BI293">
        <v>2</v>
      </c>
      <c r="BJ293" t="s">
        <v>6098</v>
      </c>
      <c r="BK293" t="s">
        <v>100</v>
      </c>
      <c r="BL293" t="s">
        <v>6098</v>
      </c>
      <c r="BM293" t="s">
        <v>6099</v>
      </c>
      <c r="BN293">
        <v>25636910</v>
      </c>
      <c r="BO293" t="s">
        <v>74</v>
      </c>
      <c r="BP293" t="s">
        <v>74</v>
      </c>
      <c r="BQ293" t="s">
        <v>74</v>
      </c>
      <c r="BR293" t="s">
        <v>104</v>
      </c>
      <c r="BS293" t="s">
        <v>6100</v>
      </c>
      <c r="BT293" t="str">
        <f>HYPERLINK("https%3A%2F%2Fwww.webofscience.com%2Fwos%2Fwoscc%2Ffull-record%2FWOS:000352666200001","View Full Record in Web of Science")</f>
        <v>View Full Record in Web of Science</v>
      </c>
    </row>
    <row r="294" spans="1:72" x14ac:dyDescent="0.15">
      <c r="A294" t="s">
        <v>72</v>
      </c>
      <c r="B294" t="s">
        <v>6101</v>
      </c>
      <c r="C294" t="s">
        <v>74</v>
      </c>
      <c r="D294" t="s">
        <v>74</v>
      </c>
      <c r="E294" t="s">
        <v>74</v>
      </c>
      <c r="F294" t="s">
        <v>6102</v>
      </c>
      <c r="G294" t="s">
        <v>74</v>
      </c>
      <c r="H294" t="s">
        <v>74</v>
      </c>
      <c r="I294" t="s">
        <v>6103</v>
      </c>
      <c r="J294" t="s">
        <v>6081</v>
      </c>
      <c r="K294" t="s">
        <v>74</v>
      </c>
      <c r="L294" t="s">
        <v>74</v>
      </c>
      <c r="M294" t="s">
        <v>78</v>
      </c>
      <c r="N294" t="s">
        <v>79</v>
      </c>
      <c r="O294" t="s">
        <v>74</v>
      </c>
      <c r="P294" t="s">
        <v>74</v>
      </c>
      <c r="Q294" t="s">
        <v>74</v>
      </c>
      <c r="R294" t="s">
        <v>74</v>
      </c>
      <c r="S294" t="s">
        <v>74</v>
      </c>
      <c r="T294" t="s">
        <v>6104</v>
      </c>
      <c r="U294" t="s">
        <v>6105</v>
      </c>
      <c r="V294" t="s">
        <v>6106</v>
      </c>
      <c r="W294" t="s">
        <v>6107</v>
      </c>
      <c r="X294" t="s">
        <v>6108</v>
      </c>
      <c r="Y294" t="s">
        <v>6109</v>
      </c>
      <c r="Z294" t="s">
        <v>6110</v>
      </c>
      <c r="AA294" t="s">
        <v>6111</v>
      </c>
      <c r="AB294" t="s">
        <v>6112</v>
      </c>
      <c r="AC294" t="s">
        <v>6113</v>
      </c>
      <c r="AD294" t="s">
        <v>6114</v>
      </c>
      <c r="AE294" t="s">
        <v>6115</v>
      </c>
      <c r="AF294" t="s">
        <v>74</v>
      </c>
      <c r="AG294">
        <v>16</v>
      </c>
      <c r="AH294">
        <v>25</v>
      </c>
      <c r="AI294">
        <v>26</v>
      </c>
      <c r="AJ294">
        <v>2</v>
      </c>
      <c r="AK294">
        <v>31</v>
      </c>
      <c r="AL294" t="s">
        <v>815</v>
      </c>
      <c r="AM294" t="s">
        <v>816</v>
      </c>
      <c r="AN294" t="s">
        <v>817</v>
      </c>
      <c r="AO294" t="s">
        <v>6093</v>
      </c>
      <c r="AP294" t="s">
        <v>6094</v>
      </c>
      <c r="AQ294" t="s">
        <v>74</v>
      </c>
      <c r="AR294" t="s">
        <v>6095</v>
      </c>
      <c r="AS294" t="s">
        <v>6096</v>
      </c>
      <c r="AT294" t="s">
        <v>5327</v>
      </c>
      <c r="AU294">
        <v>2015</v>
      </c>
      <c r="AV294">
        <v>20</v>
      </c>
      <c r="AW294" t="s">
        <v>74</v>
      </c>
      <c r="AX294" t="s">
        <v>74</v>
      </c>
      <c r="AY294" t="s">
        <v>74</v>
      </c>
      <c r="AZ294" t="s">
        <v>74</v>
      </c>
      <c r="BA294" t="s">
        <v>74</v>
      </c>
      <c r="BB294">
        <v>13</v>
      </c>
      <c r="BC294">
        <v>15</v>
      </c>
      <c r="BD294" t="s">
        <v>74</v>
      </c>
      <c r="BE294" t="s">
        <v>6116</v>
      </c>
      <c r="BF294" t="str">
        <f>HYPERLINK("http://dx.doi.org/10.1016/j.margen.2014.12.005","http://dx.doi.org/10.1016/j.margen.2014.12.005")</f>
        <v>http://dx.doi.org/10.1016/j.margen.2014.12.005</v>
      </c>
      <c r="BG294" t="s">
        <v>74</v>
      </c>
      <c r="BH294" t="s">
        <v>74</v>
      </c>
      <c r="BI294">
        <v>3</v>
      </c>
      <c r="BJ294" t="s">
        <v>6098</v>
      </c>
      <c r="BK294" t="s">
        <v>100</v>
      </c>
      <c r="BL294" t="s">
        <v>6098</v>
      </c>
      <c r="BM294" t="s">
        <v>6099</v>
      </c>
      <c r="BN294">
        <v>25557849</v>
      </c>
      <c r="BO294" t="s">
        <v>74</v>
      </c>
      <c r="BP294" t="s">
        <v>74</v>
      </c>
      <c r="BQ294" t="s">
        <v>74</v>
      </c>
      <c r="BR294" t="s">
        <v>104</v>
      </c>
      <c r="BS294" t="s">
        <v>6117</v>
      </c>
      <c r="BT294" t="str">
        <f>HYPERLINK("https%3A%2F%2Fwww.webofscience.com%2Fwos%2Fwoscc%2Ffull-record%2FWOS:000352666200005","View Full Record in Web of Science")</f>
        <v>View Full Record in Web of Science</v>
      </c>
    </row>
    <row r="295" spans="1:72" x14ac:dyDescent="0.15">
      <c r="A295" t="s">
        <v>72</v>
      </c>
      <c r="B295" t="s">
        <v>6118</v>
      </c>
      <c r="C295" t="s">
        <v>74</v>
      </c>
      <c r="D295" t="s">
        <v>74</v>
      </c>
      <c r="E295" t="s">
        <v>74</v>
      </c>
      <c r="F295" t="s">
        <v>6119</v>
      </c>
      <c r="G295" t="s">
        <v>74</v>
      </c>
      <c r="H295" t="s">
        <v>74</v>
      </c>
      <c r="I295" t="s">
        <v>6120</v>
      </c>
      <c r="J295" t="s">
        <v>6121</v>
      </c>
      <c r="K295" t="s">
        <v>74</v>
      </c>
      <c r="L295" t="s">
        <v>74</v>
      </c>
      <c r="M295" t="s">
        <v>78</v>
      </c>
      <c r="N295" t="s">
        <v>79</v>
      </c>
      <c r="O295" t="s">
        <v>74</v>
      </c>
      <c r="P295" t="s">
        <v>74</v>
      </c>
      <c r="Q295" t="s">
        <v>74</v>
      </c>
      <c r="R295" t="s">
        <v>74</v>
      </c>
      <c r="S295" t="s">
        <v>74</v>
      </c>
      <c r="T295" t="s">
        <v>74</v>
      </c>
      <c r="U295" t="s">
        <v>6122</v>
      </c>
      <c r="V295" t="s">
        <v>6123</v>
      </c>
      <c r="W295" t="s">
        <v>6124</v>
      </c>
      <c r="X295" t="s">
        <v>6125</v>
      </c>
      <c r="Y295" t="s">
        <v>6126</v>
      </c>
      <c r="Z295" t="s">
        <v>6127</v>
      </c>
      <c r="AA295" t="s">
        <v>6128</v>
      </c>
      <c r="AB295" t="s">
        <v>6129</v>
      </c>
      <c r="AC295" t="s">
        <v>6130</v>
      </c>
      <c r="AD295" t="s">
        <v>6131</v>
      </c>
      <c r="AE295" t="s">
        <v>6132</v>
      </c>
      <c r="AF295" t="s">
        <v>74</v>
      </c>
      <c r="AG295">
        <v>190</v>
      </c>
      <c r="AH295">
        <v>88</v>
      </c>
      <c r="AI295">
        <v>90</v>
      </c>
      <c r="AJ295">
        <v>0</v>
      </c>
      <c r="AK295">
        <v>17</v>
      </c>
      <c r="AL295" t="s">
        <v>91</v>
      </c>
      <c r="AM295" t="s">
        <v>92</v>
      </c>
      <c r="AN295" t="s">
        <v>93</v>
      </c>
      <c r="AO295" t="s">
        <v>6133</v>
      </c>
      <c r="AP295" t="s">
        <v>6134</v>
      </c>
      <c r="AQ295" t="s">
        <v>74</v>
      </c>
      <c r="AR295" t="s">
        <v>6135</v>
      </c>
      <c r="AS295" t="s">
        <v>6136</v>
      </c>
      <c r="AT295" t="s">
        <v>5327</v>
      </c>
      <c r="AU295">
        <v>2015</v>
      </c>
      <c r="AV295">
        <v>50</v>
      </c>
      <c r="AW295">
        <v>4</v>
      </c>
      <c r="AX295" t="s">
        <v>74</v>
      </c>
      <c r="AY295" t="s">
        <v>74</v>
      </c>
      <c r="AZ295" t="s">
        <v>74</v>
      </c>
      <c r="BA295" t="s">
        <v>74</v>
      </c>
      <c r="BB295">
        <v>782</v>
      </c>
      <c r="BC295">
        <v>809</v>
      </c>
      <c r="BD295" t="s">
        <v>74</v>
      </c>
      <c r="BE295" t="s">
        <v>6137</v>
      </c>
      <c r="BF295" t="str">
        <f>HYPERLINK("http://dx.doi.org/10.1111/maps.12401","http://dx.doi.org/10.1111/maps.12401")</f>
        <v>http://dx.doi.org/10.1111/maps.12401</v>
      </c>
      <c r="BG295" t="s">
        <v>74</v>
      </c>
      <c r="BH295" t="s">
        <v>74</v>
      </c>
      <c r="BI295">
        <v>28</v>
      </c>
      <c r="BJ295" t="s">
        <v>863</v>
      </c>
      <c r="BK295" t="s">
        <v>100</v>
      </c>
      <c r="BL295" t="s">
        <v>863</v>
      </c>
      <c r="BM295" t="s">
        <v>6138</v>
      </c>
      <c r="BN295" t="s">
        <v>74</v>
      </c>
      <c r="BO295" t="s">
        <v>156</v>
      </c>
      <c r="BP295" t="s">
        <v>74</v>
      </c>
      <c r="BQ295" t="s">
        <v>74</v>
      </c>
      <c r="BR295" t="s">
        <v>104</v>
      </c>
      <c r="BS295" t="s">
        <v>6139</v>
      </c>
      <c r="BT295" t="str">
        <f>HYPERLINK("https%3A%2F%2Fwww.webofscience.com%2Fwos%2Fwoscc%2Ffull-record%2FWOS:000352625200016","View Full Record in Web of Science")</f>
        <v>View Full Record in Web of Science</v>
      </c>
    </row>
    <row r="296" spans="1:72" x14ac:dyDescent="0.15">
      <c r="A296" t="s">
        <v>72</v>
      </c>
      <c r="B296" t="s">
        <v>6140</v>
      </c>
      <c r="C296" t="s">
        <v>74</v>
      </c>
      <c r="D296" t="s">
        <v>74</v>
      </c>
      <c r="E296" t="s">
        <v>74</v>
      </c>
      <c r="F296" t="s">
        <v>6141</v>
      </c>
      <c r="G296" t="s">
        <v>74</v>
      </c>
      <c r="H296" t="s">
        <v>74</v>
      </c>
      <c r="I296" t="s">
        <v>6142</v>
      </c>
      <c r="J296" t="s">
        <v>6121</v>
      </c>
      <c r="K296" t="s">
        <v>74</v>
      </c>
      <c r="L296" t="s">
        <v>74</v>
      </c>
      <c r="M296" t="s">
        <v>78</v>
      </c>
      <c r="N296" t="s">
        <v>79</v>
      </c>
      <c r="O296" t="s">
        <v>74</v>
      </c>
      <c r="P296" t="s">
        <v>74</v>
      </c>
      <c r="Q296" t="s">
        <v>74</v>
      </c>
      <c r="R296" t="s">
        <v>74</v>
      </c>
      <c r="S296" t="s">
        <v>74</v>
      </c>
      <c r="T296" t="s">
        <v>74</v>
      </c>
      <c r="U296" t="s">
        <v>6143</v>
      </c>
      <c r="V296" t="s">
        <v>6144</v>
      </c>
      <c r="W296" t="s">
        <v>6145</v>
      </c>
      <c r="X296" t="s">
        <v>6146</v>
      </c>
      <c r="Y296" t="s">
        <v>6147</v>
      </c>
      <c r="Z296" t="s">
        <v>6148</v>
      </c>
      <c r="AA296" t="s">
        <v>6149</v>
      </c>
      <c r="AB296" t="s">
        <v>6150</v>
      </c>
      <c r="AC296" t="s">
        <v>6151</v>
      </c>
      <c r="AD296" t="s">
        <v>6152</v>
      </c>
      <c r="AE296" t="s">
        <v>6153</v>
      </c>
      <c r="AF296" t="s">
        <v>74</v>
      </c>
      <c r="AG296">
        <v>96</v>
      </c>
      <c r="AH296">
        <v>112</v>
      </c>
      <c r="AI296">
        <v>118</v>
      </c>
      <c r="AJ296">
        <v>2</v>
      </c>
      <c r="AK296">
        <v>39</v>
      </c>
      <c r="AL296" t="s">
        <v>91</v>
      </c>
      <c r="AM296" t="s">
        <v>92</v>
      </c>
      <c r="AN296" t="s">
        <v>93</v>
      </c>
      <c r="AO296" t="s">
        <v>6133</v>
      </c>
      <c r="AP296" t="s">
        <v>6134</v>
      </c>
      <c r="AQ296" t="s">
        <v>74</v>
      </c>
      <c r="AR296" t="s">
        <v>6135</v>
      </c>
      <c r="AS296" t="s">
        <v>6136</v>
      </c>
      <c r="AT296" t="s">
        <v>5327</v>
      </c>
      <c r="AU296">
        <v>2015</v>
      </c>
      <c r="AV296">
        <v>50</v>
      </c>
      <c r="AW296">
        <v>4</v>
      </c>
      <c r="AX296" t="s">
        <v>74</v>
      </c>
      <c r="AY296" t="s">
        <v>74</v>
      </c>
      <c r="AZ296" t="s">
        <v>74</v>
      </c>
      <c r="BA296" t="s">
        <v>74</v>
      </c>
      <c r="BB296">
        <v>810</v>
      </c>
      <c r="BC296">
        <v>833</v>
      </c>
      <c r="BD296" t="s">
        <v>74</v>
      </c>
      <c r="BE296" t="s">
        <v>6154</v>
      </c>
      <c r="BF296" t="str">
        <f>HYPERLINK("http://dx.doi.org/10.1111/maps.12410","http://dx.doi.org/10.1111/maps.12410")</f>
        <v>http://dx.doi.org/10.1111/maps.12410</v>
      </c>
      <c r="BG296" t="s">
        <v>74</v>
      </c>
      <c r="BH296" t="s">
        <v>74</v>
      </c>
      <c r="BI296">
        <v>24</v>
      </c>
      <c r="BJ296" t="s">
        <v>863</v>
      </c>
      <c r="BK296" t="s">
        <v>100</v>
      </c>
      <c r="BL296" t="s">
        <v>863</v>
      </c>
      <c r="BM296" t="s">
        <v>6138</v>
      </c>
      <c r="BN296" t="s">
        <v>74</v>
      </c>
      <c r="BO296" t="s">
        <v>2481</v>
      </c>
      <c r="BP296" t="s">
        <v>74</v>
      </c>
      <c r="BQ296" t="s">
        <v>74</v>
      </c>
      <c r="BR296" t="s">
        <v>104</v>
      </c>
      <c r="BS296" t="s">
        <v>6155</v>
      </c>
      <c r="BT296" t="str">
        <f>HYPERLINK("https%3A%2F%2Fwww.webofscience.com%2Fwos%2Fwoscc%2Ffull-record%2FWOS:000352625200017","View Full Record in Web of Science")</f>
        <v>View Full Record in Web of Science</v>
      </c>
    </row>
    <row r="297" spans="1:72" x14ac:dyDescent="0.15">
      <c r="A297" t="s">
        <v>72</v>
      </c>
      <c r="B297" t="s">
        <v>6156</v>
      </c>
      <c r="C297" t="s">
        <v>74</v>
      </c>
      <c r="D297" t="s">
        <v>74</v>
      </c>
      <c r="E297" t="s">
        <v>74</v>
      </c>
      <c r="F297" t="s">
        <v>6157</v>
      </c>
      <c r="G297" t="s">
        <v>74</v>
      </c>
      <c r="H297" t="s">
        <v>74</v>
      </c>
      <c r="I297" t="s">
        <v>6158</v>
      </c>
      <c r="J297" t="s">
        <v>6159</v>
      </c>
      <c r="K297" t="s">
        <v>74</v>
      </c>
      <c r="L297" t="s">
        <v>74</v>
      </c>
      <c r="M297" t="s">
        <v>78</v>
      </c>
      <c r="N297" t="s">
        <v>79</v>
      </c>
      <c r="O297" t="s">
        <v>74</v>
      </c>
      <c r="P297" t="s">
        <v>74</v>
      </c>
      <c r="Q297" t="s">
        <v>74</v>
      </c>
      <c r="R297" t="s">
        <v>74</v>
      </c>
      <c r="S297" t="s">
        <v>74</v>
      </c>
      <c r="T297" t="s">
        <v>6160</v>
      </c>
      <c r="U297" t="s">
        <v>6161</v>
      </c>
      <c r="V297" t="s">
        <v>6162</v>
      </c>
      <c r="W297" t="s">
        <v>6163</v>
      </c>
      <c r="X297" t="s">
        <v>6164</v>
      </c>
      <c r="Y297" t="s">
        <v>6165</v>
      </c>
      <c r="Z297" t="s">
        <v>6166</v>
      </c>
      <c r="AA297" t="s">
        <v>6167</v>
      </c>
      <c r="AB297" t="s">
        <v>6168</v>
      </c>
      <c r="AC297" t="s">
        <v>6169</v>
      </c>
      <c r="AD297" t="s">
        <v>6170</v>
      </c>
      <c r="AE297" t="s">
        <v>6171</v>
      </c>
      <c r="AF297" t="s">
        <v>74</v>
      </c>
      <c r="AG297">
        <v>50</v>
      </c>
      <c r="AH297">
        <v>61</v>
      </c>
      <c r="AI297">
        <v>65</v>
      </c>
      <c r="AJ297">
        <v>4</v>
      </c>
      <c r="AK297">
        <v>58</v>
      </c>
      <c r="AL297" t="s">
        <v>91</v>
      </c>
      <c r="AM297" t="s">
        <v>92</v>
      </c>
      <c r="AN297" t="s">
        <v>93</v>
      </c>
      <c r="AO297" t="s">
        <v>6172</v>
      </c>
      <c r="AP297" t="s">
        <v>6173</v>
      </c>
      <c r="AQ297" t="s">
        <v>74</v>
      </c>
      <c r="AR297" t="s">
        <v>6174</v>
      </c>
      <c r="AS297" t="s">
        <v>6175</v>
      </c>
      <c r="AT297" t="s">
        <v>5327</v>
      </c>
      <c r="AU297">
        <v>2015</v>
      </c>
      <c r="AV297">
        <v>6</v>
      </c>
      <c r="AW297">
        <v>4</v>
      </c>
      <c r="AX297" t="s">
        <v>74</v>
      </c>
      <c r="AY297" t="s">
        <v>74</v>
      </c>
      <c r="AZ297" t="s">
        <v>74</v>
      </c>
      <c r="BA297" t="s">
        <v>74</v>
      </c>
      <c r="BB297">
        <v>412</v>
      </c>
      <c r="BC297">
        <v>423</v>
      </c>
      <c r="BD297" t="s">
        <v>74</v>
      </c>
      <c r="BE297" t="s">
        <v>6176</v>
      </c>
      <c r="BF297" t="str">
        <f>HYPERLINK("http://dx.doi.org/10.1111/2041-210X.12217","http://dx.doi.org/10.1111/2041-210X.12217")</f>
        <v>http://dx.doi.org/10.1111/2041-210X.12217</v>
      </c>
      <c r="BG297" t="s">
        <v>74</v>
      </c>
      <c r="BH297" t="s">
        <v>74</v>
      </c>
      <c r="BI297">
        <v>12</v>
      </c>
      <c r="BJ297" t="s">
        <v>1047</v>
      </c>
      <c r="BK297" t="s">
        <v>100</v>
      </c>
      <c r="BL297" t="s">
        <v>1048</v>
      </c>
      <c r="BM297" t="s">
        <v>6177</v>
      </c>
      <c r="BN297" t="s">
        <v>74</v>
      </c>
      <c r="BO297" t="s">
        <v>6178</v>
      </c>
      <c r="BP297" t="s">
        <v>74</v>
      </c>
      <c r="BQ297" t="s">
        <v>74</v>
      </c>
      <c r="BR297" t="s">
        <v>104</v>
      </c>
      <c r="BS297" t="s">
        <v>6179</v>
      </c>
      <c r="BT297" t="str">
        <f>HYPERLINK("https%3A%2F%2Fwww.webofscience.com%2Fwos%2Fwoscc%2Ffull-record%2FWOS:000352794100006","View Full Record in Web of Science")</f>
        <v>View Full Record in Web of Science</v>
      </c>
    </row>
    <row r="298" spans="1:72" x14ac:dyDescent="0.15">
      <c r="A298" t="s">
        <v>72</v>
      </c>
      <c r="B298" t="s">
        <v>6180</v>
      </c>
      <c r="C298" t="s">
        <v>74</v>
      </c>
      <c r="D298" t="s">
        <v>74</v>
      </c>
      <c r="E298" t="s">
        <v>74</v>
      </c>
      <c r="F298" t="s">
        <v>6181</v>
      </c>
      <c r="G298" t="s">
        <v>74</v>
      </c>
      <c r="H298" t="s">
        <v>74</v>
      </c>
      <c r="I298" t="s">
        <v>6182</v>
      </c>
      <c r="J298" t="s">
        <v>6183</v>
      </c>
      <c r="K298" t="s">
        <v>74</v>
      </c>
      <c r="L298" t="s">
        <v>74</v>
      </c>
      <c r="M298" t="s">
        <v>78</v>
      </c>
      <c r="N298" t="s">
        <v>79</v>
      </c>
      <c r="O298" t="s">
        <v>74</v>
      </c>
      <c r="P298" t="s">
        <v>74</v>
      </c>
      <c r="Q298" t="s">
        <v>74</v>
      </c>
      <c r="R298" t="s">
        <v>74</v>
      </c>
      <c r="S298" t="s">
        <v>74</v>
      </c>
      <c r="T298" t="s">
        <v>6184</v>
      </c>
      <c r="U298" t="s">
        <v>6185</v>
      </c>
      <c r="V298" t="s">
        <v>6186</v>
      </c>
      <c r="W298" t="s">
        <v>6187</v>
      </c>
      <c r="X298" t="s">
        <v>6188</v>
      </c>
      <c r="Y298" t="s">
        <v>6189</v>
      </c>
      <c r="Z298" t="s">
        <v>6190</v>
      </c>
      <c r="AA298" t="s">
        <v>6191</v>
      </c>
      <c r="AB298" t="s">
        <v>6192</v>
      </c>
      <c r="AC298" t="s">
        <v>6193</v>
      </c>
      <c r="AD298" t="s">
        <v>6194</v>
      </c>
      <c r="AE298" t="s">
        <v>6195</v>
      </c>
      <c r="AF298" t="s">
        <v>74</v>
      </c>
      <c r="AG298">
        <v>36</v>
      </c>
      <c r="AH298">
        <v>12</v>
      </c>
      <c r="AI298">
        <v>13</v>
      </c>
      <c r="AJ298">
        <v>1</v>
      </c>
      <c r="AK298">
        <v>26</v>
      </c>
      <c r="AL298" t="s">
        <v>1158</v>
      </c>
      <c r="AM298" t="s">
        <v>787</v>
      </c>
      <c r="AN298" t="s">
        <v>1159</v>
      </c>
      <c r="AO298" t="s">
        <v>6196</v>
      </c>
      <c r="AP298" t="s">
        <v>6197</v>
      </c>
      <c r="AQ298" t="s">
        <v>74</v>
      </c>
      <c r="AR298" t="s">
        <v>6198</v>
      </c>
      <c r="AS298" t="s">
        <v>6199</v>
      </c>
      <c r="AT298" t="s">
        <v>5327</v>
      </c>
      <c r="AU298">
        <v>2015</v>
      </c>
      <c r="AV298">
        <v>27</v>
      </c>
      <c r="AW298" t="s">
        <v>74</v>
      </c>
      <c r="AX298" t="s">
        <v>74</v>
      </c>
      <c r="AY298" t="s">
        <v>74</v>
      </c>
      <c r="AZ298" t="s">
        <v>74</v>
      </c>
      <c r="BA298" t="s">
        <v>74</v>
      </c>
      <c r="BB298">
        <v>158</v>
      </c>
      <c r="BC298">
        <v>163</v>
      </c>
      <c r="BD298" t="s">
        <v>74</v>
      </c>
      <c r="BE298" t="s">
        <v>6200</v>
      </c>
      <c r="BF298" t="str">
        <f>HYPERLINK("http://dx.doi.org/10.1016/j.quageo.2015.02.028","http://dx.doi.org/10.1016/j.quageo.2015.02.028")</f>
        <v>http://dx.doi.org/10.1016/j.quageo.2015.02.028</v>
      </c>
      <c r="BG298" t="s">
        <v>74</v>
      </c>
      <c r="BH298" t="s">
        <v>74</v>
      </c>
      <c r="BI298">
        <v>6</v>
      </c>
      <c r="BJ298" t="s">
        <v>795</v>
      </c>
      <c r="BK298" t="s">
        <v>100</v>
      </c>
      <c r="BL298" t="s">
        <v>796</v>
      </c>
      <c r="BM298" t="s">
        <v>6201</v>
      </c>
      <c r="BN298" t="s">
        <v>74</v>
      </c>
      <c r="BO298" t="s">
        <v>74</v>
      </c>
      <c r="BP298" t="s">
        <v>74</v>
      </c>
      <c r="BQ298" t="s">
        <v>74</v>
      </c>
      <c r="BR298" t="s">
        <v>104</v>
      </c>
      <c r="BS298" t="s">
        <v>6202</v>
      </c>
      <c r="BT298" t="str">
        <f>HYPERLINK("https%3A%2F%2Fwww.webofscience.com%2Fwos%2Fwoscc%2Ffull-record%2FWOS:000353080300013","View Full Record in Web of Science")</f>
        <v>View Full Record in Web of Science</v>
      </c>
    </row>
    <row r="299" spans="1:72" x14ac:dyDescent="0.15">
      <c r="A299" t="s">
        <v>72</v>
      </c>
      <c r="B299" t="s">
        <v>6203</v>
      </c>
      <c r="C299" t="s">
        <v>74</v>
      </c>
      <c r="D299" t="s">
        <v>74</v>
      </c>
      <c r="E299" t="s">
        <v>74</v>
      </c>
      <c r="F299" t="s">
        <v>6204</v>
      </c>
      <c r="G299" t="s">
        <v>74</v>
      </c>
      <c r="H299" t="s">
        <v>74</v>
      </c>
      <c r="I299" t="s">
        <v>6205</v>
      </c>
      <c r="J299" t="s">
        <v>6206</v>
      </c>
      <c r="K299" t="s">
        <v>74</v>
      </c>
      <c r="L299" t="s">
        <v>74</v>
      </c>
      <c r="M299" t="s">
        <v>78</v>
      </c>
      <c r="N299" t="s">
        <v>79</v>
      </c>
      <c r="O299" t="s">
        <v>74</v>
      </c>
      <c r="P299" t="s">
        <v>74</v>
      </c>
      <c r="Q299" t="s">
        <v>74</v>
      </c>
      <c r="R299" t="s">
        <v>74</v>
      </c>
      <c r="S299" t="s">
        <v>74</v>
      </c>
      <c r="T299" t="s">
        <v>6207</v>
      </c>
      <c r="U299" t="s">
        <v>6208</v>
      </c>
      <c r="V299" t="s">
        <v>6209</v>
      </c>
      <c r="W299" t="s">
        <v>6210</v>
      </c>
      <c r="X299" t="s">
        <v>6211</v>
      </c>
      <c r="Y299" t="s">
        <v>6212</v>
      </c>
      <c r="Z299" t="s">
        <v>6213</v>
      </c>
      <c r="AA299" t="s">
        <v>6214</v>
      </c>
      <c r="AB299" t="s">
        <v>6215</v>
      </c>
      <c r="AC299" t="s">
        <v>6216</v>
      </c>
      <c r="AD299" t="s">
        <v>6217</v>
      </c>
      <c r="AE299" t="s">
        <v>6218</v>
      </c>
      <c r="AF299" t="s">
        <v>74</v>
      </c>
      <c r="AG299">
        <v>50</v>
      </c>
      <c r="AH299">
        <v>20</v>
      </c>
      <c r="AI299">
        <v>20</v>
      </c>
      <c r="AJ299">
        <v>1</v>
      </c>
      <c r="AK299">
        <v>28</v>
      </c>
      <c r="AL299" t="s">
        <v>1508</v>
      </c>
      <c r="AM299" t="s">
        <v>92</v>
      </c>
      <c r="AN299" t="s">
        <v>93</v>
      </c>
      <c r="AO299" t="s">
        <v>6219</v>
      </c>
      <c r="AP299" t="s">
        <v>6220</v>
      </c>
      <c r="AQ299" t="s">
        <v>74</v>
      </c>
      <c r="AR299" t="s">
        <v>6206</v>
      </c>
      <c r="AS299" t="s">
        <v>6221</v>
      </c>
      <c r="AT299" t="s">
        <v>5327</v>
      </c>
      <c r="AU299">
        <v>2015</v>
      </c>
      <c r="AV299">
        <v>62</v>
      </c>
      <c r="AW299">
        <v>3</v>
      </c>
      <c r="AX299" t="s">
        <v>74</v>
      </c>
      <c r="AY299" t="s">
        <v>74</v>
      </c>
      <c r="AZ299" t="s">
        <v>74</v>
      </c>
      <c r="BA299" t="s">
        <v>74</v>
      </c>
      <c r="BB299">
        <v>826</v>
      </c>
      <c r="BC299">
        <v>844</v>
      </c>
      <c r="BD299" t="s">
        <v>74</v>
      </c>
      <c r="BE299" t="s">
        <v>6222</v>
      </c>
      <c r="BF299" t="str">
        <f>HYPERLINK("http://dx.doi.org/10.1111/sed.12162","http://dx.doi.org/10.1111/sed.12162")</f>
        <v>http://dx.doi.org/10.1111/sed.12162</v>
      </c>
      <c r="BG299" t="s">
        <v>74</v>
      </c>
      <c r="BH299" t="s">
        <v>74</v>
      </c>
      <c r="BI299">
        <v>19</v>
      </c>
      <c r="BJ299" t="s">
        <v>220</v>
      </c>
      <c r="BK299" t="s">
        <v>100</v>
      </c>
      <c r="BL299" t="s">
        <v>220</v>
      </c>
      <c r="BM299" t="s">
        <v>6223</v>
      </c>
      <c r="BN299" t="s">
        <v>74</v>
      </c>
      <c r="BO299" t="s">
        <v>156</v>
      </c>
      <c r="BP299" t="s">
        <v>74</v>
      </c>
      <c r="BQ299" t="s">
        <v>74</v>
      </c>
      <c r="BR299" t="s">
        <v>104</v>
      </c>
      <c r="BS299" t="s">
        <v>6224</v>
      </c>
      <c r="BT299" t="str">
        <f>HYPERLINK("https%3A%2F%2Fwww.webofscience.com%2Fwos%2Fwoscc%2Ffull-record%2FWOS:000352545500009","View Full Record in Web of Science")</f>
        <v>View Full Record in Web of Science</v>
      </c>
    </row>
    <row r="300" spans="1:72" x14ac:dyDescent="0.15">
      <c r="A300" t="s">
        <v>72</v>
      </c>
      <c r="B300" t="s">
        <v>6225</v>
      </c>
      <c r="C300" t="s">
        <v>74</v>
      </c>
      <c r="D300" t="s">
        <v>74</v>
      </c>
      <c r="E300" t="s">
        <v>74</v>
      </c>
      <c r="F300" t="s">
        <v>6226</v>
      </c>
      <c r="G300" t="s">
        <v>74</v>
      </c>
      <c r="H300" t="s">
        <v>74</v>
      </c>
      <c r="I300" t="s">
        <v>6227</v>
      </c>
      <c r="J300" t="s">
        <v>6228</v>
      </c>
      <c r="K300" t="s">
        <v>74</v>
      </c>
      <c r="L300" t="s">
        <v>74</v>
      </c>
      <c r="M300" t="s">
        <v>78</v>
      </c>
      <c r="N300" t="s">
        <v>79</v>
      </c>
      <c r="O300" t="s">
        <v>74</v>
      </c>
      <c r="P300" t="s">
        <v>74</v>
      </c>
      <c r="Q300" t="s">
        <v>74</v>
      </c>
      <c r="R300" t="s">
        <v>74</v>
      </c>
      <c r="S300" t="s">
        <v>74</v>
      </c>
      <c r="T300" t="s">
        <v>74</v>
      </c>
      <c r="U300" t="s">
        <v>6229</v>
      </c>
      <c r="V300" t="s">
        <v>6230</v>
      </c>
      <c r="W300" t="s">
        <v>6231</v>
      </c>
      <c r="X300" t="s">
        <v>6232</v>
      </c>
      <c r="Y300" t="s">
        <v>6233</v>
      </c>
      <c r="Z300" t="s">
        <v>6234</v>
      </c>
      <c r="AA300" t="s">
        <v>6235</v>
      </c>
      <c r="AB300" t="s">
        <v>6236</v>
      </c>
      <c r="AC300" t="s">
        <v>6237</v>
      </c>
      <c r="AD300" t="s">
        <v>6238</v>
      </c>
      <c r="AE300" t="s">
        <v>6239</v>
      </c>
      <c r="AF300" t="s">
        <v>74</v>
      </c>
      <c r="AG300">
        <v>54</v>
      </c>
      <c r="AH300">
        <v>9</v>
      </c>
      <c r="AI300">
        <v>9</v>
      </c>
      <c r="AJ300">
        <v>1</v>
      </c>
      <c r="AK300">
        <v>22</v>
      </c>
      <c r="AL300" t="s">
        <v>6240</v>
      </c>
      <c r="AM300" t="s">
        <v>6241</v>
      </c>
      <c r="AN300" t="s">
        <v>6242</v>
      </c>
      <c r="AO300" t="s">
        <v>6243</v>
      </c>
      <c r="AP300" t="s">
        <v>6244</v>
      </c>
      <c r="AQ300" t="s">
        <v>74</v>
      </c>
      <c r="AR300" t="s">
        <v>6228</v>
      </c>
      <c r="AS300" t="s">
        <v>6245</v>
      </c>
      <c r="AT300" t="s">
        <v>5866</v>
      </c>
      <c r="AU300">
        <v>2015</v>
      </c>
      <c r="AV300">
        <v>15</v>
      </c>
      <c r="AW300">
        <v>4</v>
      </c>
      <c r="AX300" t="s">
        <v>74</v>
      </c>
      <c r="AY300" t="s">
        <v>74</v>
      </c>
      <c r="AZ300" t="s">
        <v>74</v>
      </c>
      <c r="BA300" t="s">
        <v>74</v>
      </c>
      <c r="BB300">
        <v>268</v>
      </c>
      <c r="BC300">
        <v>282</v>
      </c>
      <c r="BD300" t="s">
        <v>74</v>
      </c>
      <c r="BE300" t="s">
        <v>6246</v>
      </c>
      <c r="BF300" t="str">
        <f>HYPERLINK("http://dx.doi.org/10.1089/ast.2014.1196","http://dx.doi.org/10.1089/ast.2014.1196")</f>
        <v>http://dx.doi.org/10.1089/ast.2014.1196</v>
      </c>
      <c r="BG300" t="s">
        <v>74</v>
      </c>
      <c r="BH300" t="s">
        <v>74</v>
      </c>
      <c r="BI300">
        <v>15</v>
      </c>
      <c r="BJ300" t="s">
        <v>6247</v>
      </c>
      <c r="BK300" t="s">
        <v>100</v>
      </c>
      <c r="BL300" t="s">
        <v>6248</v>
      </c>
      <c r="BM300" t="s">
        <v>6249</v>
      </c>
      <c r="BN300">
        <v>25836367</v>
      </c>
      <c r="BO300" t="s">
        <v>74</v>
      </c>
      <c r="BP300" t="s">
        <v>74</v>
      </c>
      <c r="BQ300" t="s">
        <v>74</v>
      </c>
      <c r="BR300" t="s">
        <v>104</v>
      </c>
      <c r="BS300" t="s">
        <v>6250</v>
      </c>
      <c r="BT300" t="str">
        <f>HYPERLINK("https%3A%2F%2Fwww.webofscience.com%2Fwos%2Fwoscc%2Ffull-record%2FWOS:000352630200002","View Full Record in Web of Science")</f>
        <v>View Full Record in Web of Science</v>
      </c>
    </row>
    <row r="301" spans="1:72" x14ac:dyDescent="0.15">
      <c r="A301" t="s">
        <v>72</v>
      </c>
      <c r="B301" t="s">
        <v>6251</v>
      </c>
      <c r="C301" t="s">
        <v>74</v>
      </c>
      <c r="D301" t="s">
        <v>74</v>
      </c>
      <c r="E301" t="s">
        <v>74</v>
      </c>
      <c r="F301" t="s">
        <v>6252</v>
      </c>
      <c r="G301" t="s">
        <v>74</v>
      </c>
      <c r="H301" t="s">
        <v>74</v>
      </c>
      <c r="I301" t="s">
        <v>6253</v>
      </c>
      <c r="J301" t="s">
        <v>6254</v>
      </c>
      <c r="K301" t="s">
        <v>74</v>
      </c>
      <c r="L301" t="s">
        <v>74</v>
      </c>
      <c r="M301" t="s">
        <v>78</v>
      </c>
      <c r="N301" t="s">
        <v>52</v>
      </c>
      <c r="O301" t="s">
        <v>6255</v>
      </c>
      <c r="P301" t="s">
        <v>6256</v>
      </c>
      <c r="Q301" t="s">
        <v>6257</v>
      </c>
      <c r="R301" t="s">
        <v>74</v>
      </c>
      <c r="S301" t="s">
        <v>74</v>
      </c>
      <c r="T301" t="s">
        <v>74</v>
      </c>
      <c r="U301" t="s">
        <v>74</v>
      </c>
      <c r="V301" t="s">
        <v>74</v>
      </c>
      <c r="W301" t="s">
        <v>6258</v>
      </c>
      <c r="X301" t="s">
        <v>6259</v>
      </c>
      <c r="Y301" t="s">
        <v>74</v>
      </c>
      <c r="Z301" t="s">
        <v>6260</v>
      </c>
      <c r="AA301" t="s">
        <v>6261</v>
      </c>
      <c r="AB301" t="s">
        <v>6262</v>
      </c>
      <c r="AC301" t="s">
        <v>74</v>
      </c>
      <c r="AD301" t="s">
        <v>74</v>
      </c>
      <c r="AE301" t="s">
        <v>74</v>
      </c>
      <c r="AF301" t="s">
        <v>74</v>
      </c>
      <c r="AG301">
        <v>0</v>
      </c>
      <c r="AH301">
        <v>0</v>
      </c>
      <c r="AI301">
        <v>0</v>
      </c>
      <c r="AJ301">
        <v>0</v>
      </c>
      <c r="AK301">
        <v>2</v>
      </c>
      <c r="AL301" t="s">
        <v>1411</v>
      </c>
      <c r="AM301" t="s">
        <v>1412</v>
      </c>
      <c r="AN301" t="s">
        <v>1413</v>
      </c>
      <c r="AO301" t="s">
        <v>6263</v>
      </c>
      <c r="AP301" t="s">
        <v>6264</v>
      </c>
      <c r="AQ301" t="s">
        <v>74</v>
      </c>
      <c r="AR301" t="s">
        <v>6265</v>
      </c>
      <c r="AS301" t="s">
        <v>6266</v>
      </c>
      <c r="AT301" t="s">
        <v>5327</v>
      </c>
      <c r="AU301">
        <v>2015</v>
      </c>
      <c r="AV301">
        <v>55</v>
      </c>
      <c r="AW301" t="s">
        <v>74</v>
      </c>
      <c r="AX301" t="s">
        <v>74</v>
      </c>
      <c r="AY301">
        <v>1</v>
      </c>
      <c r="AZ301" t="s">
        <v>74</v>
      </c>
      <c r="BA301" t="s">
        <v>6267</v>
      </c>
      <c r="BB301" t="s">
        <v>6268</v>
      </c>
      <c r="BC301" t="s">
        <v>6268</v>
      </c>
      <c r="BD301" t="s">
        <v>74</v>
      </c>
      <c r="BE301" t="s">
        <v>74</v>
      </c>
      <c r="BF301" t="s">
        <v>74</v>
      </c>
      <c r="BG301" t="s">
        <v>74</v>
      </c>
      <c r="BH301" t="s">
        <v>74</v>
      </c>
      <c r="BI301">
        <v>1</v>
      </c>
      <c r="BJ301" t="s">
        <v>509</v>
      </c>
      <c r="BK301" t="s">
        <v>1247</v>
      </c>
      <c r="BL301" t="s">
        <v>509</v>
      </c>
      <c r="BM301" t="s">
        <v>6269</v>
      </c>
      <c r="BN301" t="s">
        <v>74</v>
      </c>
      <c r="BO301" t="s">
        <v>74</v>
      </c>
      <c r="BP301" t="s">
        <v>74</v>
      </c>
      <c r="BQ301" t="s">
        <v>74</v>
      </c>
      <c r="BR301" t="s">
        <v>104</v>
      </c>
      <c r="BS301" t="s">
        <v>6270</v>
      </c>
      <c r="BT301" t="str">
        <f>HYPERLINK("https%3A%2F%2Fwww.webofscience.com%2Fwos%2Fwoscc%2Ffull-record%2FWOS:000352658401257","View Full Record in Web of Science")</f>
        <v>View Full Record in Web of Science</v>
      </c>
    </row>
    <row r="302" spans="1:72" x14ac:dyDescent="0.15">
      <c r="A302" t="s">
        <v>72</v>
      </c>
      <c r="B302" t="s">
        <v>6271</v>
      </c>
      <c r="C302" t="s">
        <v>74</v>
      </c>
      <c r="D302" t="s">
        <v>74</v>
      </c>
      <c r="E302" t="s">
        <v>74</v>
      </c>
      <c r="F302" t="s">
        <v>6272</v>
      </c>
      <c r="G302" t="s">
        <v>74</v>
      </c>
      <c r="H302" t="s">
        <v>74</v>
      </c>
      <c r="I302" t="s">
        <v>6273</v>
      </c>
      <c r="J302" t="s">
        <v>6254</v>
      </c>
      <c r="K302" t="s">
        <v>74</v>
      </c>
      <c r="L302" t="s">
        <v>74</v>
      </c>
      <c r="M302" t="s">
        <v>78</v>
      </c>
      <c r="N302" t="s">
        <v>52</v>
      </c>
      <c r="O302" t="s">
        <v>6255</v>
      </c>
      <c r="P302" t="s">
        <v>6256</v>
      </c>
      <c r="Q302" t="s">
        <v>6257</v>
      </c>
      <c r="R302" t="s">
        <v>74</v>
      </c>
      <c r="S302" t="s">
        <v>74</v>
      </c>
      <c r="T302" t="s">
        <v>74</v>
      </c>
      <c r="U302" t="s">
        <v>74</v>
      </c>
      <c r="V302" t="s">
        <v>74</v>
      </c>
      <c r="W302" t="s">
        <v>6274</v>
      </c>
      <c r="X302" t="s">
        <v>6275</v>
      </c>
      <c r="Y302" t="s">
        <v>74</v>
      </c>
      <c r="Z302" t="s">
        <v>6276</v>
      </c>
      <c r="AA302" t="s">
        <v>6277</v>
      </c>
      <c r="AB302" t="s">
        <v>74</v>
      </c>
      <c r="AC302" t="s">
        <v>74</v>
      </c>
      <c r="AD302" t="s">
        <v>74</v>
      </c>
      <c r="AE302" t="s">
        <v>74</v>
      </c>
      <c r="AF302" t="s">
        <v>74</v>
      </c>
      <c r="AG302">
        <v>0</v>
      </c>
      <c r="AH302">
        <v>0</v>
      </c>
      <c r="AI302">
        <v>0</v>
      </c>
      <c r="AJ302">
        <v>0</v>
      </c>
      <c r="AK302">
        <v>2</v>
      </c>
      <c r="AL302" t="s">
        <v>1411</v>
      </c>
      <c r="AM302" t="s">
        <v>1412</v>
      </c>
      <c r="AN302" t="s">
        <v>1413</v>
      </c>
      <c r="AO302" t="s">
        <v>6263</v>
      </c>
      <c r="AP302" t="s">
        <v>6264</v>
      </c>
      <c r="AQ302" t="s">
        <v>74</v>
      </c>
      <c r="AR302" t="s">
        <v>6265</v>
      </c>
      <c r="AS302" t="s">
        <v>6266</v>
      </c>
      <c r="AT302" t="s">
        <v>5327</v>
      </c>
      <c r="AU302">
        <v>2015</v>
      </c>
      <c r="AV302">
        <v>55</v>
      </c>
      <c r="AW302" t="s">
        <v>74</v>
      </c>
      <c r="AX302" t="s">
        <v>74</v>
      </c>
      <c r="AY302">
        <v>1</v>
      </c>
      <c r="AZ302" t="s">
        <v>74</v>
      </c>
      <c r="BA302">
        <v>55.4</v>
      </c>
      <c r="BB302" t="s">
        <v>6278</v>
      </c>
      <c r="BC302" t="s">
        <v>6278</v>
      </c>
      <c r="BD302" t="s">
        <v>74</v>
      </c>
      <c r="BE302" t="s">
        <v>74</v>
      </c>
      <c r="BF302" t="s">
        <v>74</v>
      </c>
      <c r="BG302" t="s">
        <v>74</v>
      </c>
      <c r="BH302" t="s">
        <v>74</v>
      </c>
      <c r="BI302">
        <v>1</v>
      </c>
      <c r="BJ302" t="s">
        <v>509</v>
      </c>
      <c r="BK302" t="s">
        <v>1247</v>
      </c>
      <c r="BL302" t="s">
        <v>509</v>
      </c>
      <c r="BM302" t="s">
        <v>6269</v>
      </c>
      <c r="BN302" t="s">
        <v>74</v>
      </c>
      <c r="BO302" t="s">
        <v>74</v>
      </c>
      <c r="BP302" t="s">
        <v>74</v>
      </c>
      <c r="BQ302" t="s">
        <v>74</v>
      </c>
      <c r="BR302" t="s">
        <v>104</v>
      </c>
      <c r="BS302" t="s">
        <v>6279</v>
      </c>
      <c r="BT302" t="str">
        <f>HYPERLINK("https%3A%2F%2Fwww.webofscience.com%2Fwos%2Fwoscc%2Ffull-record%2FWOS:000352658400248","View Full Record in Web of Science")</f>
        <v>View Full Record in Web of Science</v>
      </c>
    </row>
    <row r="303" spans="1:72" x14ac:dyDescent="0.15">
      <c r="A303" t="s">
        <v>72</v>
      </c>
      <c r="B303" t="s">
        <v>6280</v>
      </c>
      <c r="C303" t="s">
        <v>74</v>
      </c>
      <c r="D303" t="s">
        <v>74</v>
      </c>
      <c r="E303" t="s">
        <v>74</v>
      </c>
      <c r="F303" t="s">
        <v>6281</v>
      </c>
      <c r="G303" t="s">
        <v>74</v>
      </c>
      <c r="H303" t="s">
        <v>74</v>
      </c>
      <c r="I303" t="s">
        <v>6282</v>
      </c>
      <c r="J303" t="s">
        <v>6254</v>
      </c>
      <c r="K303" t="s">
        <v>74</v>
      </c>
      <c r="L303" t="s">
        <v>74</v>
      </c>
      <c r="M303" t="s">
        <v>78</v>
      </c>
      <c r="N303" t="s">
        <v>52</v>
      </c>
      <c r="O303" t="s">
        <v>6255</v>
      </c>
      <c r="P303" t="s">
        <v>6256</v>
      </c>
      <c r="Q303" t="s">
        <v>6257</v>
      </c>
      <c r="R303" t="s">
        <v>74</v>
      </c>
      <c r="S303" t="s">
        <v>74</v>
      </c>
      <c r="T303" t="s">
        <v>74</v>
      </c>
      <c r="U303" t="s">
        <v>74</v>
      </c>
      <c r="V303" t="s">
        <v>74</v>
      </c>
      <c r="W303" t="s">
        <v>6283</v>
      </c>
      <c r="X303" t="s">
        <v>6284</v>
      </c>
      <c r="Y303" t="s">
        <v>74</v>
      </c>
      <c r="Z303" t="s">
        <v>6285</v>
      </c>
      <c r="AA303" t="s">
        <v>6277</v>
      </c>
      <c r="AB303" t="s">
        <v>74</v>
      </c>
      <c r="AC303" t="s">
        <v>74</v>
      </c>
      <c r="AD303" t="s">
        <v>74</v>
      </c>
      <c r="AE303" t="s">
        <v>74</v>
      </c>
      <c r="AF303" t="s">
        <v>74</v>
      </c>
      <c r="AG303">
        <v>0</v>
      </c>
      <c r="AH303">
        <v>0</v>
      </c>
      <c r="AI303">
        <v>0</v>
      </c>
      <c r="AJ303">
        <v>0</v>
      </c>
      <c r="AK303">
        <v>1</v>
      </c>
      <c r="AL303" t="s">
        <v>1411</v>
      </c>
      <c r="AM303" t="s">
        <v>1412</v>
      </c>
      <c r="AN303" t="s">
        <v>1413</v>
      </c>
      <c r="AO303" t="s">
        <v>6263</v>
      </c>
      <c r="AP303" t="s">
        <v>6264</v>
      </c>
      <c r="AQ303" t="s">
        <v>74</v>
      </c>
      <c r="AR303" t="s">
        <v>6265</v>
      </c>
      <c r="AS303" t="s">
        <v>6266</v>
      </c>
      <c r="AT303" t="s">
        <v>5327</v>
      </c>
      <c r="AU303">
        <v>2015</v>
      </c>
      <c r="AV303">
        <v>55</v>
      </c>
      <c r="AW303" t="s">
        <v>74</v>
      </c>
      <c r="AX303" t="s">
        <v>74</v>
      </c>
      <c r="AY303">
        <v>1</v>
      </c>
      <c r="AZ303" t="s">
        <v>74</v>
      </c>
      <c r="BA303">
        <v>55.7</v>
      </c>
      <c r="BB303" t="s">
        <v>6286</v>
      </c>
      <c r="BC303" t="s">
        <v>6286</v>
      </c>
      <c r="BD303" t="s">
        <v>74</v>
      </c>
      <c r="BE303" t="s">
        <v>74</v>
      </c>
      <c r="BF303" t="s">
        <v>74</v>
      </c>
      <c r="BG303" t="s">
        <v>74</v>
      </c>
      <c r="BH303" t="s">
        <v>74</v>
      </c>
      <c r="BI303">
        <v>1</v>
      </c>
      <c r="BJ303" t="s">
        <v>509</v>
      </c>
      <c r="BK303" t="s">
        <v>1247</v>
      </c>
      <c r="BL303" t="s">
        <v>509</v>
      </c>
      <c r="BM303" t="s">
        <v>6269</v>
      </c>
      <c r="BN303" t="s">
        <v>74</v>
      </c>
      <c r="BO303" t="s">
        <v>74</v>
      </c>
      <c r="BP303" t="s">
        <v>74</v>
      </c>
      <c r="BQ303" t="s">
        <v>74</v>
      </c>
      <c r="BR303" t="s">
        <v>104</v>
      </c>
      <c r="BS303" t="s">
        <v>6287</v>
      </c>
      <c r="BT303" t="str">
        <f>HYPERLINK("https%3A%2F%2Fwww.webofscience.com%2Fwos%2Fwoscc%2Ffull-record%2FWOS:000352658400296","View Full Record in Web of Science")</f>
        <v>View Full Record in Web of Science</v>
      </c>
    </row>
    <row r="304" spans="1:72" x14ac:dyDescent="0.15">
      <c r="A304" t="s">
        <v>72</v>
      </c>
      <c r="B304" t="s">
        <v>6288</v>
      </c>
      <c r="C304" t="s">
        <v>74</v>
      </c>
      <c r="D304" t="s">
        <v>74</v>
      </c>
      <c r="E304" t="s">
        <v>74</v>
      </c>
      <c r="F304" t="s">
        <v>6289</v>
      </c>
      <c r="G304" t="s">
        <v>74</v>
      </c>
      <c r="H304" t="s">
        <v>74</v>
      </c>
      <c r="I304" t="s">
        <v>6290</v>
      </c>
      <c r="J304" t="s">
        <v>6254</v>
      </c>
      <c r="K304" t="s">
        <v>74</v>
      </c>
      <c r="L304" t="s">
        <v>74</v>
      </c>
      <c r="M304" t="s">
        <v>78</v>
      </c>
      <c r="N304" t="s">
        <v>52</v>
      </c>
      <c r="O304" t="s">
        <v>6255</v>
      </c>
      <c r="P304" t="s">
        <v>6256</v>
      </c>
      <c r="Q304" t="s">
        <v>6257</v>
      </c>
      <c r="R304" t="s">
        <v>74</v>
      </c>
      <c r="S304" t="s">
        <v>74</v>
      </c>
      <c r="T304" t="s">
        <v>74</v>
      </c>
      <c r="U304" t="s">
        <v>74</v>
      </c>
      <c r="V304" t="s">
        <v>74</v>
      </c>
      <c r="W304" t="s">
        <v>6291</v>
      </c>
      <c r="X304" t="s">
        <v>6292</v>
      </c>
      <c r="Y304" t="s">
        <v>74</v>
      </c>
      <c r="Z304" t="s">
        <v>6293</v>
      </c>
      <c r="AA304" t="s">
        <v>6294</v>
      </c>
      <c r="AB304" t="s">
        <v>6295</v>
      </c>
      <c r="AC304" t="s">
        <v>74</v>
      </c>
      <c r="AD304" t="s">
        <v>74</v>
      </c>
      <c r="AE304" t="s">
        <v>74</v>
      </c>
      <c r="AF304" t="s">
        <v>74</v>
      </c>
      <c r="AG304">
        <v>0</v>
      </c>
      <c r="AH304">
        <v>0</v>
      </c>
      <c r="AI304">
        <v>0</v>
      </c>
      <c r="AJ304">
        <v>0</v>
      </c>
      <c r="AK304">
        <v>0</v>
      </c>
      <c r="AL304" t="s">
        <v>1411</v>
      </c>
      <c r="AM304" t="s">
        <v>1412</v>
      </c>
      <c r="AN304" t="s">
        <v>1413</v>
      </c>
      <c r="AO304" t="s">
        <v>6263</v>
      </c>
      <c r="AP304" t="s">
        <v>6264</v>
      </c>
      <c r="AQ304" t="s">
        <v>74</v>
      </c>
      <c r="AR304" t="s">
        <v>6265</v>
      </c>
      <c r="AS304" t="s">
        <v>6266</v>
      </c>
      <c r="AT304" t="s">
        <v>5327</v>
      </c>
      <c r="AU304">
        <v>2015</v>
      </c>
      <c r="AV304">
        <v>55</v>
      </c>
      <c r="AW304" t="s">
        <v>74</v>
      </c>
      <c r="AX304" t="s">
        <v>74</v>
      </c>
      <c r="AY304">
        <v>1</v>
      </c>
      <c r="AZ304" t="s">
        <v>74</v>
      </c>
      <c r="BA304" t="s">
        <v>6296</v>
      </c>
      <c r="BB304" t="s">
        <v>6297</v>
      </c>
      <c r="BC304" t="s">
        <v>6297</v>
      </c>
      <c r="BD304" t="s">
        <v>74</v>
      </c>
      <c r="BE304" t="s">
        <v>74</v>
      </c>
      <c r="BF304" t="s">
        <v>74</v>
      </c>
      <c r="BG304" t="s">
        <v>74</v>
      </c>
      <c r="BH304" t="s">
        <v>74</v>
      </c>
      <c r="BI304">
        <v>1</v>
      </c>
      <c r="BJ304" t="s">
        <v>509</v>
      </c>
      <c r="BK304" t="s">
        <v>1247</v>
      </c>
      <c r="BL304" t="s">
        <v>509</v>
      </c>
      <c r="BM304" t="s">
        <v>6269</v>
      </c>
      <c r="BN304" t="s">
        <v>74</v>
      </c>
      <c r="BO304" t="s">
        <v>74</v>
      </c>
      <c r="BP304" t="s">
        <v>74</v>
      </c>
      <c r="BQ304" t="s">
        <v>74</v>
      </c>
      <c r="BR304" t="s">
        <v>104</v>
      </c>
      <c r="BS304" t="s">
        <v>6298</v>
      </c>
      <c r="BT304" t="str">
        <f>HYPERLINK("https%3A%2F%2Fwww.webofscience.com%2Fwos%2Fwoscc%2Ffull-record%2FWOS:000352658401385","View Full Record in Web of Science")</f>
        <v>View Full Record in Web of Science</v>
      </c>
    </row>
    <row r="305" spans="1:72" x14ac:dyDescent="0.15">
      <c r="A305" t="s">
        <v>72</v>
      </c>
      <c r="B305" t="s">
        <v>6299</v>
      </c>
      <c r="C305" t="s">
        <v>74</v>
      </c>
      <c r="D305" t="s">
        <v>74</v>
      </c>
      <c r="E305" t="s">
        <v>74</v>
      </c>
      <c r="F305" t="s">
        <v>6300</v>
      </c>
      <c r="G305" t="s">
        <v>74</v>
      </c>
      <c r="H305" t="s">
        <v>74</v>
      </c>
      <c r="I305" t="s">
        <v>6301</v>
      </c>
      <c r="J305" t="s">
        <v>6254</v>
      </c>
      <c r="K305" t="s">
        <v>74</v>
      </c>
      <c r="L305" t="s">
        <v>74</v>
      </c>
      <c r="M305" t="s">
        <v>78</v>
      </c>
      <c r="N305" t="s">
        <v>52</v>
      </c>
      <c r="O305" t="s">
        <v>6255</v>
      </c>
      <c r="P305" t="s">
        <v>6256</v>
      </c>
      <c r="Q305" t="s">
        <v>6257</v>
      </c>
      <c r="R305" t="s">
        <v>74</v>
      </c>
      <c r="S305" t="s">
        <v>74</v>
      </c>
      <c r="T305" t="s">
        <v>74</v>
      </c>
      <c r="U305" t="s">
        <v>74</v>
      </c>
      <c r="V305" t="s">
        <v>74</v>
      </c>
      <c r="W305" t="s">
        <v>6283</v>
      </c>
      <c r="X305" t="s">
        <v>6284</v>
      </c>
      <c r="Y305" t="s">
        <v>74</v>
      </c>
      <c r="Z305" t="s">
        <v>6302</v>
      </c>
      <c r="AA305" t="s">
        <v>6303</v>
      </c>
      <c r="AB305" t="s">
        <v>74</v>
      </c>
      <c r="AC305" t="s">
        <v>74</v>
      </c>
      <c r="AD305" t="s">
        <v>74</v>
      </c>
      <c r="AE305" t="s">
        <v>74</v>
      </c>
      <c r="AF305" t="s">
        <v>74</v>
      </c>
      <c r="AG305">
        <v>0</v>
      </c>
      <c r="AH305">
        <v>0</v>
      </c>
      <c r="AI305">
        <v>0</v>
      </c>
      <c r="AJ305">
        <v>0</v>
      </c>
      <c r="AK305">
        <v>4</v>
      </c>
      <c r="AL305" t="s">
        <v>1411</v>
      </c>
      <c r="AM305" t="s">
        <v>1412</v>
      </c>
      <c r="AN305" t="s">
        <v>1413</v>
      </c>
      <c r="AO305" t="s">
        <v>6263</v>
      </c>
      <c r="AP305" t="s">
        <v>6264</v>
      </c>
      <c r="AQ305" t="s">
        <v>74</v>
      </c>
      <c r="AR305" t="s">
        <v>6265</v>
      </c>
      <c r="AS305" t="s">
        <v>6266</v>
      </c>
      <c r="AT305" t="s">
        <v>5327</v>
      </c>
      <c r="AU305">
        <v>2015</v>
      </c>
      <c r="AV305">
        <v>55</v>
      </c>
      <c r="AW305" t="s">
        <v>74</v>
      </c>
      <c r="AX305" t="s">
        <v>74</v>
      </c>
      <c r="AY305">
        <v>1</v>
      </c>
      <c r="AZ305" t="s">
        <v>74</v>
      </c>
      <c r="BA305">
        <v>31.5</v>
      </c>
      <c r="BB305" t="s">
        <v>6304</v>
      </c>
      <c r="BC305" t="s">
        <v>6304</v>
      </c>
      <c r="BD305" t="s">
        <v>74</v>
      </c>
      <c r="BE305" t="s">
        <v>74</v>
      </c>
      <c r="BF305" t="s">
        <v>74</v>
      </c>
      <c r="BG305" t="s">
        <v>74</v>
      </c>
      <c r="BH305" t="s">
        <v>74</v>
      </c>
      <c r="BI305">
        <v>1</v>
      </c>
      <c r="BJ305" t="s">
        <v>509</v>
      </c>
      <c r="BK305" t="s">
        <v>1247</v>
      </c>
      <c r="BL305" t="s">
        <v>509</v>
      </c>
      <c r="BM305" t="s">
        <v>6269</v>
      </c>
      <c r="BN305" t="s">
        <v>74</v>
      </c>
      <c r="BO305" t="s">
        <v>74</v>
      </c>
      <c r="BP305" t="s">
        <v>74</v>
      </c>
      <c r="BQ305" t="s">
        <v>74</v>
      </c>
      <c r="BR305" t="s">
        <v>104</v>
      </c>
      <c r="BS305" t="s">
        <v>6305</v>
      </c>
      <c r="BT305" t="str">
        <f>HYPERLINK("https%3A%2F%2Fwww.webofscience.com%2Fwos%2Fwoscc%2Ffull-record%2FWOS:000352658400466","View Full Record in Web of Science")</f>
        <v>View Full Record in Web of Science</v>
      </c>
    </row>
    <row r="306" spans="1:72" x14ac:dyDescent="0.15">
      <c r="A306" t="s">
        <v>72</v>
      </c>
      <c r="B306" t="s">
        <v>6306</v>
      </c>
      <c r="C306" t="s">
        <v>74</v>
      </c>
      <c r="D306" t="s">
        <v>74</v>
      </c>
      <c r="E306" t="s">
        <v>74</v>
      </c>
      <c r="F306" t="s">
        <v>6307</v>
      </c>
      <c r="G306" t="s">
        <v>74</v>
      </c>
      <c r="H306" t="s">
        <v>74</v>
      </c>
      <c r="I306" t="s">
        <v>6308</v>
      </c>
      <c r="J306" t="s">
        <v>6254</v>
      </c>
      <c r="K306" t="s">
        <v>74</v>
      </c>
      <c r="L306" t="s">
        <v>74</v>
      </c>
      <c r="M306" t="s">
        <v>78</v>
      </c>
      <c r="N306" t="s">
        <v>52</v>
      </c>
      <c r="O306" t="s">
        <v>6255</v>
      </c>
      <c r="P306" t="s">
        <v>6256</v>
      </c>
      <c r="Q306" t="s">
        <v>6257</v>
      </c>
      <c r="R306" t="s">
        <v>74</v>
      </c>
      <c r="S306" t="s">
        <v>74</v>
      </c>
      <c r="T306" t="s">
        <v>74</v>
      </c>
      <c r="U306" t="s">
        <v>74</v>
      </c>
      <c r="V306" t="s">
        <v>74</v>
      </c>
      <c r="W306" t="s">
        <v>6309</v>
      </c>
      <c r="X306" t="s">
        <v>6310</v>
      </c>
      <c r="Y306" t="s">
        <v>74</v>
      </c>
      <c r="Z306" t="s">
        <v>6311</v>
      </c>
      <c r="AA306" t="s">
        <v>74</v>
      </c>
      <c r="AB306" t="s">
        <v>6312</v>
      </c>
      <c r="AC306" t="s">
        <v>74</v>
      </c>
      <c r="AD306" t="s">
        <v>74</v>
      </c>
      <c r="AE306" t="s">
        <v>74</v>
      </c>
      <c r="AF306" t="s">
        <v>74</v>
      </c>
      <c r="AG306">
        <v>0</v>
      </c>
      <c r="AH306">
        <v>0</v>
      </c>
      <c r="AI306">
        <v>0</v>
      </c>
      <c r="AJ306">
        <v>0</v>
      </c>
      <c r="AK306">
        <v>7</v>
      </c>
      <c r="AL306" t="s">
        <v>1411</v>
      </c>
      <c r="AM306" t="s">
        <v>1412</v>
      </c>
      <c r="AN306" t="s">
        <v>1413</v>
      </c>
      <c r="AO306" t="s">
        <v>6263</v>
      </c>
      <c r="AP306" t="s">
        <v>6264</v>
      </c>
      <c r="AQ306" t="s">
        <v>74</v>
      </c>
      <c r="AR306" t="s">
        <v>6265</v>
      </c>
      <c r="AS306" t="s">
        <v>6266</v>
      </c>
      <c r="AT306" t="s">
        <v>5327</v>
      </c>
      <c r="AU306">
        <v>2015</v>
      </c>
      <c r="AV306">
        <v>55</v>
      </c>
      <c r="AW306" t="s">
        <v>74</v>
      </c>
      <c r="AX306" t="s">
        <v>74</v>
      </c>
      <c r="AY306">
        <v>1</v>
      </c>
      <c r="AZ306" t="s">
        <v>74</v>
      </c>
      <c r="BA306" t="s">
        <v>6313</v>
      </c>
      <c r="BB306" t="s">
        <v>6314</v>
      </c>
      <c r="BC306" t="s">
        <v>6314</v>
      </c>
      <c r="BD306" t="s">
        <v>74</v>
      </c>
      <c r="BE306" t="s">
        <v>74</v>
      </c>
      <c r="BF306" t="s">
        <v>74</v>
      </c>
      <c r="BG306" t="s">
        <v>74</v>
      </c>
      <c r="BH306" t="s">
        <v>74</v>
      </c>
      <c r="BI306">
        <v>1</v>
      </c>
      <c r="BJ306" t="s">
        <v>509</v>
      </c>
      <c r="BK306" t="s">
        <v>1247</v>
      </c>
      <c r="BL306" t="s">
        <v>509</v>
      </c>
      <c r="BM306" t="s">
        <v>6269</v>
      </c>
      <c r="BN306" t="s">
        <v>74</v>
      </c>
      <c r="BO306" t="s">
        <v>74</v>
      </c>
      <c r="BP306" t="s">
        <v>74</v>
      </c>
      <c r="BQ306" t="s">
        <v>74</v>
      </c>
      <c r="BR306" t="s">
        <v>104</v>
      </c>
      <c r="BS306" t="s">
        <v>6315</v>
      </c>
      <c r="BT306" t="str">
        <f>HYPERLINK("https%3A%2F%2Fwww.webofscience.com%2Fwos%2Fwoscc%2Ffull-record%2FWOS:000352658400521","View Full Record in Web of Science")</f>
        <v>View Full Record in Web of Science</v>
      </c>
    </row>
    <row r="307" spans="1:72" x14ac:dyDescent="0.15">
      <c r="A307" t="s">
        <v>72</v>
      </c>
      <c r="B307" t="s">
        <v>6316</v>
      </c>
      <c r="C307" t="s">
        <v>74</v>
      </c>
      <c r="D307" t="s">
        <v>74</v>
      </c>
      <c r="E307" t="s">
        <v>74</v>
      </c>
      <c r="F307" t="s">
        <v>6317</v>
      </c>
      <c r="G307" t="s">
        <v>74</v>
      </c>
      <c r="H307" t="s">
        <v>74</v>
      </c>
      <c r="I307" t="s">
        <v>6318</v>
      </c>
      <c r="J307" t="s">
        <v>6254</v>
      </c>
      <c r="K307" t="s">
        <v>74</v>
      </c>
      <c r="L307" t="s">
        <v>74</v>
      </c>
      <c r="M307" t="s">
        <v>78</v>
      </c>
      <c r="N307" t="s">
        <v>52</v>
      </c>
      <c r="O307" t="s">
        <v>6255</v>
      </c>
      <c r="P307" t="s">
        <v>6256</v>
      </c>
      <c r="Q307" t="s">
        <v>6257</v>
      </c>
      <c r="R307" t="s">
        <v>74</v>
      </c>
      <c r="S307" t="s">
        <v>74</v>
      </c>
      <c r="T307" t="s">
        <v>74</v>
      </c>
      <c r="U307" t="s">
        <v>74</v>
      </c>
      <c r="V307" t="s">
        <v>74</v>
      </c>
      <c r="W307" t="s">
        <v>6319</v>
      </c>
      <c r="X307" t="s">
        <v>6320</v>
      </c>
      <c r="Y307" t="s">
        <v>74</v>
      </c>
      <c r="Z307" t="s">
        <v>6321</v>
      </c>
      <c r="AA307" t="s">
        <v>6322</v>
      </c>
      <c r="AB307" t="s">
        <v>74</v>
      </c>
      <c r="AC307" t="s">
        <v>74</v>
      </c>
      <c r="AD307" t="s">
        <v>74</v>
      </c>
      <c r="AE307" t="s">
        <v>74</v>
      </c>
      <c r="AF307" t="s">
        <v>74</v>
      </c>
      <c r="AG307">
        <v>0</v>
      </c>
      <c r="AH307">
        <v>0</v>
      </c>
      <c r="AI307">
        <v>0</v>
      </c>
      <c r="AJ307">
        <v>0</v>
      </c>
      <c r="AK307">
        <v>6</v>
      </c>
      <c r="AL307" t="s">
        <v>1411</v>
      </c>
      <c r="AM307" t="s">
        <v>1412</v>
      </c>
      <c r="AN307" t="s">
        <v>1413</v>
      </c>
      <c r="AO307" t="s">
        <v>6263</v>
      </c>
      <c r="AP307" t="s">
        <v>6264</v>
      </c>
      <c r="AQ307" t="s">
        <v>74</v>
      </c>
      <c r="AR307" t="s">
        <v>6265</v>
      </c>
      <c r="AS307" t="s">
        <v>6266</v>
      </c>
      <c r="AT307" t="s">
        <v>5327</v>
      </c>
      <c r="AU307">
        <v>2015</v>
      </c>
      <c r="AV307">
        <v>55</v>
      </c>
      <c r="AW307" t="s">
        <v>74</v>
      </c>
      <c r="AX307" t="s">
        <v>74</v>
      </c>
      <c r="AY307">
        <v>1</v>
      </c>
      <c r="AZ307" t="s">
        <v>74</v>
      </c>
      <c r="BA307">
        <v>71.400000000000006</v>
      </c>
      <c r="BB307" t="s">
        <v>6323</v>
      </c>
      <c r="BC307" t="s">
        <v>6323</v>
      </c>
      <c r="BD307" t="s">
        <v>74</v>
      </c>
      <c r="BE307" t="s">
        <v>74</v>
      </c>
      <c r="BF307" t="s">
        <v>74</v>
      </c>
      <c r="BG307" t="s">
        <v>74</v>
      </c>
      <c r="BH307" t="s">
        <v>74</v>
      </c>
      <c r="BI307">
        <v>1</v>
      </c>
      <c r="BJ307" t="s">
        <v>509</v>
      </c>
      <c r="BK307" t="s">
        <v>1247</v>
      </c>
      <c r="BL307" t="s">
        <v>509</v>
      </c>
      <c r="BM307" t="s">
        <v>6269</v>
      </c>
      <c r="BN307" t="s">
        <v>74</v>
      </c>
      <c r="BO307" t="s">
        <v>74</v>
      </c>
      <c r="BP307" t="s">
        <v>74</v>
      </c>
      <c r="BQ307" t="s">
        <v>74</v>
      </c>
      <c r="BR307" t="s">
        <v>104</v>
      </c>
      <c r="BS307" t="s">
        <v>6324</v>
      </c>
      <c r="BT307" t="str">
        <f>HYPERLINK("https%3A%2F%2Fwww.webofscience.com%2Fwos%2Fwoscc%2Ffull-record%2FWOS:000352658400650","View Full Record in Web of Science")</f>
        <v>View Full Record in Web of Science</v>
      </c>
    </row>
    <row r="308" spans="1:72" x14ac:dyDescent="0.15">
      <c r="A308" t="s">
        <v>72</v>
      </c>
      <c r="B308" t="s">
        <v>6325</v>
      </c>
      <c r="C308" t="s">
        <v>74</v>
      </c>
      <c r="D308" t="s">
        <v>74</v>
      </c>
      <c r="E308" t="s">
        <v>74</v>
      </c>
      <c r="F308" t="s">
        <v>6326</v>
      </c>
      <c r="G308" t="s">
        <v>74</v>
      </c>
      <c r="H308" t="s">
        <v>74</v>
      </c>
      <c r="I308" t="s">
        <v>6327</v>
      </c>
      <c r="J308" t="s">
        <v>6254</v>
      </c>
      <c r="K308" t="s">
        <v>74</v>
      </c>
      <c r="L308" t="s">
        <v>74</v>
      </c>
      <c r="M308" t="s">
        <v>78</v>
      </c>
      <c r="N308" t="s">
        <v>52</v>
      </c>
      <c r="O308" t="s">
        <v>6255</v>
      </c>
      <c r="P308" t="s">
        <v>6256</v>
      </c>
      <c r="Q308" t="s">
        <v>6257</v>
      </c>
      <c r="R308" t="s">
        <v>74</v>
      </c>
      <c r="S308" t="s">
        <v>74</v>
      </c>
      <c r="T308" t="s">
        <v>74</v>
      </c>
      <c r="U308" t="s">
        <v>74</v>
      </c>
      <c r="V308" t="s">
        <v>74</v>
      </c>
      <c r="W308" t="s">
        <v>6328</v>
      </c>
      <c r="X308" t="s">
        <v>6329</v>
      </c>
      <c r="Y308" t="s">
        <v>74</v>
      </c>
      <c r="Z308" t="s">
        <v>6330</v>
      </c>
      <c r="AA308" t="s">
        <v>6261</v>
      </c>
      <c r="AB308" t="s">
        <v>6262</v>
      </c>
      <c r="AC308" t="s">
        <v>74</v>
      </c>
      <c r="AD308" t="s">
        <v>74</v>
      </c>
      <c r="AE308" t="s">
        <v>74</v>
      </c>
      <c r="AF308" t="s">
        <v>74</v>
      </c>
      <c r="AG308">
        <v>0</v>
      </c>
      <c r="AH308">
        <v>0</v>
      </c>
      <c r="AI308">
        <v>0</v>
      </c>
      <c r="AJ308">
        <v>0</v>
      </c>
      <c r="AK308">
        <v>13</v>
      </c>
      <c r="AL308" t="s">
        <v>1411</v>
      </c>
      <c r="AM308" t="s">
        <v>1412</v>
      </c>
      <c r="AN308" t="s">
        <v>1413</v>
      </c>
      <c r="AO308" t="s">
        <v>6263</v>
      </c>
      <c r="AP308" t="s">
        <v>6264</v>
      </c>
      <c r="AQ308" t="s">
        <v>74</v>
      </c>
      <c r="AR308" t="s">
        <v>6265</v>
      </c>
      <c r="AS308" t="s">
        <v>6266</v>
      </c>
      <c r="AT308" t="s">
        <v>5327</v>
      </c>
      <c r="AU308">
        <v>2015</v>
      </c>
      <c r="AV308">
        <v>55</v>
      </c>
      <c r="AW308" t="s">
        <v>74</v>
      </c>
      <c r="AX308" t="s">
        <v>74</v>
      </c>
      <c r="AY308">
        <v>1</v>
      </c>
      <c r="AZ308" t="s">
        <v>74</v>
      </c>
      <c r="BA308">
        <v>76.3</v>
      </c>
      <c r="BB308" t="s">
        <v>6331</v>
      </c>
      <c r="BC308" t="s">
        <v>6331</v>
      </c>
      <c r="BD308" t="s">
        <v>74</v>
      </c>
      <c r="BE308" t="s">
        <v>74</v>
      </c>
      <c r="BF308" t="s">
        <v>74</v>
      </c>
      <c r="BG308" t="s">
        <v>74</v>
      </c>
      <c r="BH308" t="s">
        <v>74</v>
      </c>
      <c r="BI308">
        <v>1</v>
      </c>
      <c r="BJ308" t="s">
        <v>509</v>
      </c>
      <c r="BK308" t="s">
        <v>1247</v>
      </c>
      <c r="BL308" t="s">
        <v>509</v>
      </c>
      <c r="BM308" t="s">
        <v>6269</v>
      </c>
      <c r="BN308" t="s">
        <v>74</v>
      </c>
      <c r="BO308" t="s">
        <v>74</v>
      </c>
      <c r="BP308" t="s">
        <v>74</v>
      </c>
      <c r="BQ308" t="s">
        <v>74</v>
      </c>
      <c r="BR308" t="s">
        <v>104</v>
      </c>
      <c r="BS308" t="s">
        <v>6332</v>
      </c>
      <c r="BT308" t="str">
        <f>HYPERLINK("https%3A%2F%2Fwww.webofscience.com%2Fwos%2Fwoscc%2Ffull-record%2FWOS:000352658400686","View Full Record in Web of Science")</f>
        <v>View Full Record in Web of Science</v>
      </c>
    </row>
    <row r="309" spans="1:72" x14ac:dyDescent="0.15">
      <c r="A309" t="s">
        <v>72</v>
      </c>
      <c r="B309" t="s">
        <v>6333</v>
      </c>
      <c r="C309" t="s">
        <v>74</v>
      </c>
      <c r="D309" t="s">
        <v>74</v>
      </c>
      <c r="E309" t="s">
        <v>74</v>
      </c>
      <c r="F309" t="s">
        <v>6334</v>
      </c>
      <c r="G309" t="s">
        <v>74</v>
      </c>
      <c r="H309" t="s">
        <v>74</v>
      </c>
      <c r="I309" t="s">
        <v>6335</v>
      </c>
      <c r="J309" t="s">
        <v>6254</v>
      </c>
      <c r="K309" t="s">
        <v>74</v>
      </c>
      <c r="L309" t="s">
        <v>74</v>
      </c>
      <c r="M309" t="s">
        <v>78</v>
      </c>
      <c r="N309" t="s">
        <v>52</v>
      </c>
      <c r="O309" t="s">
        <v>6255</v>
      </c>
      <c r="P309" t="s">
        <v>6256</v>
      </c>
      <c r="Q309" t="s">
        <v>6257</v>
      </c>
      <c r="R309" t="s">
        <v>74</v>
      </c>
      <c r="S309" t="s">
        <v>74</v>
      </c>
      <c r="T309" t="s">
        <v>74</v>
      </c>
      <c r="U309" t="s">
        <v>74</v>
      </c>
      <c r="V309" t="s">
        <v>74</v>
      </c>
      <c r="W309" t="s">
        <v>6336</v>
      </c>
      <c r="X309" t="s">
        <v>6337</v>
      </c>
      <c r="Y309" t="s">
        <v>74</v>
      </c>
      <c r="Z309" t="s">
        <v>6338</v>
      </c>
      <c r="AA309" t="s">
        <v>6339</v>
      </c>
      <c r="AB309" t="s">
        <v>74</v>
      </c>
      <c r="AC309" t="s">
        <v>74</v>
      </c>
      <c r="AD309" t="s">
        <v>74</v>
      </c>
      <c r="AE309" t="s">
        <v>74</v>
      </c>
      <c r="AF309" t="s">
        <v>74</v>
      </c>
      <c r="AG309">
        <v>0</v>
      </c>
      <c r="AH309">
        <v>0</v>
      </c>
      <c r="AI309">
        <v>0</v>
      </c>
      <c r="AJ309">
        <v>0</v>
      </c>
      <c r="AK309">
        <v>0</v>
      </c>
      <c r="AL309" t="s">
        <v>1411</v>
      </c>
      <c r="AM309" t="s">
        <v>1412</v>
      </c>
      <c r="AN309" t="s">
        <v>1413</v>
      </c>
      <c r="AO309" t="s">
        <v>6263</v>
      </c>
      <c r="AP309" t="s">
        <v>6264</v>
      </c>
      <c r="AQ309" t="s">
        <v>74</v>
      </c>
      <c r="AR309" t="s">
        <v>6265</v>
      </c>
      <c r="AS309" t="s">
        <v>6266</v>
      </c>
      <c r="AT309" t="s">
        <v>5327</v>
      </c>
      <c r="AU309">
        <v>2015</v>
      </c>
      <c r="AV309">
        <v>55</v>
      </c>
      <c r="AW309" t="s">
        <v>74</v>
      </c>
      <c r="AX309" t="s">
        <v>74</v>
      </c>
      <c r="AY309">
        <v>1</v>
      </c>
      <c r="AZ309" t="s">
        <v>74</v>
      </c>
      <c r="BA309" t="s">
        <v>6340</v>
      </c>
      <c r="BB309" t="s">
        <v>6341</v>
      </c>
      <c r="BC309" t="s">
        <v>6341</v>
      </c>
      <c r="BD309" t="s">
        <v>74</v>
      </c>
      <c r="BE309" t="s">
        <v>74</v>
      </c>
      <c r="BF309" t="s">
        <v>74</v>
      </c>
      <c r="BG309" t="s">
        <v>74</v>
      </c>
      <c r="BH309" t="s">
        <v>74</v>
      </c>
      <c r="BI309">
        <v>1</v>
      </c>
      <c r="BJ309" t="s">
        <v>509</v>
      </c>
      <c r="BK309" t="s">
        <v>1247</v>
      </c>
      <c r="BL309" t="s">
        <v>509</v>
      </c>
      <c r="BM309" t="s">
        <v>6269</v>
      </c>
      <c r="BN309" t="s">
        <v>74</v>
      </c>
      <c r="BO309" t="s">
        <v>74</v>
      </c>
      <c r="BP309" t="s">
        <v>74</v>
      </c>
      <c r="BQ309" t="s">
        <v>74</v>
      </c>
      <c r="BR309" t="s">
        <v>104</v>
      </c>
      <c r="BS309" t="s">
        <v>6342</v>
      </c>
      <c r="BT309" t="str">
        <f>HYPERLINK("https%3A%2F%2Fwww.webofscience.com%2Fwos%2Fwoscc%2Ffull-record%2FWOS:000352658401662","View Full Record in Web of Science")</f>
        <v>View Full Record in Web of Science</v>
      </c>
    </row>
    <row r="310" spans="1:72" x14ac:dyDescent="0.15">
      <c r="A310" t="s">
        <v>72</v>
      </c>
      <c r="B310" t="s">
        <v>6343</v>
      </c>
      <c r="C310" t="s">
        <v>74</v>
      </c>
      <c r="D310" t="s">
        <v>74</v>
      </c>
      <c r="E310" t="s">
        <v>74</v>
      </c>
      <c r="F310" t="s">
        <v>6344</v>
      </c>
      <c r="G310" t="s">
        <v>74</v>
      </c>
      <c r="H310" t="s">
        <v>74</v>
      </c>
      <c r="I310" t="s">
        <v>6345</v>
      </c>
      <c r="J310" t="s">
        <v>6254</v>
      </c>
      <c r="K310" t="s">
        <v>74</v>
      </c>
      <c r="L310" t="s">
        <v>74</v>
      </c>
      <c r="M310" t="s">
        <v>78</v>
      </c>
      <c r="N310" t="s">
        <v>52</v>
      </c>
      <c r="O310" t="s">
        <v>6255</v>
      </c>
      <c r="P310" t="s">
        <v>6256</v>
      </c>
      <c r="Q310" t="s">
        <v>6257</v>
      </c>
      <c r="R310" t="s">
        <v>74</v>
      </c>
      <c r="S310" t="s">
        <v>74</v>
      </c>
      <c r="T310" t="s">
        <v>74</v>
      </c>
      <c r="U310" t="s">
        <v>74</v>
      </c>
      <c r="V310" t="s">
        <v>74</v>
      </c>
      <c r="W310" t="s">
        <v>6346</v>
      </c>
      <c r="X310" t="s">
        <v>6347</v>
      </c>
      <c r="Y310" t="s">
        <v>74</v>
      </c>
      <c r="Z310" t="s">
        <v>6348</v>
      </c>
      <c r="AA310" t="s">
        <v>6277</v>
      </c>
      <c r="AB310" t="s">
        <v>74</v>
      </c>
      <c r="AC310" t="s">
        <v>74</v>
      </c>
      <c r="AD310" t="s">
        <v>74</v>
      </c>
      <c r="AE310" t="s">
        <v>74</v>
      </c>
      <c r="AF310" t="s">
        <v>74</v>
      </c>
      <c r="AG310">
        <v>0</v>
      </c>
      <c r="AH310">
        <v>0</v>
      </c>
      <c r="AI310">
        <v>0</v>
      </c>
      <c r="AJ310">
        <v>0</v>
      </c>
      <c r="AK310">
        <v>1</v>
      </c>
      <c r="AL310" t="s">
        <v>1411</v>
      </c>
      <c r="AM310" t="s">
        <v>1412</v>
      </c>
      <c r="AN310" t="s">
        <v>1413</v>
      </c>
      <c r="AO310" t="s">
        <v>6263</v>
      </c>
      <c r="AP310" t="s">
        <v>6264</v>
      </c>
      <c r="AQ310" t="s">
        <v>74</v>
      </c>
      <c r="AR310" t="s">
        <v>6265</v>
      </c>
      <c r="AS310" t="s">
        <v>6266</v>
      </c>
      <c r="AT310" t="s">
        <v>5327</v>
      </c>
      <c r="AU310">
        <v>2015</v>
      </c>
      <c r="AV310">
        <v>55</v>
      </c>
      <c r="AW310" t="s">
        <v>74</v>
      </c>
      <c r="AX310" t="s">
        <v>74</v>
      </c>
      <c r="AY310">
        <v>1</v>
      </c>
      <c r="AZ310" t="s">
        <v>74</v>
      </c>
      <c r="BA310" t="s">
        <v>6349</v>
      </c>
      <c r="BB310" t="s">
        <v>6350</v>
      </c>
      <c r="BC310" t="s">
        <v>6350</v>
      </c>
      <c r="BD310" t="s">
        <v>74</v>
      </c>
      <c r="BE310" t="s">
        <v>74</v>
      </c>
      <c r="BF310" t="s">
        <v>74</v>
      </c>
      <c r="BG310" t="s">
        <v>74</v>
      </c>
      <c r="BH310" t="s">
        <v>74</v>
      </c>
      <c r="BI310">
        <v>1</v>
      </c>
      <c r="BJ310" t="s">
        <v>509</v>
      </c>
      <c r="BK310" t="s">
        <v>1247</v>
      </c>
      <c r="BL310" t="s">
        <v>509</v>
      </c>
      <c r="BM310" t="s">
        <v>6269</v>
      </c>
      <c r="BN310" t="s">
        <v>74</v>
      </c>
      <c r="BO310" t="s">
        <v>74</v>
      </c>
      <c r="BP310" t="s">
        <v>74</v>
      </c>
      <c r="BQ310" t="s">
        <v>74</v>
      </c>
      <c r="BR310" t="s">
        <v>104</v>
      </c>
      <c r="BS310" t="s">
        <v>6351</v>
      </c>
      <c r="BT310" t="str">
        <f>HYPERLINK("https%3A%2F%2Fwww.webofscience.com%2Fwos%2Fwoscc%2Ffull-record%2FWOS:000352658401676","View Full Record in Web of Science")</f>
        <v>View Full Record in Web of Science</v>
      </c>
    </row>
    <row r="311" spans="1:72" x14ac:dyDescent="0.15">
      <c r="A311" t="s">
        <v>72</v>
      </c>
      <c r="B311" t="s">
        <v>6352</v>
      </c>
      <c r="C311" t="s">
        <v>74</v>
      </c>
      <c r="D311" t="s">
        <v>74</v>
      </c>
      <c r="E311" t="s">
        <v>74</v>
      </c>
      <c r="F311" t="s">
        <v>6353</v>
      </c>
      <c r="G311" t="s">
        <v>74</v>
      </c>
      <c r="H311" t="s">
        <v>74</v>
      </c>
      <c r="I311" t="s">
        <v>6354</v>
      </c>
      <c r="J311" t="s">
        <v>6355</v>
      </c>
      <c r="K311" t="s">
        <v>74</v>
      </c>
      <c r="L311" t="s">
        <v>74</v>
      </c>
      <c r="M311" t="s">
        <v>78</v>
      </c>
      <c r="N311" t="s">
        <v>79</v>
      </c>
      <c r="O311" t="s">
        <v>74</v>
      </c>
      <c r="P311" t="s">
        <v>74</v>
      </c>
      <c r="Q311" t="s">
        <v>74</v>
      </c>
      <c r="R311" t="s">
        <v>74</v>
      </c>
      <c r="S311" t="s">
        <v>74</v>
      </c>
      <c r="T311" t="s">
        <v>6356</v>
      </c>
      <c r="U311" t="s">
        <v>6357</v>
      </c>
      <c r="V311" t="s">
        <v>6358</v>
      </c>
      <c r="W311" t="s">
        <v>6359</v>
      </c>
      <c r="X311" t="s">
        <v>6360</v>
      </c>
      <c r="Y311" t="s">
        <v>6361</v>
      </c>
      <c r="Z311" t="s">
        <v>6362</v>
      </c>
      <c r="AA311" t="s">
        <v>74</v>
      </c>
      <c r="AB311" t="s">
        <v>74</v>
      </c>
      <c r="AC311" t="s">
        <v>6363</v>
      </c>
      <c r="AD311" t="s">
        <v>6364</v>
      </c>
      <c r="AE311" t="s">
        <v>6365</v>
      </c>
      <c r="AF311" t="s">
        <v>74</v>
      </c>
      <c r="AG311">
        <v>47</v>
      </c>
      <c r="AH311">
        <v>5</v>
      </c>
      <c r="AI311">
        <v>5</v>
      </c>
      <c r="AJ311">
        <v>3</v>
      </c>
      <c r="AK311">
        <v>30</v>
      </c>
      <c r="AL311" t="s">
        <v>120</v>
      </c>
      <c r="AM311" t="s">
        <v>2560</v>
      </c>
      <c r="AN311" t="s">
        <v>2561</v>
      </c>
      <c r="AO311" t="s">
        <v>6366</v>
      </c>
      <c r="AP311" t="s">
        <v>6367</v>
      </c>
      <c r="AQ311" t="s">
        <v>74</v>
      </c>
      <c r="AR311" t="s">
        <v>6368</v>
      </c>
      <c r="AS311" t="s">
        <v>6369</v>
      </c>
      <c r="AT311" t="s">
        <v>5327</v>
      </c>
      <c r="AU311">
        <v>2015</v>
      </c>
      <c r="AV311">
        <v>27</v>
      </c>
      <c r="AW311">
        <v>2</v>
      </c>
      <c r="AX311" t="s">
        <v>74</v>
      </c>
      <c r="AY311" t="s">
        <v>74</v>
      </c>
      <c r="AZ311" t="s">
        <v>74</v>
      </c>
      <c r="BA311" t="s">
        <v>74</v>
      </c>
      <c r="BB311">
        <v>787</v>
      </c>
      <c r="BC311">
        <v>796</v>
      </c>
      <c r="BD311" t="s">
        <v>74</v>
      </c>
      <c r="BE311" t="s">
        <v>6370</v>
      </c>
      <c r="BF311" t="str">
        <f>HYPERLINK("http://dx.doi.org/10.1007/s10811-014-0372-9","http://dx.doi.org/10.1007/s10811-014-0372-9")</f>
        <v>http://dx.doi.org/10.1007/s10811-014-0372-9</v>
      </c>
      <c r="BG311" t="s">
        <v>74</v>
      </c>
      <c r="BH311" t="s">
        <v>74</v>
      </c>
      <c r="BI311">
        <v>10</v>
      </c>
      <c r="BJ311" t="s">
        <v>6371</v>
      </c>
      <c r="BK311" t="s">
        <v>100</v>
      </c>
      <c r="BL311" t="s">
        <v>6371</v>
      </c>
      <c r="BM311" t="s">
        <v>6372</v>
      </c>
      <c r="BN311" t="s">
        <v>74</v>
      </c>
      <c r="BO311" t="s">
        <v>74</v>
      </c>
      <c r="BP311" t="s">
        <v>74</v>
      </c>
      <c r="BQ311" t="s">
        <v>74</v>
      </c>
      <c r="BR311" t="s">
        <v>104</v>
      </c>
      <c r="BS311" t="s">
        <v>6373</v>
      </c>
      <c r="BT311" t="str">
        <f>HYPERLINK("https%3A%2F%2Fwww.webofscience.com%2Fwos%2Fwoscc%2Ffull-record%2FWOS:000352446200016","View Full Record in Web of Science")</f>
        <v>View Full Record in Web of Science</v>
      </c>
    </row>
    <row r="312" spans="1:72" x14ac:dyDescent="0.15">
      <c r="A312" t="s">
        <v>72</v>
      </c>
      <c r="B312" t="s">
        <v>6374</v>
      </c>
      <c r="C312" t="s">
        <v>74</v>
      </c>
      <c r="D312" t="s">
        <v>74</v>
      </c>
      <c r="E312" t="s">
        <v>74</v>
      </c>
      <c r="F312" t="s">
        <v>6375</v>
      </c>
      <c r="G312" t="s">
        <v>74</v>
      </c>
      <c r="H312" t="s">
        <v>74</v>
      </c>
      <c r="I312" t="s">
        <v>6376</v>
      </c>
      <c r="J312" t="s">
        <v>6355</v>
      </c>
      <c r="K312" t="s">
        <v>74</v>
      </c>
      <c r="L312" t="s">
        <v>74</v>
      </c>
      <c r="M312" t="s">
        <v>78</v>
      </c>
      <c r="N312" t="s">
        <v>79</v>
      </c>
      <c r="O312" t="s">
        <v>74</v>
      </c>
      <c r="P312" t="s">
        <v>74</v>
      </c>
      <c r="Q312" t="s">
        <v>74</v>
      </c>
      <c r="R312" t="s">
        <v>74</v>
      </c>
      <c r="S312" t="s">
        <v>74</v>
      </c>
      <c r="T312" t="s">
        <v>6377</v>
      </c>
      <c r="U312" t="s">
        <v>6378</v>
      </c>
      <c r="V312" t="s">
        <v>6379</v>
      </c>
      <c r="W312" t="s">
        <v>6380</v>
      </c>
      <c r="X312" t="s">
        <v>1616</v>
      </c>
      <c r="Y312" t="s">
        <v>6381</v>
      </c>
      <c r="Z312" t="s">
        <v>6382</v>
      </c>
      <c r="AA312" t="s">
        <v>6383</v>
      </c>
      <c r="AB312" t="s">
        <v>6384</v>
      </c>
      <c r="AC312" t="s">
        <v>6385</v>
      </c>
      <c r="AD312" t="s">
        <v>6385</v>
      </c>
      <c r="AE312" t="s">
        <v>6386</v>
      </c>
      <c r="AF312" t="s">
        <v>74</v>
      </c>
      <c r="AG312">
        <v>44</v>
      </c>
      <c r="AH312">
        <v>31</v>
      </c>
      <c r="AI312">
        <v>32</v>
      </c>
      <c r="AJ312">
        <v>1</v>
      </c>
      <c r="AK312">
        <v>125</v>
      </c>
      <c r="AL312" t="s">
        <v>120</v>
      </c>
      <c r="AM312" t="s">
        <v>2560</v>
      </c>
      <c r="AN312" t="s">
        <v>2561</v>
      </c>
      <c r="AO312" t="s">
        <v>6366</v>
      </c>
      <c r="AP312" t="s">
        <v>6367</v>
      </c>
      <c r="AQ312" t="s">
        <v>74</v>
      </c>
      <c r="AR312" t="s">
        <v>6368</v>
      </c>
      <c r="AS312" t="s">
        <v>6369</v>
      </c>
      <c r="AT312" t="s">
        <v>5327</v>
      </c>
      <c r="AU312">
        <v>2015</v>
      </c>
      <c r="AV312">
        <v>27</v>
      </c>
      <c r="AW312">
        <v>2</v>
      </c>
      <c r="AX312" t="s">
        <v>74</v>
      </c>
      <c r="AY312" t="s">
        <v>74</v>
      </c>
      <c r="AZ312" t="s">
        <v>74</v>
      </c>
      <c r="BA312" t="s">
        <v>74</v>
      </c>
      <c r="BB312">
        <v>901</v>
      </c>
      <c r="BC312">
        <v>916</v>
      </c>
      <c r="BD312" t="s">
        <v>74</v>
      </c>
      <c r="BE312" t="s">
        <v>6387</v>
      </c>
      <c r="BF312" t="str">
        <f>HYPERLINK("http://dx.doi.org/10.1007/s10811-014-0370-y","http://dx.doi.org/10.1007/s10811-014-0370-y")</f>
        <v>http://dx.doi.org/10.1007/s10811-014-0370-y</v>
      </c>
      <c r="BG312" t="s">
        <v>74</v>
      </c>
      <c r="BH312" t="s">
        <v>74</v>
      </c>
      <c r="BI312">
        <v>16</v>
      </c>
      <c r="BJ312" t="s">
        <v>6371</v>
      </c>
      <c r="BK312" t="s">
        <v>100</v>
      </c>
      <c r="BL312" t="s">
        <v>6371</v>
      </c>
      <c r="BM312" t="s">
        <v>6372</v>
      </c>
      <c r="BN312" t="s">
        <v>74</v>
      </c>
      <c r="BO312" t="s">
        <v>74</v>
      </c>
      <c r="BP312" t="s">
        <v>74</v>
      </c>
      <c r="BQ312" t="s">
        <v>74</v>
      </c>
      <c r="BR312" t="s">
        <v>104</v>
      </c>
      <c r="BS312" t="s">
        <v>6388</v>
      </c>
      <c r="BT312" t="str">
        <f>HYPERLINK("https%3A%2F%2Fwww.webofscience.com%2Fwos%2Fwoscc%2Ffull-record%2FWOS:000352446200027","View Full Record in Web of Science")</f>
        <v>View Full Record in Web of Science</v>
      </c>
    </row>
    <row r="313" spans="1:72" x14ac:dyDescent="0.15">
      <c r="A313" t="s">
        <v>72</v>
      </c>
      <c r="B313" t="s">
        <v>6389</v>
      </c>
      <c r="C313" t="s">
        <v>74</v>
      </c>
      <c r="D313" t="s">
        <v>74</v>
      </c>
      <c r="E313" t="s">
        <v>74</v>
      </c>
      <c r="F313" t="s">
        <v>6390</v>
      </c>
      <c r="G313" t="s">
        <v>74</v>
      </c>
      <c r="H313" t="s">
        <v>74</v>
      </c>
      <c r="I313" t="s">
        <v>6391</v>
      </c>
      <c r="J313" t="s">
        <v>2180</v>
      </c>
      <c r="K313" t="s">
        <v>74</v>
      </c>
      <c r="L313" t="s">
        <v>74</v>
      </c>
      <c r="M313" t="s">
        <v>78</v>
      </c>
      <c r="N313" t="s">
        <v>79</v>
      </c>
      <c r="O313" t="s">
        <v>74</v>
      </c>
      <c r="P313" t="s">
        <v>74</v>
      </c>
      <c r="Q313" t="s">
        <v>74</v>
      </c>
      <c r="R313" t="s">
        <v>74</v>
      </c>
      <c r="S313" t="s">
        <v>74</v>
      </c>
      <c r="T313" t="s">
        <v>74</v>
      </c>
      <c r="U313" t="s">
        <v>6392</v>
      </c>
      <c r="V313" t="s">
        <v>6393</v>
      </c>
      <c r="W313" t="s">
        <v>6394</v>
      </c>
      <c r="X313" t="s">
        <v>6395</v>
      </c>
      <c r="Y313" t="s">
        <v>6396</v>
      </c>
      <c r="Z313" t="s">
        <v>6397</v>
      </c>
      <c r="AA313" t="s">
        <v>6398</v>
      </c>
      <c r="AB313" t="s">
        <v>6399</v>
      </c>
      <c r="AC313" t="s">
        <v>6400</v>
      </c>
      <c r="AD313" t="s">
        <v>6401</v>
      </c>
      <c r="AE313" t="s">
        <v>6402</v>
      </c>
      <c r="AF313" t="s">
        <v>74</v>
      </c>
      <c r="AG313">
        <v>32</v>
      </c>
      <c r="AH313">
        <v>50</v>
      </c>
      <c r="AI313">
        <v>58</v>
      </c>
      <c r="AJ313">
        <v>2</v>
      </c>
      <c r="AK313">
        <v>44</v>
      </c>
      <c r="AL313" t="s">
        <v>2192</v>
      </c>
      <c r="AM313" t="s">
        <v>2193</v>
      </c>
      <c r="AN313" t="s">
        <v>6403</v>
      </c>
      <c r="AO313" t="s">
        <v>2195</v>
      </c>
      <c r="AP313" t="s">
        <v>2196</v>
      </c>
      <c r="AQ313" t="s">
        <v>74</v>
      </c>
      <c r="AR313" t="s">
        <v>2197</v>
      </c>
      <c r="AS313" t="s">
        <v>2198</v>
      </c>
      <c r="AT313" t="s">
        <v>5327</v>
      </c>
      <c r="AU313">
        <v>2015</v>
      </c>
      <c r="AV313">
        <v>28</v>
      </c>
      <c r="AW313">
        <v>7</v>
      </c>
      <c r="AX313" t="s">
        <v>74</v>
      </c>
      <c r="AY313" t="s">
        <v>74</v>
      </c>
      <c r="AZ313" t="s">
        <v>74</v>
      </c>
      <c r="BA313" t="s">
        <v>74</v>
      </c>
      <c r="BB313">
        <v>2682</v>
      </c>
      <c r="BC313">
        <v>2690</v>
      </c>
      <c r="BD313" t="s">
        <v>74</v>
      </c>
      <c r="BE313" t="s">
        <v>6404</v>
      </c>
      <c r="BF313" t="str">
        <f>HYPERLINK("http://dx.doi.org/10.1175/JCLI-D-14-00390.1","http://dx.doi.org/10.1175/JCLI-D-14-00390.1")</f>
        <v>http://dx.doi.org/10.1175/JCLI-D-14-00390.1</v>
      </c>
      <c r="BG313" t="s">
        <v>74</v>
      </c>
      <c r="BH313" t="s">
        <v>74</v>
      </c>
      <c r="BI313">
        <v>9</v>
      </c>
      <c r="BJ313" t="s">
        <v>406</v>
      </c>
      <c r="BK313" t="s">
        <v>100</v>
      </c>
      <c r="BL313" t="s">
        <v>406</v>
      </c>
      <c r="BM313" t="s">
        <v>6405</v>
      </c>
      <c r="BN313" t="s">
        <v>74</v>
      </c>
      <c r="BO313" t="s">
        <v>156</v>
      </c>
      <c r="BP313" t="s">
        <v>74</v>
      </c>
      <c r="BQ313" t="s">
        <v>74</v>
      </c>
      <c r="BR313" t="s">
        <v>104</v>
      </c>
      <c r="BS313" t="s">
        <v>6406</v>
      </c>
      <c r="BT313" t="str">
        <f>HYPERLINK("https%3A%2F%2Fwww.webofscience.com%2Fwos%2Fwoscc%2Ffull-record%2FWOS:000351940300011","View Full Record in Web of Science")</f>
        <v>View Full Record in Web of Science</v>
      </c>
    </row>
    <row r="314" spans="1:72" x14ac:dyDescent="0.15">
      <c r="A314" t="s">
        <v>72</v>
      </c>
      <c r="B314" t="s">
        <v>6407</v>
      </c>
      <c r="C314" t="s">
        <v>74</v>
      </c>
      <c r="D314" t="s">
        <v>74</v>
      </c>
      <c r="E314" t="s">
        <v>74</v>
      </c>
      <c r="F314" t="s">
        <v>6408</v>
      </c>
      <c r="G314" t="s">
        <v>74</v>
      </c>
      <c r="H314" t="s">
        <v>74</v>
      </c>
      <c r="I314" t="s">
        <v>6409</v>
      </c>
      <c r="J314" t="s">
        <v>6410</v>
      </c>
      <c r="K314" t="s">
        <v>74</v>
      </c>
      <c r="L314" t="s">
        <v>74</v>
      </c>
      <c r="M314" t="s">
        <v>78</v>
      </c>
      <c r="N314" t="s">
        <v>79</v>
      </c>
      <c r="O314" t="s">
        <v>74</v>
      </c>
      <c r="P314" t="s">
        <v>74</v>
      </c>
      <c r="Q314" t="s">
        <v>74</v>
      </c>
      <c r="R314" t="s">
        <v>74</v>
      </c>
      <c r="S314" t="s">
        <v>74</v>
      </c>
      <c r="T314" t="s">
        <v>6411</v>
      </c>
      <c r="U314" t="s">
        <v>6412</v>
      </c>
      <c r="V314" t="s">
        <v>6413</v>
      </c>
      <c r="W314" t="s">
        <v>6414</v>
      </c>
      <c r="X314" t="s">
        <v>6415</v>
      </c>
      <c r="Y314" t="s">
        <v>6416</v>
      </c>
      <c r="Z314" t="s">
        <v>6417</v>
      </c>
      <c r="AA314" t="s">
        <v>6418</v>
      </c>
      <c r="AB314" t="s">
        <v>6419</v>
      </c>
      <c r="AC314" t="s">
        <v>6420</v>
      </c>
      <c r="AD314" t="s">
        <v>6421</v>
      </c>
      <c r="AE314" t="s">
        <v>6422</v>
      </c>
      <c r="AF314" t="s">
        <v>74</v>
      </c>
      <c r="AG314">
        <v>69</v>
      </c>
      <c r="AH314">
        <v>15</v>
      </c>
      <c r="AI314">
        <v>16</v>
      </c>
      <c r="AJ314">
        <v>0</v>
      </c>
      <c r="AK314">
        <v>39</v>
      </c>
      <c r="AL314" t="s">
        <v>1158</v>
      </c>
      <c r="AM314" t="s">
        <v>787</v>
      </c>
      <c r="AN314" t="s">
        <v>1159</v>
      </c>
      <c r="AO314" t="s">
        <v>6423</v>
      </c>
      <c r="AP314" t="s">
        <v>6424</v>
      </c>
      <c r="AQ314" t="s">
        <v>74</v>
      </c>
      <c r="AR314" t="s">
        <v>6425</v>
      </c>
      <c r="AS314" t="s">
        <v>6426</v>
      </c>
      <c r="AT314" t="s">
        <v>5327</v>
      </c>
      <c r="AU314">
        <v>2015</v>
      </c>
      <c r="AV314">
        <v>105</v>
      </c>
      <c r="AW314" t="s">
        <v>74</v>
      </c>
      <c r="AX314" t="s">
        <v>74</v>
      </c>
      <c r="AY314" t="s">
        <v>74</v>
      </c>
      <c r="AZ314" t="s">
        <v>74</v>
      </c>
      <c r="BA314" t="s">
        <v>74</v>
      </c>
      <c r="BB314">
        <v>30</v>
      </c>
      <c r="BC314">
        <v>38</v>
      </c>
      <c r="BD314" t="s">
        <v>74</v>
      </c>
      <c r="BE314" t="s">
        <v>6427</v>
      </c>
      <c r="BF314" t="str">
        <f>HYPERLINK("http://dx.doi.org/10.1016/j.marenvres.2015.02.001","http://dx.doi.org/10.1016/j.marenvres.2015.02.001")</f>
        <v>http://dx.doi.org/10.1016/j.marenvres.2015.02.001</v>
      </c>
      <c r="BG314" t="s">
        <v>74</v>
      </c>
      <c r="BH314" t="s">
        <v>74</v>
      </c>
      <c r="BI314">
        <v>9</v>
      </c>
      <c r="BJ314" t="s">
        <v>6428</v>
      </c>
      <c r="BK314" t="s">
        <v>100</v>
      </c>
      <c r="BL314" t="s">
        <v>6429</v>
      </c>
      <c r="BM314" t="s">
        <v>6430</v>
      </c>
      <c r="BN314">
        <v>25680110</v>
      </c>
      <c r="BO314" t="s">
        <v>74</v>
      </c>
      <c r="BP314" t="s">
        <v>74</v>
      </c>
      <c r="BQ314" t="s">
        <v>74</v>
      </c>
      <c r="BR314" t="s">
        <v>104</v>
      </c>
      <c r="BS314" t="s">
        <v>6431</v>
      </c>
      <c r="BT314" t="str">
        <f>HYPERLINK("https%3A%2F%2Fwww.webofscience.com%2Fwos%2Fwoscc%2Ffull-record%2FWOS:000352042500004","View Full Record in Web of Science")</f>
        <v>View Full Record in Web of Science</v>
      </c>
    </row>
    <row r="315" spans="1:72" x14ac:dyDescent="0.15">
      <c r="A315" t="s">
        <v>72</v>
      </c>
      <c r="B315" t="s">
        <v>6432</v>
      </c>
      <c r="C315" t="s">
        <v>74</v>
      </c>
      <c r="D315" t="s">
        <v>74</v>
      </c>
      <c r="E315" t="s">
        <v>74</v>
      </c>
      <c r="F315" t="s">
        <v>6433</v>
      </c>
      <c r="G315" t="s">
        <v>74</v>
      </c>
      <c r="H315" t="s">
        <v>74</v>
      </c>
      <c r="I315" t="s">
        <v>6434</v>
      </c>
      <c r="J315" t="s">
        <v>6435</v>
      </c>
      <c r="K315" t="s">
        <v>74</v>
      </c>
      <c r="L315" t="s">
        <v>74</v>
      </c>
      <c r="M315" t="s">
        <v>78</v>
      </c>
      <c r="N315" t="s">
        <v>79</v>
      </c>
      <c r="O315" t="s">
        <v>74</v>
      </c>
      <c r="P315" t="s">
        <v>74</v>
      </c>
      <c r="Q315" t="s">
        <v>74</v>
      </c>
      <c r="R315" t="s">
        <v>74</v>
      </c>
      <c r="S315" t="s">
        <v>74</v>
      </c>
      <c r="T315" t="s">
        <v>6436</v>
      </c>
      <c r="U315" t="s">
        <v>6437</v>
      </c>
      <c r="V315" t="s">
        <v>6438</v>
      </c>
      <c r="W315" t="s">
        <v>6439</v>
      </c>
      <c r="X315" t="s">
        <v>6440</v>
      </c>
      <c r="Y315" t="s">
        <v>6441</v>
      </c>
      <c r="Z315" t="s">
        <v>6442</v>
      </c>
      <c r="AA315" t="s">
        <v>6443</v>
      </c>
      <c r="AB315" t="s">
        <v>6444</v>
      </c>
      <c r="AC315" t="s">
        <v>6445</v>
      </c>
      <c r="AD315" t="s">
        <v>6446</v>
      </c>
      <c r="AE315" t="s">
        <v>6447</v>
      </c>
      <c r="AF315" t="s">
        <v>74</v>
      </c>
      <c r="AG315">
        <v>35</v>
      </c>
      <c r="AH315">
        <v>17</v>
      </c>
      <c r="AI315">
        <v>18</v>
      </c>
      <c r="AJ315">
        <v>1</v>
      </c>
      <c r="AK315">
        <v>25</v>
      </c>
      <c r="AL315" t="s">
        <v>2028</v>
      </c>
      <c r="AM315" t="s">
        <v>2029</v>
      </c>
      <c r="AN315" t="s">
        <v>2030</v>
      </c>
      <c r="AO315" t="s">
        <v>6448</v>
      </c>
      <c r="AP315" t="s">
        <v>6449</v>
      </c>
      <c r="AQ315" t="s">
        <v>74</v>
      </c>
      <c r="AR315" t="s">
        <v>6450</v>
      </c>
      <c r="AS315" t="s">
        <v>6451</v>
      </c>
      <c r="AT315" t="s">
        <v>5327</v>
      </c>
      <c r="AU315">
        <v>2015</v>
      </c>
      <c r="AV315">
        <v>32</v>
      </c>
      <c r="AW315">
        <v>4</v>
      </c>
      <c r="AX315" t="s">
        <v>74</v>
      </c>
      <c r="AY315" t="s">
        <v>74</v>
      </c>
      <c r="AZ315" t="s">
        <v>74</v>
      </c>
      <c r="BA315" t="s">
        <v>74</v>
      </c>
      <c r="BB315">
        <v>457</v>
      </c>
      <c r="BC315">
        <v>469</v>
      </c>
      <c r="BD315" t="s">
        <v>74</v>
      </c>
      <c r="BE315" t="s">
        <v>6452</v>
      </c>
      <c r="BF315" t="str">
        <f>HYPERLINK("http://dx.doi.org/10.1007/s00376-014-4061-z","http://dx.doi.org/10.1007/s00376-014-4061-z")</f>
        <v>http://dx.doi.org/10.1007/s00376-014-4061-z</v>
      </c>
      <c r="BG315" t="s">
        <v>74</v>
      </c>
      <c r="BH315" t="s">
        <v>74</v>
      </c>
      <c r="BI315">
        <v>13</v>
      </c>
      <c r="BJ315" t="s">
        <v>406</v>
      </c>
      <c r="BK315" t="s">
        <v>100</v>
      </c>
      <c r="BL315" t="s">
        <v>406</v>
      </c>
      <c r="BM315" t="s">
        <v>6453</v>
      </c>
      <c r="BN315" t="s">
        <v>74</v>
      </c>
      <c r="BO315" t="s">
        <v>74</v>
      </c>
      <c r="BP315" t="s">
        <v>74</v>
      </c>
      <c r="BQ315" t="s">
        <v>74</v>
      </c>
      <c r="BR315" t="s">
        <v>104</v>
      </c>
      <c r="BS315" t="s">
        <v>6454</v>
      </c>
      <c r="BT315" t="str">
        <f>HYPERLINK("https%3A%2F%2Fwww.webofscience.com%2Fwos%2Fwoscc%2Ffull-record%2FWOS:000351453200002","View Full Record in Web of Science")</f>
        <v>View Full Record in Web of Science</v>
      </c>
    </row>
    <row r="316" spans="1:72" x14ac:dyDescent="0.15">
      <c r="A316" t="s">
        <v>72</v>
      </c>
      <c r="B316" t="s">
        <v>6455</v>
      </c>
      <c r="C316" t="s">
        <v>74</v>
      </c>
      <c r="D316" t="s">
        <v>74</v>
      </c>
      <c r="E316" t="s">
        <v>74</v>
      </c>
      <c r="F316" t="s">
        <v>6456</v>
      </c>
      <c r="G316" t="s">
        <v>74</v>
      </c>
      <c r="H316" t="s">
        <v>74</v>
      </c>
      <c r="I316" t="s">
        <v>6457</v>
      </c>
      <c r="J316" t="s">
        <v>6458</v>
      </c>
      <c r="K316" t="s">
        <v>74</v>
      </c>
      <c r="L316" t="s">
        <v>74</v>
      </c>
      <c r="M316" t="s">
        <v>78</v>
      </c>
      <c r="N316" t="s">
        <v>79</v>
      </c>
      <c r="O316" t="s">
        <v>74</v>
      </c>
      <c r="P316" t="s">
        <v>74</v>
      </c>
      <c r="Q316" t="s">
        <v>74</v>
      </c>
      <c r="R316" t="s">
        <v>74</v>
      </c>
      <c r="S316" t="s">
        <v>74</v>
      </c>
      <c r="T316" t="s">
        <v>6459</v>
      </c>
      <c r="U316" t="s">
        <v>6460</v>
      </c>
      <c r="V316" t="s">
        <v>6461</v>
      </c>
      <c r="W316" t="s">
        <v>6462</v>
      </c>
      <c r="X316" t="s">
        <v>6463</v>
      </c>
      <c r="Y316" t="s">
        <v>6464</v>
      </c>
      <c r="Z316" t="s">
        <v>6465</v>
      </c>
      <c r="AA316" t="s">
        <v>6466</v>
      </c>
      <c r="AB316" t="s">
        <v>6467</v>
      </c>
      <c r="AC316" t="s">
        <v>6468</v>
      </c>
      <c r="AD316" t="s">
        <v>6469</v>
      </c>
      <c r="AE316" t="s">
        <v>6470</v>
      </c>
      <c r="AF316" t="s">
        <v>74</v>
      </c>
      <c r="AG316">
        <v>25</v>
      </c>
      <c r="AH316">
        <v>6</v>
      </c>
      <c r="AI316">
        <v>6</v>
      </c>
      <c r="AJ316">
        <v>0</v>
      </c>
      <c r="AK316">
        <v>21</v>
      </c>
      <c r="AL316" t="s">
        <v>120</v>
      </c>
      <c r="AM316" t="s">
        <v>121</v>
      </c>
      <c r="AN316" t="s">
        <v>122</v>
      </c>
      <c r="AO316" t="s">
        <v>6471</v>
      </c>
      <c r="AP316" t="s">
        <v>6472</v>
      </c>
      <c r="AQ316" t="s">
        <v>74</v>
      </c>
      <c r="AR316" t="s">
        <v>6473</v>
      </c>
      <c r="AS316" t="s">
        <v>6474</v>
      </c>
      <c r="AT316" t="s">
        <v>5327</v>
      </c>
      <c r="AU316">
        <v>2015</v>
      </c>
      <c r="AV316">
        <v>175</v>
      </c>
      <c r="AW316">
        <v>7</v>
      </c>
      <c r="AX316" t="s">
        <v>74</v>
      </c>
      <c r="AY316" t="s">
        <v>74</v>
      </c>
      <c r="AZ316" t="s">
        <v>74</v>
      </c>
      <c r="BA316" t="s">
        <v>74</v>
      </c>
      <c r="BB316">
        <v>3287</v>
      </c>
      <c r="BC316">
        <v>3296</v>
      </c>
      <c r="BD316" t="s">
        <v>74</v>
      </c>
      <c r="BE316" t="s">
        <v>6475</v>
      </c>
      <c r="BF316" t="str">
        <f>HYPERLINK("http://dx.doi.org/10.1007/s12010-015-1496-3","http://dx.doi.org/10.1007/s12010-015-1496-3")</f>
        <v>http://dx.doi.org/10.1007/s12010-015-1496-3</v>
      </c>
      <c r="BG316" t="s">
        <v>74</v>
      </c>
      <c r="BH316" t="s">
        <v>74</v>
      </c>
      <c r="BI316">
        <v>10</v>
      </c>
      <c r="BJ316" t="s">
        <v>6476</v>
      </c>
      <c r="BK316" t="s">
        <v>100</v>
      </c>
      <c r="BL316" t="s">
        <v>6476</v>
      </c>
      <c r="BM316" t="s">
        <v>6477</v>
      </c>
      <c r="BN316">
        <v>25638267</v>
      </c>
      <c r="BO316" t="s">
        <v>74</v>
      </c>
      <c r="BP316" t="s">
        <v>74</v>
      </c>
      <c r="BQ316" t="s">
        <v>74</v>
      </c>
      <c r="BR316" t="s">
        <v>104</v>
      </c>
      <c r="BS316" t="s">
        <v>6478</v>
      </c>
      <c r="BT316" t="str">
        <f>HYPERLINK("https%3A%2F%2Fwww.webofscience.com%2Fwos%2Fwoscc%2Ffull-record%2FWOS:000351767200005","View Full Record in Web of Science")</f>
        <v>View Full Record in Web of Science</v>
      </c>
    </row>
    <row r="317" spans="1:72" x14ac:dyDescent="0.15">
      <c r="A317" t="s">
        <v>72</v>
      </c>
      <c r="B317" t="s">
        <v>6479</v>
      </c>
      <c r="C317" t="s">
        <v>74</v>
      </c>
      <c r="D317" t="s">
        <v>74</v>
      </c>
      <c r="E317" t="s">
        <v>74</v>
      </c>
      <c r="F317" t="s">
        <v>6480</v>
      </c>
      <c r="G317" t="s">
        <v>74</v>
      </c>
      <c r="H317" t="s">
        <v>74</v>
      </c>
      <c r="I317" t="s">
        <v>6481</v>
      </c>
      <c r="J317" t="s">
        <v>2509</v>
      </c>
      <c r="K317" t="s">
        <v>74</v>
      </c>
      <c r="L317" t="s">
        <v>74</v>
      </c>
      <c r="M317" t="s">
        <v>78</v>
      </c>
      <c r="N317" t="s">
        <v>79</v>
      </c>
      <c r="O317" t="s">
        <v>74</v>
      </c>
      <c r="P317" t="s">
        <v>74</v>
      </c>
      <c r="Q317" t="s">
        <v>74</v>
      </c>
      <c r="R317" t="s">
        <v>74</v>
      </c>
      <c r="S317" t="s">
        <v>74</v>
      </c>
      <c r="T317" t="s">
        <v>6482</v>
      </c>
      <c r="U317" t="s">
        <v>6483</v>
      </c>
      <c r="V317" t="s">
        <v>6484</v>
      </c>
      <c r="W317" t="s">
        <v>6485</v>
      </c>
      <c r="X317" t="s">
        <v>6486</v>
      </c>
      <c r="Y317" t="s">
        <v>6487</v>
      </c>
      <c r="Z317" t="s">
        <v>6488</v>
      </c>
      <c r="AA317" t="s">
        <v>6489</v>
      </c>
      <c r="AB317" t="s">
        <v>6490</v>
      </c>
      <c r="AC317" t="s">
        <v>6491</v>
      </c>
      <c r="AD317" t="s">
        <v>6492</v>
      </c>
      <c r="AE317" t="s">
        <v>6493</v>
      </c>
      <c r="AF317" t="s">
        <v>74</v>
      </c>
      <c r="AG317">
        <v>66</v>
      </c>
      <c r="AH317">
        <v>11</v>
      </c>
      <c r="AI317">
        <v>11</v>
      </c>
      <c r="AJ317">
        <v>2</v>
      </c>
      <c r="AK317">
        <v>18</v>
      </c>
      <c r="AL317" t="s">
        <v>1039</v>
      </c>
      <c r="AM317" t="s">
        <v>816</v>
      </c>
      <c r="AN317" t="s">
        <v>1040</v>
      </c>
      <c r="AO317" t="s">
        <v>2519</v>
      </c>
      <c r="AP317" t="s">
        <v>2520</v>
      </c>
      <c r="AQ317" t="s">
        <v>74</v>
      </c>
      <c r="AR317" t="s">
        <v>2521</v>
      </c>
      <c r="AS317" t="s">
        <v>2522</v>
      </c>
      <c r="AT317" t="s">
        <v>5866</v>
      </c>
      <c r="AU317">
        <v>2015</v>
      </c>
      <c r="AV317">
        <v>362</v>
      </c>
      <c r="AW317" t="s">
        <v>74</v>
      </c>
      <c r="AX317" t="s">
        <v>74</v>
      </c>
      <c r="AY317" t="s">
        <v>74</v>
      </c>
      <c r="AZ317" t="s">
        <v>74</v>
      </c>
      <c r="BA317" t="s">
        <v>74</v>
      </c>
      <c r="BB317">
        <v>60</v>
      </c>
      <c r="BC317">
        <v>75</v>
      </c>
      <c r="BD317" t="s">
        <v>74</v>
      </c>
      <c r="BE317" t="s">
        <v>6494</v>
      </c>
      <c r="BF317" t="str">
        <f>HYPERLINK("http://dx.doi.org/10.1016/j.margeo.2015.01.011","http://dx.doi.org/10.1016/j.margeo.2015.01.011")</f>
        <v>http://dx.doi.org/10.1016/j.margeo.2015.01.011</v>
      </c>
      <c r="BG317" t="s">
        <v>74</v>
      </c>
      <c r="BH317" t="s">
        <v>74</v>
      </c>
      <c r="BI317">
        <v>16</v>
      </c>
      <c r="BJ317" t="s">
        <v>128</v>
      </c>
      <c r="BK317" t="s">
        <v>100</v>
      </c>
      <c r="BL317" t="s">
        <v>129</v>
      </c>
      <c r="BM317" t="s">
        <v>6495</v>
      </c>
      <c r="BN317" t="s">
        <v>74</v>
      </c>
      <c r="BO317" t="s">
        <v>74</v>
      </c>
      <c r="BP317" t="s">
        <v>74</v>
      </c>
      <c r="BQ317" t="s">
        <v>74</v>
      </c>
      <c r="BR317" t="s">
        <v>104</v>
      </c>
      <c r="BS317" t="s">
        <v>6496</v>
      </c>
      <c r="BT317" t="str">
        <f>HYPERLINK("https%3A%2F%2Fwww.webofscience.com%2Fwos%2Fwoscc%2Ffull-record%2FWOS:000351808300005","View Full Record in Web of Science")</f>
        <v>View Full Record in Web of Science</v>
      </c>
    </row>
    <row r="318" spans="1:72" x14ac:dyDescent="0.15">
      <c r="A318" t="s">
        <v>72</v>
      </c>
      <c r="B318" t="s">
        <v>6497</v>
      </c>
      <c r="C318" t="s">
        <v>74</v>
      </c>
      <c r="D318" t="s">
        <v>74</v>
      </c>
      <c r="E318" t="s">
        <v>74</v>
      </c>
      <c r="F318" t="s">
        <v>6498</v>
      </c>
      <c r="G318" t="s">
        <v>74</v>
      </c>
      <c r="H318" t="s">
        <v>74</v>
      </c>
      <c r="I318" t="s">
        <v>6499</v>
      </c>
      <c r="J318" t="s">
        <v>6500</v>
      </c>
      <c r="K318" t="s">
        <v>74</v>
      </c>
      <c r="L318" t="s">
        <v>74</v>
      </c>
      <c r="M318" t="s">
        <v>78</v>
      </c>
      <c r="N318" t="s">
        <v>79</v>
      </c>
      <c r="O318" t="s">
        <v>74</v>
      </c>
      <c r="P318" t="s">
        <v>74</v>
      </c>
      <c r="Q318" t="s">
        <v>74</v>
      </c>
      <c r="R318" t="s">
        <v>74</v>
      </c>
      <c r="S318" t="s">
        <v>74</v>
      </c>
      <c r="T318" t="s">
        <v>6501</v>
      </c>
      <c r="U318" t="s">
        <v>6502</v>
      </c>
      <c r="V318" t="s">
        <v>6503</v>
      </c>
      <c r="W318" t="s">
        <v>6504</v>
      </c>
      <c r="X318" t="s">
        <v>6505</v>
      </c>
      <c r="Y318" t="s">
        <v>6506</v>
      </c>
      <c r="Z318" t="s">
        <v>6507</v>
      </c>
      <c r="AA318" t="s">
        <v>6508</v>
      </c>
      <c r="AB318" t="s">
        <v>6509</v>
      </c>
      <c r="AC318" t="s">
        <v>6510</v>
      </c>
      <c r="AD318" t="s">
        <v>6511</v>
      </c>
      <c r="AE318" t="s">
        <v>6512</v>
      </c>
      <c r="AF318" t="s">
        <v>74</v>
      </c>
      <c r="AG318">
        <v>46</v>
      </c>
      <c r="AH318">
        <v>3</v>
      </c>
      <c r="AI318">
        <v>3</v>
      </c>
      <c r="AJ318">
        <v>0</v>
      </c>
      <c r="AK318">
        <v>13</v>
      </c>
      <c r="AL318" t="s">
        <v>1508</v>
      </c>
      <c r="AM318" t="s">
        <v>92</v>
      </c>
      <c r="AN318" t="s">
        <v>93</v>
      </c>
      <c r="AO318" t="s">
        <v>6513</v>
      </c>
      <c r="AP318" t="s">
        <v>6514</v>
      </c>
      <c r="AQ318" t="s">
        <v>74</v>
      </c>
      <c r="AR318" t="s">
        <v>6515</v>
      </c>
      <c r="AS318" t="s">
        <v>6516</v>
      </c>
      <c r="AT318" t="s">
        <v>5327</v>
      </c>
      <c r="AU318">
        <v>2015</v>
      </c>
      <c r="AV318">
        <v>96</v>
      </c>
      <c r="AW318">
        <v>2</v>
      </c>
      <c r="AX318" t="s">
        <v>74</v>
      </c>
      <c r="AY318" t="s">
        <v>74</v>
      </c>
      <c r="AZ318" t="s">
        <v>74</v>
      </c>
      <c r="BA318" t="s">
        <v>74</v>
      </c>
      <c r="BB318">
        <v>199</v>
      </c>
      <c r="BC318">
        <v>208</v>
      </c>
      <c r="BD318" t="s">
        <v>74</v>
      </c>
      <c r="BE318" t="s">
        <v>6517</v>
      </c>
      <c r="BF318" t="str">
        <f>HYPERLINK("http://dx.doi.org/10.1111/azo.12067","http://dx.doi.org/10.1111/azo.12067")</f>
        <v>http://dx.doi.org/10.1111/azo.12067</v>
      </c>
      <c r="BG318" t="s">
        <v>74</v>
      </c>
      <c r="BH318" t="s">
        <v>74</v>
      </c>
      <c r="BI318">
        <v>10</v>
      </c>
      <c r="BJ318" t="s">
        <v>6518</v>
      </c>
      <c r="BK318" t="s">
        <v>100</v>
      </c>
      <c r="BL318" t="s">
        <v>6518</v>
      </c>
      <c r="BM318" t="s">
        <v>6519</v>
      </c>
      <c r="BN318" t="s">
        <v>74</v>
      </c>
      <c r="BO318" t="s">
        <v>559</v>
      </c>
      <c r="BP318" t="s">
        <v>74</v>
      </c>
      <c r="BQ318" t="s">
        <v>74</v>
      </c>
      <c r="BR318" t="s">
        <v>104</v>
      </c>
      <c r="BS318" t="s">
        <v>6520</v>
      </c>
      <c r="BT318" t="str">
        <f>HYPERLINK("https%3A%2F%2Fwww.webofscience.com%2Fwos%2Fwoscc%2Ffull-record%2FWOS:000351163700009","View Full Record in Web of Science")</f>
        <v>View Full Record in Web of Science</v>
      </c>
    </row>
    <row r="319" spans="1:72" x14ac:dyDescent="0.15">
      <c r="A319" t="s">
        <v>72</v>
      </c>
      <c r="B319" t="s">
        <v>6521</v>
      </c>
      <c r="C319" t="s">
        <v>74</v>
      </c>
      <c r="D319" t="s">
        <v>74</v>
      </c>
      <c r="E319" t="s">
        <v>74</v>
      </c>
      <c r="F319" t="s">
        <v>6522</v>
      </c>
      <c r="G319" t="s">
        <v>74</v>
      </c>
      <c r="H319" t="s">
        <v>74</v>
      </c>
      <c r="I319" t="s">
        <v>6523</v>
      </c>
      <c r="J319" t="s">
        <v>6524</v>
      </c>
      <c r="K319" t="s">
        <v>74</v>
      </c>
      <c r="L319" t="s">
        <v>74</v>
      </c>
      <c r="M319" t="s">
        <v>78</v>
      </c>
      <c r="N319" t="s">
        <v>79</v>
      </c>
      <c r="O319" t="s">
        <v>74</v>
      </c>
      <c r="P319" t="s">
        <v>74</v>
      </c>
      <c r="Q319" t="s">
        <v>74</v>
      </c>
      <c r="R319" t="s">
        <v>74</v>
      </c>
      <c r="S319" t="s">
        <v>74</v>
      </c>
      <c r="T319" t="s">
        <v>6525</v>
      </c>
      <c r="U319" t="s">
        <v>6526</v>
      </c>
      <c r="V319" t="s">
        <v>6527</v>
      </c>
      <c r="W319" t="s">
        <v>6528</v>
      </c>
      <c r="X319" t="s">
        <v>6529</v>
      </c>
      <c r="Y319" t="s">
        <v>6530</v>
      </c>
      <c r="Z319" t="s">
        <v>6531</v>
      </c>
      <c r="AA319" t="s">
        <v>6532</v>
      </c>
      <c r="AB319" t="s">
        <v>6533</v>
      </c>
      <c r="AC319" t="s">
        <v>6534</v>
      </c>
      <c r="AD319" t="s">
        <v>6535</v>
      </c>
      <c r="AE319" t="s">
        <v>6536</v>
      </c>
      <c r="AF319" t="s">
        <v>74</v>
      </c>
      <c r="AG319">
        <v>38</v>
      </c>
      <c r="AH319">
        <v>5</v>
      </c>
      <c r="AI319">
        <v>6</v>
      </c>
      <c r="AJ319">
        <v>3</v>
      </c>
      <c r="AK319">
        <v>17</v>
      </c>
      <c r="AL319" t="s">
        <v>2167</v>
      </c>
      <c r="AM319" t="s">
        <v>121</v>
      </c>
      <c r="AN319" t="s">
        <v>5926</v>
      </c>
      <c r="AO319" t="s">
        <v>6537</v>
      </c>
      <c r="AP319" t="s">
        <v>6538</v>
      </c>
      <c r="AQ319" t="s">
        <v>74</v>
      </c>
      <c r="AR319" t="s">
        <v>6539</v>
      </c>
      <c r="AS319" t="s">
        <v>6540</v>
      </c>
      <c r="AT319" t="s">
        <v>5327</v>
      </c>
      <c r="AU319">
        <v>2015</v>
      </c>
      <c r="AV319">
        <v>27</v>
      </c>
      <c r="AW319">
        <v>2</v>
      </c>
      <c r="AX319" t="s">
        <v>74</v>
      </c>
      <c r="AY319" t="s">
        <v>74</v>
      </c>
      <c r="AZ319" t="s">
        <v>74</v>
      </c>
      <c r="BA319" t="s">
        <v>74</v>
      </c>
      <c r="BB319">
        <v>109</v>
      </c>
      <c r="BC319">
        <v>117</v>
      </c>
      <c r="BD319" t="s">
        <v>74</v>
      </c>
      <c r="BE319" t="s">
        <v>6541</v>
      </c>
      <c r="BF319" t="str">
        <f>HYPERLINK("http://dx.doi.org/10.1017/S0954102014000352","http://dx.doi.org/10.1017/S0954102014000352")</f>
        <v>http://dx.doi.org/10.1017/S0954102014000352</v>
      </c>
      <c r="BG319" t="s">
        <v>74</v>
      </c>
      <c r="BH319" t="s">
        <v>74</v>
      </c>
      <c r="BI319">
        <v>9</v>
      </c>
      <c r="BJ319" t="s">
        <v>6542</v>
      </c>
      <c r="BK319" t="s">
        <v>100</v>
      </c>
      <c r="BL319" t="s">
        <v>6543</v>
      </c>
      <c r="BM319" t="s">
        <v>6544</v>
      </c>
      <c r="BN319" t="s">
        <v>74</v>
      </c>
      <c r="BO319" t="s">
        <v>559</v>
      </c>
      <c r="BP319" t="s">
        <v>74</v>
      </c>
      <c r="BQ319" t="s">
        <v>74</v>
      </c>
      <c r="BR319" t="s">
        <v>104</v>
      </c>
      <c r="BS319" t="s">
        <v>6545</v>
      </c>
      <c r="BT319" t="str">
        <f>HYPERLINK("https%3A%2F%2Fwww.webofscience.com%2Fwos%2Fwoscc%2Ffull-record%2FWOS:000351295300002","View Full Record in Web of Science")</f>
        <v>View Full Record in Web of Science</v>
      </c>
    </row>
    <row r="320" spans="1:72" x14ac:dyDescent="0.15">
      <c r="A320" t="s">
        <v>72</v>
      </c>
      <c r="B320" t="s">
        <v>6546</v>
      </c>
      <c r="C320" t="s">
        <v>74</v>
      </c>
      <c r="D320" t="s">
        <v>74</v>
      </c>
      <c r="E320" t="s">
        <v>74</v>
      </c>
      <c r="F320" t="s">
        <v>6547</v>
      </c>
      <c r="G320" t="s">
        <v>74</v>
      </c>
      <c r="H320" t="s">
        <v>74</v>
      </c>
      <c r="I320" t="s">
        <v>6548</v>
      </c>
      <c r="J320" t="s">
        <v>6524</v>
      </c>
      <c r="K320" t="s">
        <v>74</v>
      </c>
      <c r="L320" t="s">
        <v>74</v>
      </c>
      <c r="M320" t="s">
        <v>78</v>
      </c>
      <c r="N320" t="s">
        <v>79</v>
      </c>
      <c r="O320" t="s">
        <v>74</v>
      </c>
      <c r="P320" t="s">
        <v>74</v>
      </c>
      <c r="Q320" t="s">
        <v>74</v>
      </c>
      <c r="R320" t="s">
        <v>74</v>
      </c>
      <c r="S320" t="s">
        <v>74</v>
      </c>
      <c r="T320" t="s">
        <v>6549</v>
      </c>
      <c r="U320" t="s">
        <v>6550</v>
      </c>
      <c r="V320" t="s">
        <v>6551</v>
      </c>
      <c r="W320" t="s">
        <v>6552</v>
      </c>
      <c r="X320" t="s">
        <v>6553</v>
      </c>
      <c r="Y320" t="s">
        <v>6554</v>
      </c>
      <c r="Z320" t="s">
        <v>6555</v>
      </c>
      <c r="AA320" t="s">
        <v>74</v>
      </c>
      <c r="AB320" t="s">
        <v>6556</v>
      </c>
      <c r="AC320" t="s">
        <v>6557</v>
      </c>
      <c r="AD320" t="s">
        <v>6558</v>
      </c>
      <c r="AE320" t="s">
        <v>6559</v>
      </c>
      <c r="AF320" t="s">
        <v>74</v>
      </c>
      <c r="AG320">
        <v>39</v>
      </c>
      <c r="AH320">
        <v>12</v>
      </c>
      <c r="AI320">
        <v>12</v>
      </c>
      <c r="AJ320">
        <v>1</v>
      </c>
      <c r="AK320">
        <v>26</v>
      </c>
      <c r="AL320" t="s">
        <v>2167</v>
      </c>
      <c r="AM320" t="s">
        <v>121</v>
      </c>
      <c r="AN320" t="s">
        <v>5926</v>
      </c>
      <c r="AO320" t="s">
        <v>6537</v>
      </c>
      <c r="AP320" t="s">
        <v>6538</v>
      </c>
      <c r="AQ320" t="s">
        <v>74</v>
      </c>
      <c r="AR320" t="s">
        <v>6539</v>
      </c>
      <c r="AS320" t="s">
        <v>6540</v>
      </c>
      <c r="AT320" t="s">
        <v>5327</v>
      </c>
      <c r="AU320">
        <v>2015</v>
      </c>
      <c r="AV320">
        <v>27</v>
      </c>
      <c r="AW320">
        <v>2</v>
      </c>
      <c r="AX320" t="s">
        <v>74</v>
      </c>
      <c r="AY320" t="s">
        <v>74</v>
      </c>
      <c r="AZ320" t="s">
        <v>74</v>
      </c>
      <c r="BA320" t="s">
        <v>74</v>
      </c>
      <c r="BB320">
        <v>118</v>
      </c>
      <c r="BC320">
        <v>133</v>
      </c>
      <c r="BD320" t="s">
        <v>74</v>
      </c>
      <c r="BE320" t="s">
        <v>6560</v>
      </c>
      <c r="BF320" t="str">
        <f>HYPERLINK("http://dx.doi.org/10.1017/S0954102014000443","http://dx.doi.org/10.1017/S0954102014000443")</f>
        <v>http://dx.doi.org/10.1017/S0954102014000443</v>
      </c>
      <c r="BG320" t="s">
        <v>74</v>
      </c>
      <c r="BH320" t="s">
        <v>74</v>
      </c>
      <c r="BI320">
        <v>16</v>
      </c>
      <c r="BJ320" t="s">
        <v>6542</v>
      </c>
      <c r="BK320" t="s">
        <v>100</v>
      </c>
      <c r="BL320" t="s">
        <v>6543</v>
      </c>
      <c r="BM320" t="s">
        <v>6544</v>
      </c>
      <c r="BN320" t="s">
        <v>74</v>
      </c>
      <c r="BO320" t="s">
        <v>74</v>
      </c>
      <c r="BP320" t="s">
        <v>74</v>
      </c>
      <c r="BQ320" t="s">
        <v>74</v>
      </c>
      <c r="BR320" t="s">
        <v>104</v>
      </c>
      <c r="BS320" t="s">
        <v>6561</v>
      </c>
      <c r="BT320" t="str">
        <f>HYPERLINK("https%3A%2F%2Fwww.webofscience.com%2Fwos%2Fwoscc%2Ffull-record%2FWOS:000351295300003","View Full Record in Web of Science")</f>
        <v>View Full Record in Web of Science</v>
      </c>
    </row>
    <row r="321" spans="1:72" x14ac:dyDescent="0.15">
      <c r="A321" t="s">
        <v>72</v>
      </c>
      <c r="B321" t="s">
        <v>6562</v>
      </c>
      <c r="C321" t="s">
        <v>74</v>
      </c>
      <c r="D321" t="s">
        <v>74</v>
      </c>
      <c r="E321" t="s">
        <v>74</v>
      </c>
      <c r="F321" t="s">
        <v>6563</v>
      </c>
      <c r="G321" t="s">
        <v>74</v>
      </c>
      <c r="H321" t="s">
        <v>74</v>
      </c>
      <c r="I321" t="s">
        <v>6564</v>
      </c>
      <c r="J321" t="s">
        <v>6524</v>
      </c>
      <c r="K321" t="s">
        <v>74</v>
      </c>
      <c r="L321" t="s">
        <v>74</v>
      </c>
      <c r="M321" t="s">
        <v>78</v>
      </c>
      <c r="N321" t="s">
        <v>79</v>
      </c>
      <c r="O321" t="s">
        <v>74</v>
      </c>
      <c r="P321" t="s">
        <v>74</v>
      </c>
      <c r="Q321" t="s">
        <v>74</v>
      </c>
      <c r="R321" t="s">
        <v>74</v>
      </c>
      <c r="S321" t="s">
        <v>74</v>
      </c>
      <c r="T321" t="s">
        <v>6565</v>
      </c>
      <c r="U321" t="s">
        <v>6566</v>
      </c>
      <c r="V321" t="s">
        <v>6567</v>
      </c>
      <c r="W321" t="s">
        <v>6568</v>
      </c>
      <c r="X321" t="s">
        <v>6569</v>
      </c>
      <c r="Y321" t="s">
        <v>6570</v>
      </c>
      <c r="Z321" t="s">
        <v>6571</v>
      </c>
      <c r="AA321" t="s">
        <v>6572</v>
      </c>
      <c r="AB321" t="s">
        <v>6573</v>
      </c>
      <c r="AC321" t="s">
        <v>6574</v>
      </c>
      <c r="AD321" t="s">
        <v>574</v>
      </c>
      <c r="AE321" t="s">
        <v>6575</v>
      </c>
      <c r="AF321" t="s">
        <v>74</v>
      </c>
      <c r="AG321">
        <v>29</v>
      </c>
      <c r="AH321">
        <v>7</v>
      </c>
      <c r="AI321">
        <v>7</v>
      </c>
      <c r="AJ321">
        <v>0</v>
      </c>
      <c r="AK321">
        <v>16</v>
      </c>
      <c r="AL321" t="s">
        <v>2167</v>
      </c>
      <c r="AM321" t="s">
        <v>121</v>
      </c>
      <c r="AN321" t="s">
        <v>5926</v>
      </c>
      <c r="AO321" t="s">
        <v>6537</v>
      </c>
      <c r="AP321" t="s">
        <v>6538</v>
      </c>
      <c r="AQ321" t="s">
        <v>74</v>
      </c>
      <c r="AR321" t="s">
        <v>6539</v>
      </c>
      <c r="AS321" t="s">
        <v>6540</v>
      </c>
      <c r="AT321" t="s">
        <v>5327</v>
      </c>
      <c r="AU321">
        <v>2015</v>
      </c>
      <c r="AV321">
        <v>27</v>
      </c>
      <c r="AW321">
        <v>2</v>
      </c>
      <c r="AX321" t="s">
        <v>74</v>
      </c>
      <c r="AY321" t="s">
        <v>74</v>
      </c>
      <c r="AZ321" t="s">
        <v>74</v>
      </c>
      <c r="BA321" t="s">
        <v>74</v>
      </c>
      <c r="BB321">
        <v>134</v>
      </c>
      <c r="BC321">
        <v>149</v>
      </c>
      <c r="BD321" t="s">
        <v>74</v>
      </c>
      <c r="BE321" t="s">
        <v>6576</v>
      </c>
      <c r="BF321" t="str">
        <f>HYPERLINK("http://dx.doi.org/10.1017/S0954102014000455","http://dx.doi.org/10.1017/S0954102014000455")</f>
        <v>http://dx.doi.org/10.1017/S0954102014000455</v>
      </c>
      <c r="BG321" t="s">
        <v>74</v>
      </c>
      <c r="BH321" t="s">
        <v>74</v>
      </c>
      <c r="BI321">
        <v>16</v>
      </c>
      <c r="BJ321" t="s">
        <v>6542</v>
      </c>
      <c r="BK321" t="s">
        <v>100</v>
      </c>
      <c r="BL321" t="s">
        <v>6543</v>
      </c>
      <c r="BM321" t="s">
        <v>6544</v>
      </c>
      <c r="BN321" t="s">
        <v>74</v>
      </c>
      <c r="BO321" t="s">
        <v>74</v>
      </c>
      <c r="BP321" t="s">
        <v>74</v>
      </c>
      <c r="BQ321" t="s">
        <v>74</v>
      </c>
      <c r="BR321" t="s">
        <v>104</v>
      </c>
      <c r="BS321" t="s">
        <v>6577</v>
      </c>
      <c r="BT321" t="str">
        <f>HYPERLINK("https%3A%2F%2Fwww.webofscience.com%2Fwos%2Fwoscc%2Ffull-record%2FWOS:000351295300004","View Full Record in Web of Science")</f>
        <v>View Full Record in Web of Science</v>
      </c>
    </row>
    <row r="322" spans="1:72" x14ac:dyDescent="0.15">
      <c r="A322" t="s">
        <v>72</v>
      </c>
      <c r="B322" t="s">
        <v>6578</v>
      </c>
      <c r="C322" t="s">
        <v>74</v>
      </c>
      <c r="D322" t="s">
        <v>74</v>
      </c>
      <c r="E322" t="s">
        <v>74</v>
      </c>
      <c r="F322" t="s">
        <v>6579</v>
      </c>
      <c r="G322" t="s">
        <v>74</v>
      </c>
      <c r="H322" t="s">
        <v>74</v>
      </c>
      <c r="I322" t="s">
        <v>6580</v>
      </c>
      <c r="J322" t="s">
        <v>6524</v>
      </c>
      <c r="K322" t="s">
        <v>74</v>
      </c>
      <c r="L322" t="s">
        <v>74</v>
      </c>
      <c r="M322" t="s">
        <v>78</v>
      </c>
      <c r="N322" t="s">
        <v>79</v>
      </c>
      <c r="O322" t="s">
        <v>74</v>
      </c>
      <c r="P322" t="s">
        <v>74</v>
      </c>
      <c r="Q322" t="s">
        <v>74</v>
      </c>
      <c r="R322" t="s">
        <v>74</v>
      </c>
      <c r="S322" t="s">
        <v>74</v>
      </c>
      <c r="T322" t="s">
        <v>6581</v>
      </c>
      <c r="U322" t="s">
        <v>6582</v>
      </c>
      <c r="V322" t="s">
        <v>6583</v>
      </c>
      <c r="W322" t="s">
        <v>6584</v>
      </c>
      <c r="X322" t="s">
        <v>6585</v>
      </c>
      <c r="Y322" t="s">
        <v>6586</v>
      </c>
      <c r="Z322" t="s">
        <v>1339</v>
      </c>
      <c r="AA322" t="s">
        <v>6587</v>
      </c>
      <c r="AB322" t="s">
        <v>6588</v>
      </c>
      <c r="AC322" t="s">
        <v>6589</v>
      </c>
      <c r="AD322" t="s">
        <v>6589</v>
      </c>
      <c r="AE322" t="s">
        <v>6590</v>
      </c>
      <c r="AF322" t="s">
        <v>74</v>
      </c>
      <c r="AG322">
        <v>31</v>
      </c>
      <c r="AH322">
        <v>9</v>
      </c>
      <c r="AI322">
        <v>11</v>
      </c>
      <c r="AJ322">
        <v>1</v>
      </c>
      <c r="AK322">
        <v>15</v>
      </c>
      <c r="AL322" t="s">
        <v>2167</v>
      </c>
      <c r="AM322" t="s">
        <v>121</v>
      </c>
      <c r="AN322" t="s">
        <v>5926</v>
      </c>
      <c r="AO322" t="s">
        <v>6537</v>
      </c>
      <c r="AP322" t="s">
        <v>6538</v>
      </c>
      <c r="AQ322" t="s">
        <v>74</v>
      </c>
      <c r="AR322" t="s">
        <v>6539</v>
      </c>
      <c r="AS322" t="s">
        <v>6540</v>
      </c>
      <c r="AT322" t="s">
        <v>5327</v>
      </c>
      <c r="AU322">
        <v>2015</v>
      </c>
      <c r="AV322">
        <v>27</v>
      </c>
      <c r="AW322">
        <v>2</v>
      </c>
      <c r="AX322" t="s">
        <v>74</v>
      </c>
      <c r="AY322" t="s">
        <v>74</v>
      </c>
      <c r="AZ322" t="s">
        <v>74</v>
      </c>
      <c r="BA322" t="s">
        <v>74</v>
      </c>
      <c r="BB322">
        <v>150</v>
      </c>
      <c r="BC322">
        <v>161</v>
      </c>
      <c r="BD322" t="s">
        <v>74</v>
      </c>
      <c r="BE322" t="s">
        <v>6591</v>
      </c>
      <c r="BF322" t="str">
        <f>HYPERLINK("http://dx.doi.org/10.1017/S0954102014000522","http://dx.doi.org/10.1017/S0954102014000522")</f>
        <v>http://dx.doi.org/10.1017/S0954102014000522</v>
      </c>
      <c r="BG322" t="s">
        <v>74</v>
      </c>
      <c r="BH322" t="s">
        <v>74</v>
      </c>
      <c r="BI322">
        <v>12</v>
      </c>
      <c r="BJ322" t="s">
        <v>6542</v>
      </c>
      <c r="BK322" t="s">
        <v>100</v>
      </c>
      <c r="BL322" t="s">
        <v>6543</v>
      </c>
      <c r="BM322" t="s">
        <v>6544</v>
      </c>
      <c r="BN322" t="s">
        <v>74</v>
      </c>
      <c r="BO322" t="s">
        <v>74</v>
      </c>
      <c r="BP322" t="s">
        <v>74</v>
      </c>
      <c r="BQ322" t="s">
        <v>74</v>
      </c>
      <c r="BR322" t="s">
        <v>104</v>
      </c>
      <c r="BS322" t="s">
        <v>6592</v>
      </c>
      <c r="BT322" t="str">
        <f>HYPERLINK("https%3A%2F%2Fwww.webofscience.com%2Fwos%2Fwoscc%2Ffull-record%2FWOS:000351295300005","View Full Record in Web of Science")</f>
        <v>View Full Record in Web of Science</v>
      </c>
    </row>
    <row r="323" spans="1:72" x14ac:dyDescent="0.15">
      <c r="A323" t="s">
        <v>72</v>
      </c>
      <c r="B323" t="s">
        <v>6593</v>
      </c>
      <c r="C323" t="s">
        <v>74</v>
      </c>
      <c r="D323" t="s">
        <v>74</v>
      </c>
      <c r="E323" t="s">
        <v>74</v>
      </c>
      <c r="F323" t="s">
        <v>6594</v>
      </c>
      <c r="G323" t="s">
        <v>74</v>
      </c>
      <c r="H323" t="s">
        <v>74</v>
      </c>
      <c r="I323" t="s">
        <v>6595</v>
      </c>
      <c r="J323" t="s">
        <v>6524</v>
      </c>
      <c r="K323" t="s">
        <v>74</v>
      </c>
      <c r="L323" t="s">
        <v>74</v>
      </c>
      <c r="M323" t="s">
        <v>78</v>
      </c>
      <c r="N323" t="s">
        <v>79</v>
      </c>
      <c r="O323" t="s">
        <v>74</v>
      </c>
      <c r="P323" t="s">
        <v>74</v>
      </c>
      <c r="Q323" t="s">
        <v>74</v>
      </c>
      <c r="R323" t="s">
        <v>74</v>
      </c>
      <c r="S323" t="s">
        <v>74</v>
      </c>
      <c r="T323" t="s">
        <v>6596</v>
      </c>
      <c r="U323" t="s">
        <v>6597</v>
      </c>
      <c r="V323" t="s">
        <v>6598</v>
      </c>
      <c r="W323" t="s">
        <v>6599</v>
      </c>
      <c r="X323" t="s">
        <v>6600</v>
      </c>
      <c r="Y323" t="s">
        <v>6601</v>
      </c>
      <c r="Z323" t="s">
        <v>6602</v>
      </c>
      <c r="AA323" t="s">
        <v>74</v>
      </c>
      <c r="AB323" t="s">
        <v>6603</v>
      </c>
      <c r="AC323" t="s">
        <v>6604</v>
      </c>
      <c r="AD323" t="s">
        <v>6605</v>
      </c>
      <c r="AE323" t="s">
        <v>6606</v>
      </c>
      <c r="AF323" t="s">
        <v>74</v>
      </c>
      <c r="AG323">
        <v>33</v>
      </c>
      <c r="AH323">
        <v>8</v>
      </c>
      <c r="AI323">
        <v>9</v>
      </c>
      <c r="AJ323">
        <v>0</v>
      </c>
      <c r="AK323">
        <v>11</v>
      </c>
      <c r="AL323" t="s">
        <v>2167</v>
      </c>
      <c r="AM323" t="s">
        <v>121</v>
      </c>
      <c r="AN323" t="s">
        <v>5926</v>
      </c>
      <c r="AO323" t="s">
        <v>6537</v>
      </c>
      <c r="AP323" t="s">
        <v>6538</v>
      </c>
      <c r="AQ323" t="s">
        <v>74</v>
      </c>
      <c r="AR323" t="s">
        <v>6539</v>
      </c>
      <c r="AS323" t="s">
        <v>6540</v>
      </c>
      <c r="AT323" t="s">
        <v>5327</v>
      </c>
      <c r="AU323">
        <v>2015</v>
      </c>
      <c r="AV323">
        <v>27</v>
      </c>
      <c r="AW323">
        <v>2</v>
      </c>
      <c r="AX323" t="s">
        <v>74</v>
      </c>
      <c r="AY323" t="s">
        <v>74</v>
      </c>
      <c r="AZ323" t="s">
        <v>74</v>
      </c>
      <c r="BA323" t="s">
        <v>74</v>
      </c>
      <c r="BB323">
        <v>163</v>
      </c>
      <c r="BC323">
        <v>171</v>
      </c>
      <c r="BD323" t="s">
        <v>74</v>
      </c>
      <c r="BE323" t="s">
        <v>6607</v>
      </c>
      <c r="BF323" t="str">
        <f>HYPERLINK("http://dx.doi.org/10.1017/S0954102014000479","http://dx.doi.org/10.1017/S0954102014000479")</f>
        <v>http://dx.doi.org/10.1017/S0954102014000479</v>
      </c>
      <c r="BG323" t="s">
        <v>74</v>
      </c>
      <c r="BH323" t="s">
        <v>74</v>
      </c>
      <c r="BI323">
        <v>9</v>
      </c>
      <c r="BJ323" t="s">
        <v>6542</v>
      </c>
      <c r="BK323" t="s">
        <v>100</v>
      </c>
      <c r="BL323" t="s">
        <v>6543</v>
      </c>
      <c r="BM323" t="s">
        <v>6544</v>
      </c>
      <c r="BN323" t="s">
        <v>74</v>
      </c>
      <c r="BO323" t="s">
        <v>74</v>
      </c>
      <c r="BP323" t="s">
        <v>74</v>
      </c>
      <c r="BQ323" t="s">
        <v>74</v>
      </c>
      <c r="BR323" t="s">
        <v>104</v>
      </c>
      <c r="BS323" t="s">
        <v>6608</v>
      </c>
      <c r="BT323" t="str">
        <f>HYPERLINK("https%3A%2F%2Fwww.webofscience.com%2Fwos%2Fwoscc%2Ffull-record%2FWOS:000351295300006","View Full Record in Web of Science")</f>
        <v>View Full Record in Web of Science</v>
      </c>
    </row>
    <row r="324" spans="1:72" x14ac:dyDescent="0.15">
      <c r="A324" t="s">
        <v>72</v>
      </c>
      <c r="B324" t="s">
        <v>6609</v>
      </c>
      <c r="C324" t="s">
        <v>74</v>
      </c>
      <c r="D324" t="s">
        <v>74</v>
      </c>
      <c r="E324" t="s">
        <v>74</v>
      </c>
      <c r="F324" t="s">
        <v>6610</v>
      </c>
      <c r="G324" t="s">
        <v>74</v>
      </c>
      <c r="H324" t="s">
        <v>74</v>
      </c>
      <c r="I324" t="s">
        <v>6611</v>
      </c>
      <c r="J324" t="s">
        <v>6524</v>
      </c>
      <c r="K324" t="s">
        <v>74</v>
      </c>
      <c r="L324" t="s">
        <v>74</v>
      </c>
      <c r="M324" t="s">
        <v>78</v>
      </c>
      <c r="N324" t="s">
        <v>79</v>
      </c>
      <c r="O324" t="s">
        <v>74</v>
      </c>
      <c r="P324" t="s">
        <v>74</v>
      </c>
      <c r="Q324" t="s">
        <v>74</v>
      </c>
      <c r="R324" t="s">
        <v>74</v>
      </c>
      <c r="S324" t="s">
        <v>74</v>
      </c>
      <c r="T324" t="s">
        <v>6612</v>
      </c>
      <c r="U324" t="s">
        <v>6613</v>
      </c>
      <c r="V324" t="s">
        <v>6614</v>
      </c>
      <c r="W324" t="s">
        <v>6615</v>
      </c>
      <c r="X324" t="s">
        <v>6616</v>
      </c>
      <c r="Y324" t="s">
        <v>6617</v>
      </c>
      <c r="Z324" t="s">
        <v>6618</v>
      </c>
      <c r="AA324" t="s">
        <v>6619</v>
      </c>
      <c r="AB324" t="s">
        <v>6620</v>
      </c>
      <c r="AC324" t="s">
        <v>6621</v>
      </c>
      <c r="AD324" t="s">
        <v>6622</v>
      </c>
      <c r="AE324" t="s">
        <v>6623</v>
      </c>
      <c r="AF324" t="s">
        <v>74</v>
      </c>
      <c r="AG324">
        <v>26</v>
      </c>
      <c r="AH324">
        <v>0</v>
      </c>
      <c r="AI324">
        <v>2</v>
      </c>
      <c r="AJ324">
        <v>1</v>
      </c>
      <c r="AK324">
        <v>13</v>
      </c>
      <c r="AL324" t="s">
        <v>2167</v>
      </c>
      <c r="AM324" t="s">
        <v>121</v>
      </c>
      <c r="AN324" t="s">
        <v>5926</v>
      </c>
      <c r="AO324" t="s">
        <v>6537</v>
      </c>
      <c r="AP324" t="s">
        <v>6538</v>
      </c>
      <c r="AQ324" t="s">
        <v>74</v>
      </c>
      <c r="AR324" t="s">
        <v>6539</v>
      </c>
      <c r="AS324" t="s">
        <v>6540</v>
      </c>
      <c r="AT324" t="s">
        <v>5327</v>
      </c>
      <c r="AU324">
        <v>2015</v>
      </c>
      <c r="AV324">
        <v>27</v>
      </c>
      <c r="AW324">
        <v>2</v>
      </c>
      <c r="AX324" t="s">
        <v>74</v>
      </c>
      <c r="AY324" t="s">
        <v>74</v>
      </c>
      <c r="AZ324" t="s">
        <v>74</v>
      </c>
      <c r="BA324" t="s">
        <v>74</v>
      </c>
      <c r="BB324">
        <v>173</v>
      </c>
      <c r="BC324">
        <v>184</v>
      </c>
      <c r="BD324" t="s">
        <v>74</v>
      </c>
      <c r="BE324" t="s">
        <v>6624</v>
      </c>
      <c r="BF324" t="str">
        <f>HYPERLINK("http://dx.doi.org/10.1017/S0954102014000558","http://dx.doi.org/10.1017/S0954102014000558")</f>
        <v>http://dx.doi.org/10.1017/S0954102014000558</v>
      </c>
      <c r="BG324" t="s">
        <v>74</v>
      </c>
      <c r="BH324" t="s">
        <v>74</v>
      </c>
      <c r="BI324">
        <v>12</v>
      </c>
      <c r="BJ324" t="s">
        <v>6542</v>
      </c>
      <c r="BK324" t="s">
        <v>100</v>
      </c>
      <c r="BL324" t="s">
        <v>6543</v>
      </c>
      <c r="BM324" t="s">
        <v>6544</v>
      </c>
      <c r="BN324" t="s">
        <v>74</v>
      </c>
      <c r="BO324" t="s">
        <v>74</v>
      </c>
      <c r="BP324" t="s">
        <v>74</v>
      </c>
      <c r="BQ324" t="s">
        <v>74</v>
      </c>
      <c r="BR324" t="s">
        <v>104</v>
      </c>
      <c r="BS324" t="s">
        <v>6625</v>
      </c>
      <c r="BT324" t="str">
        <f>HYPERLINK("https%3A%2F%2Fwww.webofscience.com%2Fwos%2Fwoscc%2Ffull-record%2FWOS:000351295300007","View Full Record in Web of Science")</f>
        <v>View Full Record in Web of Science</v>
      </c>
    </row>
    <row r="325" spans="1:72" x14ac:dyDescent="0.15">
      <c r="A325" t="s">
        <v>72</v>
      </c>
      <c r="B325" t="s">
        <v>6626</v>
      </c>
      <c r="C325" t="s">
        <v>74</v>
      </c>
      <c r="D325" t="s">
        <v>74</v>
      </c>
      <c r="E325" t="s">
        <v>74</v>
      </c>
      <c r="F325" t="s">
        <v>6627</v>
      </c>
      <c r="G325" t="s">
        <v>74</v>
      </c>
      <c r="H325" t="s">
        <v>74</v>
      </c>
      <c r="I325" t="s">
        <v>6628</v>
      </c>
      <c r="J325" t="s">
        <v>6524</v>
      </c>
      <c r="K325" t="s">
        <v>74</v>
      </c>
      <c r="L325" t="s">
        <v>74</v>
      </c>
      <c r="M325" t="s">
        <v>78</v>
      </c>
      <c r="N325" t="s">
        <v>79</v>
      </c>
      <c r="O325" t="s">
        <v>74</v>
      </c>
      <c r="P325" t="s">
        <v>74</v>
      </c>
      <c r="Q325" t="s">
        <v>74</v>
      </c>
      <c r="R325" t="s">
        <v>74</v>
      </c>
      <c r="S325" t="s">
        <v>74</v>
      </c>
      <c r="T325" t="s">
        <v>6629</v>
      </c>
      <c r="U325" t="s">
        <v>6630</v>
      </c>
      <c r="V325" t="s">
        <v>6631</v>
      </c>
      <c r="W325" t="s">
        <v>6632</v>
      </c>
      <c r="X325" t="s">
        <v>6633</v>
      </c>
      <c r="Y325" t="s">
        <v>6634</v>
      </c>
      <c r="Z325" t="s">
        <v>6635</v>
      </c>
      <c r="AA325" t="s">
        <v>6636</v>
      </c>
      <c r="AB325" t="s">
        <v>6637</v>
      </c>
      <c r="AC325" t="s">
        <v>6638</v>
      </c>
      <c r="AD325" t="s">
        <v>6639</v>
      </c>
      <c r="AE325" t="s">
        <v>6640</v>
      </c>
      <c r="AF325" t="s">
        <v>74</v>
      </c>
      <c r="AG325">
        <v>23</v>
      </c>
      <c r="AH325">
        <v>4</v>
      </c>
      <c r="AI325">
        <v>6</v>
      </c>
      <c r="AJ325">
        <v>0</v>
      </c>
      <c r="AK325">
        <v>25</v>
      </c>
      <c r="AL325" t="s">
        <v>2167</v>
      </c>
      <c r="AM325" t="s">
        <v>121</v>
      </c>
      <c r="AN325" t="s">
        <v>5926</v>
      </c>
      <c r="AO325" t="s">
        <v>6537</v>
      </c>
      <c r="AP325" t="s">
        <v>6538</v>
      </c>
      <c r="AQ325" t="s">
        <v>74</v>
      </c>
      <c r="AR325" t="s">
        <v>6539</v>
      </c>
      <c r="AS325" t="s">
        <v>6540</v>
      </c>
      <c r="AT325" t="s">
        <v>5327</v>
      </c>
      <c r="AU325">
        <v>2015</v>
      </c>
      <c r="AV325">
        <v>27</v>
      </c>
      <c r="AW325">
        <v>2</v>
      </c>
      <c r="AX325" t="s">
        <v>74</v>
      </c>
      <c r="AY325" t="s">
        <v>74</v>
      </c>
      <c r="AZ325" t="s">
        <v>74</v>
      </c>
      <c r="BA325" t="s">
        <v>74</v>
      </c>
      <c r="BB325">
        <v>210</v>
      </c>
      <c r="BC325">
        <v>222</v>
      </c>
      <c r="BD325" t="s">
        <v>74</v>
      </c>
      <c r="BE325" t="s">
        <v>6641</v>
      </c>
      <c r="BF325" t="str">
        <f>HYPERLINK("http://dx.doi.org/10.1017/S0954102014000704","http://dx.doi.org/10.1017/S0954102014000704")</f>
        <v>http://dx.doi.org/10.1017/S0954102014000704</v>
      </c>
      <c r="BG325" t="s">
        <v>74</v>
      </c>
      <c r="BH325" t="s">
        <v>74</v>
      </c>
      <c r="BI325">
        <v>13</v>
      </c>
      <c r="BJ325" t="s">
        <v>6542</v>
      </c>
      <c r="BK325" t="s">
        <v>100</v>
      </c>
      <c r="BL325" t="s">
        <v>6543</v>
      </c>
      <c r="BM325" t="s">
        <v>6544</v>
      </c>
      <c r="BN325" t="s">
        <v>74</v>
      </c>
      <c r="BO325" t="s">
        <v>74</v>
      </c>
      <c r="BP325" t="s">
        <v>74</v>
      </c>
      <c r="BQ325" t="s">
        <v>74</v>
      </c>
      <c r="BR325" t="s">
        <v>104</v>
      </c>
      <c r="BS325" t="s">
        <v>6642</v>
      </c>
      <c r="BT325" t="str">
        <f>HYPERLINK("https%3A%2F%2Fwww.webofscience.com%2Fwos%2Fwoscc%2Ffull-record%2FWOS:000351295300010","View Full Record in Web of Science")</f>
        <v>View Full Record in Web of Science</v>
      </c>
    </row>
    <row r="326" spans="1:72" x14ac:dyDescent="0.15">
      <c r="A326" t="s">
        <v>72</v>
      </c>
      <c r="B326" t="s">
        <v>6643</v>
      </c>
      <c r="C326" t="s">
        <v>74</v>
      </c>
      <c r="D326" t="s">
        <v>74</v>
      </c>
      <c r="E326" t="s">
        <v>74</v>
      </c>
      <c r="F326" t="s">
        <v>6644</v>
      </c>
      <c r="G326" t="s">
        <v>74</v>
      </c>
      <c r="H326" t="s">
        <v>74</v>
      </c>
      <c r="I326" t="s">
        <v>6645</v>
      </c>
      <c r="J326" t="s">
        <v>4085</v>
      </c>
      <c r="K326" t="s">
        <v>74</v>
      </c>
      <c r="L326" t="s">
        <v>74</v>
      </c>
      <c r="M326" t="s">
        <v>78</v>
      </c>
      <c r="N326" t="s">
        <v>79</v>
      </c>
      <c r="O326" t="s">
        <v>74</v>
      </c>
      <c r="P326" t="s">
        <v>74</v>
      </c>
      <c r="Q326" t="s">
        <v>74</v>
      </c>
      <c r="R326" t="s">
        <v>74</v>
      </c>
      <c r="S326" t="s">
        <v>74</v>
      </c>
      <c r="T326" t="s">
        <v>6646</v>
      </c>
      <c r="U326" t="s">
        <v>6647</v>
      </c>
      <c r="V326" t="s">
        <v>6648</v>
      </c>
      <c r="W326" t="s">
        <v>6649</v>
      </c>
      <c r="X326" t="s">
        <v>6650</v>
      </c>
      <c r="Y326" t="s">
        <v>6651</v>
      </c>
      <c r="Z326" t="s">
        <v>6652</v>
      </c>
      <c r="AA326" t="s">
        <v>6653</v>
      </c>
      <c r="AB326" t="s">
        <v>6654</v>
      </c>
      <c r="AC326" t="s">
        <v>6655</v>
      </c>
      <c r="AD326" t="s">
        <v>6656</v>
      </c>
      <c r="AE326" t="s">
        <v>6657</v>
      </c>
      <c r="AF326" t="s">
        <v>74</v>
      </c>
      <c r="AG326">
        <v>59</v>
      </c>
      <c r="AH326">
        <v>9</v>
      </c>
      <c r="AI326">
        <v>9</v>
      </c>
      <c r="AJ326">
        <v>0</v>
      </c>
      <c r="AK326">
        <v>12</v>
      </c>
      <c r="AL326" t="s">
        <v>120</v>
      </c>
      <c r="AM326" t="s">
        <v>121</v>
      </c>
      <c r="AN326" t="s">
        <v>1304</v>
      </c>
      <c r="AO326" t="s">
        <v>4096</v>
      </c>
      <c r="AP326" t="s">
        <v>4097</v>
      </c>
      <c r="AQ326" t="s">
        <v>74</v>
      </c>
      <c r="AR326" t="s">
        <v>4098</v>
      </c>
      <c r="AS326" t="s">
        <v>4099</v>
      </c>
      <c r="AT326" t="s">
        <v>5327</v>
      </c>
      <c r="AU326">
        <v>2015</v>
      </c>
      <c r="AV326">
        <v>44</v>
      </c>
      <c r="AW326" t="s">
        <v>6658</v>
      </c>
      <c r="AX326" t="s">
        <v>74</v>
      </c>
      <c r="AY326" t="s">
        <v>74</v>
      </c>
      <c r="AZ326" t="s">
        <v>74</v>
      </c>
      <c r="BA326" t="s">
        <v>74</v>
      </c>
      <c r="BB326">
        <v>1841</v>
      </c>
      <c r="BC326">
        <v>1855</v>
      </c>
      <c r="BD326" t="s">
        <v>74</v>
      </c>
      <c r="BE326" t="s">
        <v>6659</v>
      </c>
      <c r="BF326" t="str">
        <f>HYPERLINK("http://dx.doi.org/10.1007/s00382-014-2375-2","http://dx.doi.org/10.1007/s00382-014-2375-2")</f>
        <v>http://dx.doi.org/10.1007/s00382-014-2375-2</v>
      </c>
      <c r="BG326" t="s">
        <v>74</v>
      </c>
      <c r="BH326" t="s">
        <v>74</v>
      </c>
      <c r="BI326">
        <v>15</v>
      </c>
      <c r="BJ326" t="s">
        <v>406</v>
      </c>
      <c r="BK326" t="s">
        <v>100</v>
      </c>
      <c r="BL326" t="s">
        <v>406</v>
      </c>
      <c r="BM326" t="s">
        <v>6660</v>
      </c>
      <c r="BN326" t="s">
        <v>74</v>
      </c>
      <c r="BO326" t="s">
        <v>74</v>
      </c>
      <c r="BP326" t="s">
        <v>74</v>
      </c>
      <c r="BQ326" t="s">
        <v>74</v>
      </c>
      <c r="BR326" t="s">
        <v>104</v>
      </c>
      <c r="BS326" t="s">
        <v>6661</v>
      </c>
      <c r="BT326" t="str">
        <f>HYPERLINK("https%3A%2F%2Fwww.webofscience.com%2Fwos%2Fwoscc%2Ffull-record%2FWOS:000351458300008","View Full Record in Web of Science")</f>
        <v>View Full Record in Web of Science</v>
      </c>
    </row>
    <row r="327" spans="1:72" x14ac:dyDescent="0.15">
      <c r="A327" t="s">
        <v>72</v>
      </c>
      <c r="B327" t="s">
        <v>6662</v>
      </c>
      <c r="C327" t="s">
        <v>74</v>
      </c>
      <c r="D327" t="s">
        <v>74</v>
      </c>
      <c r="E327" t="s">
        <v>74</v>
      </c>
      <c r="F327" t="s">
        <v>6663</v>
      </c>
      <c r="G327" t="s">
        <v>74</v>
      </c>
      <c r="H327" t="s">
        <v>74</v>
      </c>
      <c r="I327" t="s">
        <v>6664</v>
      </c>
      <c r="J327" t="s">
        <v>4085</v>
      </c>
      <c r="K327" t="s">
        <v>74</v>
      </c>
      <c r="L327" t="s">
        <v>74</v>
      </c>
      <c r="M327" t="s">
        <v>78</v>
      </c>
      <c r="N327" t="s">
        <v>79</v>
      </c>
      <c r="O327" t="s">
        <v>74</v>
      </c>
      <c r="P327" t="s">
        <v>74</v>
      </c>
      <c r="Q327" t="s">
        <v>74</v>
      </c>
      <c r="R327" t="s">
        <v>74</v>
      </c>
      <c r="S327" t="s">
        <v>74</v>
      </c>
      <c r="T327" t="s">
        <v>6665</v>
      </c>
      <c r="U327" t="s">
        <v>6666</v>
      </c>
      <c r="V327" t="s">
        <v>6667</v>
      </c>
      <c r="W327" t="s">
        <v>6668</v>
      </c>
      <c r="X327" t="s">
        <v>6669</v>
      </c>
      <c r="Y327" t="s">
        <v>6670</v>
      </c>
      <c r="Z327" t="s">
        <v>6671</v>
      </c>
      <c r="AA327" t="s">
        <v>74</v>
      </c>
      <c r="AB327" t="s">
        <v>74</v>
      </c>
      <c r="AC327" t="s">
        <v>6672</v>
      </c>
      <c r="AD327" t="s">
        <v>6673</v>
      </c>
      <c r="AE327" t="s">
        <v>6674</v>
      </c>
      <c r="AF327" t="s">
        <v>74</v>
      </c>
      <c r="AG327">
        <v>42</v>
      </c>
      <c r="AH327">
        <v>159</v>
      </c>
      <c r="AI327">
        <v>175</v>
      </c>
      <c r="AJ327">
        <v>3</v>
      </c>
      <c r="AK327">
        <v>63</v>
      </c>
      <c r="AL327" t="s">
        <v>120</v>
      </c>
      <c r="AM327" t="s">
        <v>121</v>
      </c>
      <c r="AN327" t="s">
        <v>122</v>
      </c>
      <c r="AO327" t="s">
        <v>4096</v>
      </c>
      <c r="AP327" t="s">
        <v>4097</v>
      </c>
      <c r="AQ327" t="s">
        <v>74</v>
      </c>
      <c r="AR327" t="s">
        <v>4098</v>
      </c>
      <c r="AS327" t="s">
        <v>4099</v>
      </c>
      <c r="AT327" t="s">
        <v>5327</v>
      </c>
      <c r="AU327">
        <v>2015</v>
      </c>
      <c r="AV327">
        <v>44</v>
      </c>
      <c r="AW327" t="s">
        <v>6658</v>
      </c>
      <c r="AX327" t="s">
        <v>74</v>
      </c>
      <c r="AY327" t="s">
        <v>74</v>
      </c>
      <c r="AZ327" t="s">
        <v>74</v>
      </c>
      <c r="BA327" t="s">
        <v>74</v>
      </c>
      <c r="BB327">
        <v>2287</v>
      </c>
      <c r="BC327">
        <v>2299</v>
      </c>
      <c r="BD327" t="s">
        <v>74</v>
      </c>
      <c r="BE327" t="s">
        <v>6675</v>
      </c>
      <c r="BF327" t="str">
        <f>HYPERLINK("http://dx.doi.org/10.1007/s00382-014-2308-0","http://dx.doi.org/10.1007/s00382-014-2308-0")</f>
        <v>http://dx.doi.org/10.1007/s00382-014-2308-0</v>
      </c>
      <c r="BG327" t="s">
        <v>74</v>
      </c>
      <c r="BH327" t="s">
        <v>74</v>
      </c>
      <c r="BI327">
        <v>13</v>
      </c>
      <c r="BJ327" t="s">
        <v>406</v>
      </c>
      <c r="BK327" t="s">
        <v>100</v>
      </c>
      <c r="BL327" t="s">
        <v>406</v>
      </c>
      <c r="BM327" t="s">
        <v>6660</v>
      </c>
      <c r="BN327" t="s">
        <v>74</v>
      </c>
      <c r="BO327" t="s">
        <v>1542</v>
      </c>
      <c r="BP327" t="s">
        <v>74</v>
      </c>
      <c r="BQ327" t="s">
        <v>74</v>
      </c>
      <c r="BR327" t="s">
        <v>104</v>
      </c>
      <c r="BS327" t="s">
        <v>6676</v>
      </c>
      <c r="BT327" t="str">
        <f>HYPERLINK("https%3A%2F%2Fwww.webofscience.com%2Fwos%2Fwoscc%2Ffull-record%2FWOS:000351458300033","View Full Record in Web of Science")</f>
        <v>View Full Record in Web of Science</v>
      </c>
    </row>
    <row r="328" spans="1:72" x14ac:dyDescent="0.15">
      <c r="A328" t="s">
        <v>72</v>
      </c>
      <c r="B328" t="s">
        <v>6677</v>
      </c>
      <c r="C328" t="s">
        <v>74</v>
      </c>
      <c r="D328" t="s">
        <v>74</v>
      </c>
      <c r="E328" t="s">
        <v>74</v>
      </c>
      <c r="F328" t="s">
        <v>6678</v>
      </c>
      <c r="G328" t="s">
        <v>74</v>
      </c>
      <c r="H328" t="s">
        <v>74</v>
      </c>
      <c r="I328" t="s">
        <v>6679</v>
      </c>
      <c r="J328" t="s">
        <v>6680</v>
      </c>
      <c r="K328" t="s">
        <v>74</v>
      </c>
      <c r="L328" t="s">
        <v>74</v>
      </c>
      <c r="M328" t="s">
        <v>78</v>
      </c>
      <c r="N328" t="s">
        <v>79</v>
      </c>
      <c r="O328" t="s">
        <v>74</v>
      </c>
      <c r="P328" t="s">
        <v>74</v>
      </c>
      <c r="Q328" t="s">
        <v>74</v>
      </c>
      <c r="R328" t="s">
        <v>74</v>
      </c>
      <c r="S328" t="s">
        <v>74</v>
      </c>
      <c r="T328" t="s">
        <v>6681</v>
      </c>
      <c r="U328" t="s">
        <v>6682</v>
      </c>
      <c r="V328" t="s">
        <v>6683</v>
      </c>
      <c r="W328" t="s">
        <v>6684</v>
      </c>
      <c r="X328" t="s">
        <v>6486</v>
      </c>
      <c r="Y328" t="s">
        <v>6685</v>
      </c>
      <c r="Z328" t="s">
        <v>6686</v>
      </c>
      <c r="AA328" t="s">
        <v>6687</v>
      </c>
      <c r="AB328" t="s">
        <v>6688</v>
      </c>
      <c r="AC328" t="s">
        <v>6689</v>
      </c>
      <c r="AD328" t="s">
        <v>6690</v>
      </c>
      <c r="AE328" t="s">
        <v>6691</v>
      </c>
      <c r="AF328" t="s">
        <v>74</v>
      </c>
      <c r="AG328">
        <v>83</v>
      </c>
      <c r="AH328">
        <v>18</v>
      </c>
      <c r="AI328">
        <v>19</v>
      </c>
      <c r="AJ328">
        <v>0</v>
      </c>
      <c r="AK328">
        <v>34</v>
      </c>
      <c r="AL328" t="s">
        <v>3986</v>
      </c>
      <c r="AM328" t="s">
        <v>121</v>
      </c>
      <c r="AN328" t="s">
        <v>3987</v>
      </c>
      <c r="AO328" t="s">
        <v>6692</v>
      </c>
      <c r="AP328" t="s">
        <v>6693</v>
      </c>
      <c r="AQ328" t="s">
        <v>74</v>
      </c>
      <c r="AR328" t="s">
        <v>6694</v>
      </c>
      <c r="AS328" t="s">
        <v>6695</v>
      </c>
      <c r="AT328" t="s">
        <v>5327</v>
      </c>
      <c r="AU328">
        <v>2015</v>
      </c>
      <c r="AV328">
        <v>182</v>
      </c>
      <c r="AW328" t="s">
        <v>74</v>
      </c>
      <c r="AX328" t="s">
        <v>74</v>
      </c>
      <c r="AY328" t="s">
        <v>74</v>
      </c>
      <c r="AZ328" t="s">
        <v>74</v>
      </c>
      <c r="BA328" t="s">
        <v>74</v>
      </c>
      <c r="BB328">
        <v>102</v>
      </c>
      <c r="BC328">
        <v>112</v>
      </c>
      <c r="BD328" t="s">
        <v>74</v>
      </c>
      <c r="BE328" t="s">
        <v>6696</v>
      </c>
      <c r="BF328" t="str">
        <f>HYPERLINK("http://dx.doi.org/10.1016/j.cbpa.2014.12.019","http://dx.doi.org/10.1016/j.cbpa.2014.12.019")</f>
        <v>http://dx.doi.org/10.1016/j.cbpa.2014.12.019</v>
      </c>
      <c r="BG328" t="s">
        <v>74</v>
      </c>
      <c r="BH328" t="s">
        <v>74</v>
      </c>
      <c r="BI328">
        <v>11</v>
      </c>
      <c r="BJ328" t="s">
        <v>6697</v>
      </c>
      <c r="BK328" t="s">
        <v>100</v>
      </c>
      <c r="BL328" t="s">
        <v>6697</v>
      </c>
      <c r="BM328" t="s">
        <v>6698</v>
      </c>
      <c r="BN328">
        <v>25535111</v>
      </c>
      <c r="BO328" t="s">
        <v>74</v>
      </c>
      <c r="BP328" t="s">
        <v>74</v>
      </c>
      <c r="BQ328" t="s">
        <v>74</v>
      </c>
      <c r="BR328" t="s">
        <v>104</v>
      </c>
      <c r="BS328" t="s">
        <v>6699</v>
      </c>
      <c r="BT328" t="str">
        <f>HYPERLINK("https%3A%2F%2Fwww.webofscience.com%2Fwos%2Fwoscc%2Ffull-record%2FWOS:000351645400014","View Full Record in Web of Science")</f>
        <v>View Full Record in Web of Science</v>
      </c>
    </row>
    <row r="329" spans="1:72" x14ac:dyDescent="0.15">
      <c r="A329" t="s">
        <v>72</v>
      </c>
      <c r="B329" t="s">
        <v>6700</v>
      </c>
      <c r="C329" t="s">
        <v>74</v>
      </c>
      <c r="D329" t="s">
        <v>74</v>
      </c>
      <c r="E329" t="s">
        <v>74</v>
      </c>
      <c r="F329" t="s">
        <v>6701</v>
      </c>
      <c r="G329" t="s">
        <v>74</v>
      </c>
      <c r="H329" t="s">
        <v>74</v>
      </c>
      <c r="I329" t="s">
        <v>6702</v>
      </c>
      <c r="J329" t="s">
        <v>6703</v>
      </c>
      <c r="K329" t="s">
        <v>74</v>
      </c>
      <c r="L329" t="s">
        <v>74</v>
      </c>
      <c r="M329" t="s">
        <v>78</v>
      </c>
      <c r="N329" t="s">
        <v>79</v>
      </c>
      <c r="O329" t="s">
        <v>74</v>
      </c>
      <c r="P329" t="s">
        <v>74</v>
      </c>
      <c r="Q329" t="s">
        <v>74</v>
      </c>
      <c r="R329" t="s">
        <v>74</v>
      </c>
      <c r="S329" t="s">
        <v>74</v>
      </c>
      <c r="T329" t="s">
        <v>6704</v>
      </c>
      <c r="U329" t="s">
        <v>6705</v>
      </c>
      <c r="V329" t="s">
        <v>6706</v>
      </c>
      <c r="W329" t="s">
        <v>6707</v>
      </c>
      <c r="X329" t="s">
        <v>6708</v>
      </c>
      <c r="Y329" t="s">
        <v>6709</v>
      </c>
      <c r="Z329" t="s">
        <v>6710</v>
      </c>
      <c r="AA329" t="s">
        <v>6711</v>
      </c>
      <c r="AB329" t="s">
        <v>6712</v>
      </c>
      <c r="AC329" t="s">
        <v>6713</v>
      </c>
      <c r="AD329" t="s">
        <v>6714</v>
      </c>
      <c r="AE329" t="s">
        <v>6715</v>
      </c>
      <c r="AF329" t="s">
        <v>74</v>
      </c>
      <c r="AG329">
        <v>45</v>
      </c>
      <c r="AH329">
        <v>13</v>
      </c>
      <c r="AI329">
        <v>13</v>
      </c>
      <c r="AJ329">
        <v>2</v>
      </c>
      <c r="AK329">
        <v>28</v>
      </c>
      <c r="AL329" t="s">
        <v>120</v>
      </c>
      <c r="AM329" t="s">
        <v>2560</v>
      </c>
      <c r="AN329" t="s">
        <v>2561</v>
      </c>
      <c r="AO329" t="s">
        <v>6716</v>
      </c>
      <c r="AP329" t="s">
        <v>6717</v>
      </c>
      <c r="AQ329" t="s">
        <v>74</v>
      </c>
      <c r="AR329" t="s">
        <v>6703</v>
      </c>
      <c r="AS329" t="s">
        <v>6718</v>
      </c>
      <c r="AT329" t="s">
        <v>5327</v>
      </c>
      <c r="AU329">
        <v>2015</v>
      </c>
      <c r="AV329">
        <v>24</v>
      </c>
      <c r="AW329">
        <v>3</v>
      </c>
      <c r="AX329" t="s">
        <v>74</v>
      </c>
      <c r="AY329" t="s">
        <v>74</v>
      </c>
      <c r="AZ329" t="s">
        <v>74</v>
      </c>
      <c r="BA329" t="s">
        <v>74</v>
      </c>
      <c r="BB329">
        <v>583</v>
      </c>
      <c r="BC329">
        <v>594</v>
      </c>
      <c r="BD329" t="s">
        <v>74</v>
      </c>
      <c r="BE329" t="s">
        <v>6719</v>
      </c>
      <c r="BF329" t="str">
        <f>HYPERLINK("http://dx.doi.org/10.1007/s10646-014-1406-4","http://dx.doi.org/10.1007/s10646-014-1406-4")</f>
        <v>http://dx.doi.org/10.1007/s10646-014-1406-4</v>
      </c>
      <c r="BG329" t="s">
        <v>74</v>
      </c>
      <c r="BH329" t="s">
        <v>74</v>
      </c>
      <c r="BI329">
        <v>12</v>
      </c>
      <c r="BJ329" t="s">
        <v>6720</v>
      </c>
      <c r="BK329" t="s">
        <v>100</v>
      </c>
      <c r="BL329" t="s">
        <v>2400</v>
      </c>
      <c r="BM329" t="s">
        <v>6721</v>
      </c>
      <c r="BN329">
        <v>25560740</v>
      </c>
      <c r="BO329" t="s">
        <v>74</v>
      </c>
      <c r="BP329" t="s">
        <v>74</v>
      </c>
      <c r="BQ329" t="s">
        <v>74</v>
      </c>
      <c r="BR329" t="s">
        <v>104</v>
      </c>
      <c r="BS329" t="s">
        <v>6722</v>
      </c>
      <c r="BT329" t="str">
        <f>HYPERLINK("https%3A%2F%2Fwww.webofscience.com%2Fwos%2Fwoscc%2Ffull-record%2FWOS:000351160300011","View Full Record in Web of Science")</f>
        <v>View Full Record in Web of Science</v>
      </c>
    </row>
    <row r="330" spans="1:72" x14ac:dyDescent="0.15">
      <c r="A330" t="s">
        <v>72</v>
      </c>
      <c r="B330" t="s">
        <v>6723</v>
      </c>
      <c r="C330" t="s">
        <v>74</v>
      </c>
      <c r="D330" t="s">
        <v>74</v>
      </c>
      <c r="E330" t="s">
        <v>74</v>
      </c>
      <c r="F330" t="s">
        <v>6724</v>
      </c>
      <c r="G330" t="s">
        <v>74</v>
      </c>
      <c r="H330" t="s">
        <v>74</v>
      </c>
      <c r="I330" t="s">
        <v>6725</v>
      </c>
      <c r="J330" t="s">
        <v>6726</v>
      </c>
      <c r="K330" t="s">
        <v>74</v>
      </c>
      <c r="L330" t="s">
        <v>74</v>
      </c>
      <c r="M330" t="s">
        <v>78</v>
      </c>
      <c r="N330" t="s">
        <v>79</v>
      </c>
      <c r="O330" t="s">
        <v>74</v>
      </c>
      <c r="P330" t="s">
        <v>74</v>
      </c>
      <c r="Q330" t="s">
        <v>74</v>
      </c>
      <c r="R330" t="s">
        <v>74</v>
      </c>
      <c r="S330" t="s">
        <v>74</v>
      </c>
      <c r="T330" t="s">
        <v>6727</v>
      </c>
      <c r="U330" t="s">
        <v>6728</v>
      </c>
      <c r="V330" t="s">
        <v>6729</v>
      </c>
      <c r="W330" t="s">
        <v>6730</v>
      </c>
      <c r="X330" t="s">
        <v>6731</v>
      </c>
      <c r="Y330" t="s">
        <v>6732</v>
      </c>
      <c r="Z330" t="s">
        <v>6733</v>
      </c>
      <c r="AA330" t="s">
        <v>6734</v>
      </c>
      <c r="AB330" t="s">
        <v>6735</v>
      </c>
      <c r="AC330" t="s">
        <v>6736</v>
      </c>
      <c r="AD330" t="s">
        <v>6737</v>
      </c>
      <c r="AE330" t="s">
        <v>6738</v>
      </c>
      <c r="AF330" t="s">
        <v>74</v>
      </c>
      <c r="AG330">
        <v>92</v>
      </c>
      <c r="AH330">
        <v>3</v>
      </c>
      <c r="AI330">
        <v>3</v>
      </c>
      <c r="AJ330">
        <v>3</v>
      </c>
      <c r="AK330">
        <v>20</v>
      </c>
      <c r="AL330" t="s">
        <v>120</v>
      </c>
      <c r="AM330" t="s">
        <v>121</v>
      </c>
      <c r="AN330" t="s">
        <v>122</v>
      </c>
      <c r="AO330" t="s">
        <v>6739</v>
      </c>
      <c r="AP330" t="s">
        <v>6740</v>
      </c>
      <c r="AQ330" t="s">
        <v>74</v>
      </c>
      <c r="AR330" t="s">
        <v>6741</v>
      </c>
      <c r="AS330" t="s">
        <v>6742</v>
      </c>
      <c r="AT330" t="s">
        <v>5327</v>
      </c>
      <c r="AU330">
        <v>2015</v>
      </c>
      <c r="AV330">
        <v>104</v>
      </c>
      <c r="AW330">
        <v>3</v>
      </c>
      <c r="AX330" t="s">
        <v>74</v>
      </c>
      <c r="AY330" t="s">
        <v>74</v>
      </c>
      <c r="AZ330" t="s">
        <v>74</v>
      </c>
      <c r="BA330" t="s">
        <v>74</v>
      </c>
      <c r="BB330">
        <v>853</v>
      </c>
      <c r="BC330">
        <v>872</v>
      </c>
      <c r="BD330" t="s">
        <v>74</v>
      </c>
      <c r="BE330" t="s">
        <v>6743</v>
      </c>
      <c r="BF330" t="str">
        <f>HYPERLINK("http://dx.doi.org/10.1007/s00531-014-1117-3","http://dx.doi.org/10.1007/s00531-014-1117-3")</f>
        <v>http://dx.doi.org/10.1007/s00531-014-1117-3</v>
      </c>
      <c r="BG330" t="s">
        <v>74</v>
      </c>
      <c r="BH330" t="s">
        <v>74</v>
      </c>
      <c r="BI330">
        <v>20</v>
      </c>
      <c r="BJ330" t="s">
        <v>219</v>
      </c>
      <c r="BK330" t="s">
        <v>100</v>
      </c>
      <c r="BL330" t="s">
        <v>220</v>
      </c>
      <c r="BM330" t="s">
        <v>6744</v>
      </c>
      <c r="BN330" t="s">
        <v>74</v>
      </c>
      <c r="BO330" t="s">
        <v>559</v>
      </c>
      <c r="BP330" t="s">
        <v>74</v>
      </c>
      <c r="BQ330" t="s">
        <v>74</v>
      </c>
      <c r="BR330" t="s">
        <v>104</v>
      </c>
      <c r="BS330" t="s">
        <v>6745</v>
      </c>
      <c r="BT330" t="str">
        <f>HYPERLINK("https%3A%2F%2Fwww.webofscience.com%2Fwos%2Fwoscc%2Ffull-record%2FWOS:000351519400019","View Full Record in Web of Science")</f>
        <v>View Full Record in Web of Science</v>
      </c>
    </row>
    <row r="331" spans="1:72" x14ac:dyDescent="0.15">
      <c r="A331" t="s">
        <v>72</v>
      </c>
      <c r="B331" t="s">
        <v>6746</v>
      </c>
      <c r="C331" t="s">
        <v>74</v>
      </c>
      <c r="D331" t="s">
        <v>74</v>
      </c>
      <c r="E331" t="s">
        <v>74</v>
      </c>
      <c r="F331" t="s">
        <v>6747</v>
      </c>
      <c r="G331" t="s">
        <v>74</v>
      </c>
      <c r="H331" t="s">
        <v>74</v>
      </c>
      <c r="I331" t="s">
        <v>6748</v>
      </c>
      <c r="J331" t="s">
        <v>6749</v>
      </c>
      <c r="K331" t="s">
        <v>74</v>
      </c>
      <c r="L331" t="s">
        <v>74</v>
      </c>
      <c r="M331" t="s">
        <v>78</v>
      </c>
      <c r="N331" t="s">
        <v>79</v>
      </c>
      <c r="O331" t="s">
        <v>74</v>
      </c>
      <c r="P331" t="s">
        <v>74</v>
      </c>
      <c r="Q331" t="s">
        <v>74</v>
      </c>
      <c r="R331" t="s">
        <v>74</v>
      </c>
      <c r="S331" t="s">
        <v>74</v>
      </c>
      <c r="T331" t="s">
        <v>6750</v>
      </c>
      <c r="U331" t="s">
        <v>6751</v>
      </c>
      <c r="V331" t="s">
        <v>6752</v>
      </c>
      <c r="W331" t="s">
        <v>6753</v>
      </c>
      <c r="X331" t="s">
        <v>6754</v>
      </c>
      <c r="Y331" t="s">
        <v>6755</v>
      </c>
      <c r="Z331" t="s">
        <v>6756</v>
      </c>
      <c r="AA331" t="s">
        <v>74</v>
      </c>
      <c r="AB331" t="s">
        <v>6757</v>
      </c>
      <c r="AC331" t="s">
        <v>6758</v>
      </c>
      <c r="AD331" t="s">
        <v>6759</v>
      </c>
      <c r="AE331" t="s">
        <v>6760</v>
      </c>
      <c r="AF331" t="s">
        <v>74</v>
      </c>
      <c r="AG331">
        <v>40</v>
      </c>
      <c r="AH331">
        <v>14</v>
      </c>
      <c r="AI331">
        <v>16</v>
      </c>
      <c r="AJ331">
        <v>3</v>
      </c>
      <c r="AK331">
        <v>39</v>
      </c>
      <c r="AL331" t="s">
        <v>2659</v>
      </c>
      <c r="AM331" t="s">
        <v>2660</v>
      </c>
      <c r="AN331" t="s">
        <v>2661</v>
      </c>
      <c r="AO331" t="s">
        <v>6761</v>
      </c>
      <c r="AP331" t="s">
        <v>6762</v>
      </c>
      <c r="AQ331" t="s">
        <v>74</v>
      </c>
      <c r="AR331" t="s">
        <v>6763</v>
      </c>
      <c r="AS331" t="s">
        <v>6764</v>
      </c>
      <c r="AT331" t="s">
        <v>5327</v>
      </c>
      <c r="AU331">
        <v>2015</v>
      </c>
      <c r="AV331">
        <v>185</v>
      </c>
      <c r="AW331">
        <v>3</v>
      </c>
      <c r="AX331" t="s">
        <v>74</v>
      </c>
      <c r="AY331" t="s">
        <v>74</v>
      </c>
      <c r="AZ331" t="s">
        <v>74</v>
      </c>
      <c r="BA331" t="s">
        <v>74</v>
      </c>
      <c r="BB331">
        <v>281</v>
      </c>
      <c r="BC331">
        <v>289</v>
      </c>
      <c r="BD331" t="s">
        <v>74</v>
      </c>
      <c r="BE331" t="s">
        <v>6765</v>
      </c>
      <c r="BF331" t="str">
        <f>HYPERLINK("http://dx.doi.org/10.1007/s00360-014-0884-2","http://dx.doi.org/10.1007/s00360-014-0884-2")</f>
        <v>http://dx.doi.org/10.1007/s00360-014-0884-2</v>
      </c>
      <c r="BG331" t="s">
        <v>74</v>
      </c>
      <c r="BH331" t="s">
        <v>74</v>
      </c>
      <c r="BI331">
        <v>9</v>
      </c>
      <c r="BJ331" t="s">
        <v>2738</v>
      </c>
      <c r="BK331" t="s">
        <v>100</v>
      </c>
      <c r="BL331" t="s">
        <v>2738</v>
      </c>
      <c r="BM331" t="s">
        <v>6766</v>
      </c>
      <c r="BN331">
        <v>25576363</v>
      </c>
      <c r="BO331" t="s">
        <v>74</v>
      </c>
      <c r="BP331" t="s">
        <v>74</v>
      </c>
      <c r="BQ331" t="s">
        <v>74</v>
      </c>
      <c r="BR331" t="s">
        <v>104</v>
      </c>
      <c r="BS331" t="s">
        <v>6767</v>
      </c>
      <c r="BT331" t="str">
        <f>HYPERLINK("https%3A%2F%2Fwww.webofscience.com%2Fwos%2Fwoscc%2Ffull-record%2FWOS:000351462400002","View Full Record in Web of Science")</f>
        <v>View Full Record in Web of Science</v>
      </c>
    </row>
    <row r="332" spans="1:72" x14ac:dyDescent="0.15">
      <c r="A332" t="s">
        <v>72</v>
      </c>
      <c r="B332" t="s">
        <v>6768</v>
      </c>
      <c r="C332" t="s">
        <v>74</v>
      </c>
      <c r="D332" t="s">
        <v>74</v>
      </c>
      <c r="E332" t="s">
        <v>74</v>
      </c>
      <c r="F332" t="s">
        <v>6769</v>
      </c>
      <c r="G332" t="s">
        <v>74</v>
      </c>
      <c r="H332" t="s">
        <v>74</v>
      </c>
      <c r="I332" t="s">
        <v>6770</v>
      </c>
      <c r="J332" t="s">
        <v>2647</v>
      </c>
      <c r="K332" t="s">
        <v>74</v>
      </c>
      <c r="L332" t="s">
        <v>74</v>
      </c>
      <c r="M332" t="s">
        <v>78</v>
      </c>
      <c r="N332" t="s">
        <v>79</v>
      </c>
      <c r="O332" t="s">
        <v>74</v>
      </c>
      <c r="P332" t="s">
        <v>74</v>
      </c>
      <c r="Q332" t="s">
        <v>74</v>
      </c>
      <c r="R332" t="s">
        <v>74</v>
      </c>
      <c r="S332" t="s">
        <v>74</v>
      </c>
      <c r="T332" t="s">
        <v>74</v>
      </c>
      <c r="U332" t="s">
        <v>6771</v>
      </c>
      <c r="V332" t="s">
        <v>6772</v>
      </c>
      <c r="W332" t="s">
        <v>6773</v>
      </c>
      <c r="X332" t="s">
        <v>6774</v>
      </c>
      <c r="Y332" t="s">
        <v>6775</v>
      </c>
      <c r="Z332" t="s">
        <v>6776</v>
      </c>
      <c r="AA332" t="s">
        <v>6777</v>
      </c>
      <c r="AB332" t="s">
        <v>6778</v>
      </c>
      <c r="AC332" t="s">
        <v>6779</v>
      </c>
      <c r="AD332" t="s">
        <v>6780</v>
      </c>
      <c r="AE332" t="s">
        <v>6781</v>
      </c>
      <c r="AF332" t="s">
        <v>74</v>
      </c>
      <c r="AG332">
        <v>59</v>
      </c>
      <c r="AH332">
        <v>17</v>
      </c>
      <c r="AI332">
        <v>17</v>
      </c>
      <c r="AJ332">
        <v>1</v>
      </c>
      <c r="AK332">
        <v>40</v>
      </c>
      <c r="AL332" t="s">
        <v>2659</v>
      </c>
      <c r="AM332" t="s">
        <v>2660</v>
      </c>
      <c r="AN332" t="s">
        <v>2661</v>
      </c>
      <c r="AO332" t="s">
        <v>2662</v>
      </c>
      <c r="AP332" t="s">
        <v>2663</v>
      </c>
      <c r="AQ332" t="s">
        <v>74</v>
      </c>
      <c r="AR332" t="s">
        <v>2664</v>
      </c>
      <c r="AS332" t="s">
        <v>2665</v>
      </c>
      <c r="AT332" t="s">
        <v>5327</v>
      </c>
      <c r="AU332">
        <v>2015</v>
      </c>
      <c r="AV332">
        <v>162</v>
      </c>
      <c r="AW332">
        <v>4</v>
      </c>
      <c r="AX332" t="s">
        <v>74</v>
      </c>
      <c r="AY332" t="s">
        <v>74</v>
      </c>
      <c r="AZ332" t="s">
        <v>74</v>
      </c>
      <c r="BA332" t="s">
        <v>74</v>
      </c>
      <c r="BB332">
        <v>733</v>
      </c>
      <c r="BC332">
        <v>741</v>
      </c>
      <c r="BD332" t="s">
        <v>74</v>
      </c>
      <c r="BE332" t="s">
        <v>6782</v>
      </c>
      <c r="BF332" t="str">
        <f>HYPERLINK("http://dx.doi.org/10.1007/s00227-015-2618-8","http://dx.doi.org/10.1007/s00227-015-2618-8")</f>
        <v>http://dx.doi.org/10.1007/s00227-015-2618-8</v>
      </c>
      <c r="BG332" t="s">
        <v>74</v>
      </c>
      <c r="BH332" t="s">
        <v>74</v>
      </c>
      <c r="BI332">
        <v>9</v>
      </c>
      <c r="BJ332" t="s">
        <v>2667</v>
      </c>
      <c r="BK332" t="s">
        <v>100</v>
      </c>
      <c r="BL332" t="s">
        <v>2667</v>
      </c>
      <c r="BM332" t="s">
        <v>6783</v>
      </c>
      <c r="BN332">
        <v>25797964</v>
      </c>
      <c r="BO332" t="s">
        <v>6784</v>
      </c>
      <c r="BP332" t="s">
        <v>74</v>
      </c>
      <c r="BQ332" t="s">
        <v>74</v>
      </c>
      <c r="BR332" t="s">
        <v>104</v>
      </c>
      <c r="BS332" t="s">
        <v>6785</v>
      </c>
      <c r="BT332" t="str">
        <f>HYPERLINK("https%3A%2F%2Fwww.webofscience.com%2Fwos%2Fwoscc%2Ffull-record%2FWOS:000351227900001","View Full Record in Web of Science")</f>
        <v>View Full Record in Web of Science</v>
      </c>
    </row>
    <row r="333" spans="1:72" x14ac:dyDescent="0.15">
      <c r="A333" t="s">
        <v>72</v>
      </c>
      <c r="B333" t="s">
        <v>6786</v>
      </c>
      <c r="C333" t="s">
        <v>74</v>
      </c>
      <c r="D333" t="s">
        <v>74</v>
      </c>
      <c r="E333" t="s">
        <v>74</v>
      </c>
      <c r="F333" t="s">
        <v>6787</v>
      </c>
      <c r="G333" t="s">
        <v>74</v>
      </c>
      <c r="H333" t="s">
        <v>74</v>
      </c>
      <c r="I333" t="s">
        <v>6788</v>
      </c>
      <c r="J333" t="s">
        <v>6789</v>
      </c>
      <c r="K333" t="s">
        <v>74</v>
      </c>
      <c r="L333" t="s">
        <v>74</v>
      </c>
      <c r="M333" t="s">
        <v>78</v>
      </c>
      <c r="N333" t="s">
        <v>79</v>
      </c>
      <c r="O333" t="s">
        <v>74</v>
      </c>
      <c r="P333" t="s">
        <v>74</v>
      </c>
      <c r="Q333" t="s">
        <v>74</v>
      </c>
      <c r="R333" t="s">
        <v>74</v>
      </c>
      <c r="S333" t="s">
        <v>74</v>
      </c>
      <c r="T333" t="s">
        <v>6790</v>
      </c>
      <c r="U333" t="s">
        <v>6791</v>
      </c>
      <c r="V333" t="s">
        <v>6792</v>
      </c>
      <c r="W333" t="s">
        <v>6793</v>
      </c>
      <c r="X333" t="s">
        <v>5132</v>
      </c>
      <c r="Y333" t="s">
        <v>6794</v>
      </c>
      <c r="Z333" t="s">
        <v>6795</v>
      </c>
      <c r="AA333" t="s">
        <v>6796</v>
      </c>
      <c r="AB333" t="s">
        <v>6797</v>
      </c>
      <c r="AC333" t="s">
        <v>74</v>
      </c>
      <c r="AD333" t="s">
        <v>74</v>
      </c>
      <c r="AE333" t="s">
        <v>74</v>
      </c>
      <c r="AF333" t="s">
        <v>74</v>
      </c>
      <c r="AG333">
        <v>41</v>
      </c>
      <c r="AH333">
        <v>8</v>
      </c>
      <c r="AI333">
        <v>9</v>
      </c>
      <c r="AJ333">
        <v>1</v>
      </c>
      <c r="AK333">
        <v>16</v>
      </c>
      <c r="AL333" t="s">
        <v>1158</v>
      </c>
      <c r="AM333" t="s">
        <v>787</v>
      </c>
      <c r="AN333" t="s">
        <v>1159</v>
      </c>
      <c r="AO333" t="s">
        <v>6798</v>
      </c>
      <c r="AP333" t="s">
        <v>6799</v>
      </c>
      <c r="AQ333" t="s">
        <v>74</v>
      </c>
      <c r="AR333" t="s">
        <v>6800</v>
      </c>
      <c r="AS333" t="s">
        <v>6801</v>
      </c>
      <c r="AT333" t="s">
        <v>5327</v>
      </c>
      <c r="AU333">
        <v>2015</v>
      </c>
      <c r="AV333">
        <v>54</v>
      </c>
      <c r="AW333" t="s">
        <v>74</v>
      </c>
      <c r="AX333" t="s">
        <v>74</v>
      </c>
      <c r="AY333" t="s">
        <v>74</v>
      </c>
      <c r="AZ333" t="s">
        <v>74</v>
      </c>
      <c r="BA333" t="s">
        <v>74</v>
      </c>
      <c r="BB333">
        <v>77</v>
      </c>
      <c r="BC333">
        <v>85</v>
      </c>
      <c r="BD333" t="s">
        <v>74</v>
      </c>
      <c r="BE333" t="s">
        <v>6802</v>
      </c>
      <c r="BF333" t="str">
        <f>HYPERLINK("http://dx.doi.org/10.1016/j.marpol.2014.12.019","http://dx.doi.org/10.1016/j.marpol.2014.12.019")</f>
        <v>http://dx.doi.org/10.1016/j.marpol.2014.12.019</v>
      </c>
      <c r="BG333" t="s">
        <v>74</v>
      </c>
      <c r="BH333" t="s">
        <v>74</v>
      </c>
      <c r="BI333">
        <v>9</v>
      </c>
      <c r="BJ333" t="s">
        <v>6803</v>
      </c>
      <c r="BK333" t="s">
        <v>1189</v>
      </c>
      <c r="BL333" t="s">
        <v>6804</v>
      </c>
      <c r="BM333" t="s">
        <v>6805</v>
      </c>
      <c r="BN333" t="s">
        <v>74</v>
      </c>
      <c r="BO333" t="s">
        <v>74</v>
      </c>
      <c r="BP333" t="s">
        <v>74</v>
      </c>
      <c r="BQ333" t="s">
        <v>74</v>
      </c>
      <c r="BR333" t="s">
        <v>104</v>
      </c>
      <c r="BS333" t="s">
        <v>6806</v>
      </c>
      <c r="BT333" t="str">
        <f>HYPERLINK("https%3A%2F%2Fwww.webofscience.com%2Fwos%2Fwoscc%2Ffull-record%2FWOS:000351647500010","View Full Record in Web of Science")</f>
        <v>View Full Record in Web of Science</v>
      </c>
    </row>
    <row r="334" spans="1:72" x14ac:dyDescent="0.15">
      <c r="A334" t="s">
        <v>72</v>
      </c>
      <c r="B334" t="s">
        <v>6807</v>
      </c>
      <c r="C334" t="s">
        <v>74</v>
      </c>
      <c r="D334" t="s">
        <v>74</v>
      </c>
      <c r="E334" t="s">
        <v>74</v>
      </c>
      <c r="F334" t="s">
        <v>6808</v>
      </c>
      <c r="G334" t="s">
        <v>74</v>
      </c>
      <c r="H334" t="s">
        <v>74</v>
      </c>
      <c r="I334" t="s">
        <v>6809</v>
      </c>
      <c r="J334" t="s">
        <v>6810</v>
      </c>
      <c r="K334" t="s">
        <v>74</v>
      </c>
      <c r="L334" t="s">
        <v>74</v>
      </c>
      <c r="M334" t="s">
        <v>78</v>
      </c>
      <c r="N334" t="s">
        <v>79</v>
      </c>
      <c r="O334" t="s">
        <v>74</v>
      </c>
      <c r="P334" t="s">
        <v>74</v>
      </c>
      <c r="Q334" t="s">
        <v>74</v>
      </c>
      <c r="R334" t="s">
        <v>74</v>
      </c>
      <c r="S334" t="s">
        <v>74</v>
      </c>
      <c r="T334" t="s">
        <v>6811</v>
      </c>
      <c r="U334" t="s">
        <v>6812</v>
      </c>
      <c r="V334" t="s">
        <v>6813</v>
      </c>
      <c r="W334" t="s">
        <v>6814</v>
      </c>
      <c r="X334" t="s">
        <v>6815</v>
      </c>
      <c r="Y334" t="s">
        <v>6816</v>
      </c>
      <c r="Z334" t="s">
        <v>6817</v>
      </c>
      <c r="AA334" t="s">
        <v>6818</v>
      </c>
      <c r="AB334" t="s">
        <v>6819</v>
      </c>
      <c r="AC334" t="s">
        <v>6820</v>
      </c>
      <c r="AD334" t="s">
        <v>6820</v>
      </c>
      <c r="AE334" t="s">
        <v>6821</v>
      </c>
      <c r="AF334" t="s">
        <v>74</v>
      </c>
      <c r="AG334">
        <v>52</v>
      </c>
      <c r="AH334">
        <v>29</v>
      </c>
      <c r="AI334">
        <v>33</v>
      </c>
      <c r="AJ334">
        <v>4</v>
      </c>
      <c r="AK334">
        <v>45</v>
      </c>
      <c r="AL334" t="s">
        <v>120</v>
      </c>
      <c r="AM334" t="s">
        <v>121</v>
      </c>
      <c r="AN334" t="s">
        <v>122</v>
      </c>
      <c r="AO334" t="s">
        <v>6822</v>
      </c>
      <c r="AP334" t="s">
        <v>6823</v>
      </c>
      <c r="AQ334" t="s">
        <v>74</v>
      </c>
      <c r="AR334" t="s">
        <v>6824</v>
      </c>
      <c r="AS334" t="s">
        <v>6825</v>
      </c>
      <c r="AT334" t="s">
        <v>5327</v>
      </c>
      <c r="AU334">
        <v>2015</v>
      </c>
      <c r="AV334">
        <v>69</v>
      </c>
      <c r="AW334">
        <v>3</v>
      </c>
      <c r="AX334" t="s">
        <v>74</v>
      </c>
      <c r="AY334" t="s">
        <v>74</v>
      </c>
      <c r="AZ334" t="s">
        <v>74</v>
      </c>
      <c r="BA334" t="s">
        <v>74</v>
      </c>
      <c r="BB334">
        <v>544</v>
      </c>
      <c r="BC334">
        <v>553</v>
      </c>
      <c r="BD334" t="s">
        <v>74</v>
      </c>
      <c r="BE334" t="s">
        <v>6826</v>
      </c>
      <c r="BF334" t="str">
        <f>HYPERLINK("http://dx.doi.org/10.1007/s00248-014-0519-x","http://dx.doi.org/10.1007/s00248-014-0519-x")</f>
        <v>http://dx.doi.org/10.1007/s00248-014-0519-x</v>
      </c>
      <c r="BG334" t="s">
        <v>74</v>
      </c>
      <c r="BH334" t="s">
        <v>74</v>
      </c>
      <c r="BI334">
        <v>10</v>
      </c>
      <c r="BJ334" t="s">
        <v>6827</v>
      </c>
      <c r="BK334" t="s">
        <v>100</v>
      </c>
      <c r="BL334" t="s">
        <v>6828</v>
      </c>
      <c r="BM334" t="s">
        <v>6829</v>
      </c>
      <c r="BN334">
        <v>25344857</v>
      </c>
      <c r="BO334" t="s">
        <v>74</v>
      </c>
      <c r="BP334" t="s">
        <v>74</v>
      </c>
      <c r="BQ334" t="s">
        <v>74</v>
      </c>
      <c r="BR334" t="s">
        <v>104</v>
      </c>
      <c r="BS334" t="s">
        <v>6830</v>
      </c>
      <c r="BT334" t="str">
        <f>HYPERLINK("https%3A%2F%2Fwww.webofscience.com%2Fwos%2Fwoscc%2Ffull-record%2FWOS:000351228900008","View Full Record in Web of Science")</f>
        <v>View Full Record in Web of Science</v>
      </c>
    </row>
    <row r="335" spans="1:72" x14ac:dyDescent="0.15">
      <c r="A335" t="s">
        <v>72</v>
      </c>
      <c r="B335" t="s">
        <v>6831</v>
      </c>
      <c r="C335" t="s">
        <v>74</v>
      </c>
      <c r="D335" t="s">
        <v>74</v>
      </c>
      <c r="E335" t="s">
        <v>74</v>
      </c>
      <c r="F335" t="s">
        <v>6832</v>
      </c>
      <c r="G335" t="s">
        <v>74</v>
      </c>
      <c r="H335" t="s">
        <v>74</v>
      </c>
      <c r="I335" t="s">
        <v>6833</v>
      </c>
      <c r="J335" t="s">
        <v>6834</v>
      </c>
      <c r="K335" t="s">
        <v>74</v>
      </c>
      <c r="L335" t="s">
        <v>74</v>
      </c>
      <c r="M335" t="s">
        <v>78</v>
      </c>
      <c r="N335" t="s">
        <v>79</v>
      </c>
      <c r="O335" t="s">
        <v>74</v>
      </c>
      <c r="P335" t="s">
        <v>74</v>
      </c>
      <c r="Q335" t="s">
        <v>74</v>
      </c>
      <c r="R335" t="s">
        <v>74</v>
      </c>
      <c r="S335" t="s">
        <v>74</v>
      </c>
      <c r="T335" t="s">
        <v>74</v>
      </c>
      <c r="U335" t="s">
        <v>6835</v>
      </c>
      <c r="V335" t="s">
        <v>6836</v>
      </c>
      <c r="W335" t="s">
        <v>6837</v>
      </c>
      <c r="X335" t="s">
        <v>6838</v>
      </c>
      <c r="Y335" t="s">
        <v>6839</v>
      </c>
      <c r="Z335" t="s">
        <v>6840</v>
      </c>
      <c r="AA335" t="s">
        <v>6841</v>
      </c>
      <c r="AB335" t="s">
        <v>6842</v>
      </c>
      <c r="AC335" t="s">
        <v>6843</v>
      </c>
      <c r="AD335" t="s">
        <v>6844</v>
      </c>
      <c r="AE335" t="s">
        <v>6845</v>
      </c>
      <c r="AF335" t="s">
        <v>74</v>
      </c>
      <c r="AG335">
        <v>40</v>
      </c>
      <c r="AH335">
        <v>6</v>
      </c>
      <c r="AI335">
        <v>14</v>
      </c>
      <c r="AJ335">
        <v>1</v>
      </c>
      <c r="AK335">
        <v>34</v>
      </c>
      <c r="AL335" t="s">
        <v>2539</v>
      </c>
      <c r="AM335" t="s">
        <v>378</v>
      </c>
      <c r="AN335" t="s">
        <v>4315</v>
      </c>
      <c r="AO335" t="s">
        <v>6846</v>
      </c>
      <c r="AP335" t="s">
        <v>6847</v>
      </c>
      <c r="AQ335" t="s">
        <v>74</v>
      </c>
      <c r="AR335" t="s">
        <v>6848</v>
      </c>
      <c r="AS335" t="s">
        <v>6849</v>
      </c>
      <c r="AT335" t="s">
        <v>5327</v>
      </c>
      <c r="AU335">
        <v>2015</v>
      </c>
      <c r="AV335">
        <v>20</v>
      </c>
      <c r="AW335">
        <v>4</v>
      </c>
      <c r="AX335" t="s">
        <v>74</v>
      </c>
      <c r="AY335" t="s">
        <v>74</v>
      </c>
      <c r="AZ335" t="s">
        <v>74</v>
      </c>
      <c r="BA335" t="s">
        <v>74</v>
      </c>
      <c r="BB335">
        <v>536</v>
      </c>
      <c r="BC335">
        <v>544</v>
      </c>
      <c r="BD335" t="s">
        <v>74</v>
      </c>
      <c r="BE335" t="s">
        <v>6850</v>
      </c>
      <c r="BF335" t="str">
        <f>HYPERLINK("http://dx.doi.org/10.1038/mp.2014.72","http://dx.doi.org/10.1038/mp.2014.72")</f>
        <v>http://dx.doi.org/10.1038/mp.2014.72</v>
      </c>
      <c r="BG335" t="s">
        <v>74</v>
      </c>
      <c r="BH335" t="s">
        <v>74</v>
      </c>
      <c r="BI335">
        <v>9</v>
      </c>
      <c r="BJ335" t="s">
        <v>6851</v>
      </c>
      <c r="BK335" t="s">
        <v>100</v>
      </c>
      <c r="BL335" t="s">
        <v>6852</v>
      </c>
      <c r="BM335" t="s">
        <v>6853</v>
      </c>
      <c r="BN335">
        <v>25199918</v>
      </c>
      <c r="BO335" t="s">
        <v>1832</v>
      </c>
      <c r="BP335" t="s">
        <v>74</v>
      </c>
      <c r="BQ335" t="s">
        <v>74</v>
      </c>
      <c r="BR335" t="s">
        <v>104</v>
      </c>
      <c r="BS335" t="s">
        <v>6854</v>
      </c>
      <c r="BT335" t="str">
        <f>HYPERLINK("https%3A%2F%2Fwww.webofscience.com%2Fwos%2Fwoscc%2Ffull-record%2FWOS:000351780800015","View Full Record in Web of Science")</f>
        <v>View Full Record in Web of Science</v>
      </c>
    </row>
    <row r="336" spans="1:72" x14ac:dyDescent="0.15">
      <c r="A336" t="s">
        <v>72</v>
      </c>
      <c r="B336" t="s">
        <v>6855</v>
      </c>
      <c r="C336" t="s">
        <v>74</v>
      </c>
      <c r="D336" t="s">
        <v>74</v>
      </c>
      <c r="E336" t="s">
        <v>74</v>
      </c>
      <c r="F336" t="s">
        <v>6856</v>
      </c>
      <c r="G336" t="s">
        <v>74</v>
      </c>
      <c r="H336" t="s">
        <v>74</v>
      </c>
      <c r="I336" t="s">
        <v>6857</v>
      </c>
      <c r="J336" t="s">
        <v>6858</v>
      </c>
      <c r="K336" t="s">
        <v>74</v>
      </c>
      <c r="L336" t="s">
        <v>74</v>
      </c>
      <c r="M336" t="s">
        <v>78</v>
      </c>
      <c r="N336" t="s">
        <v>79</v>
      </c>
      <c r="O336" t="s">
        <v>74</v>
      </c>
      <c r="P336" t="s">
        <v>74</v>
      </c>
      <c r="Q336" t="s">
        <v>74</v>
      </c>
      <c r="R336" t="s">
        <v>74</v>
      </c>
      <c r="S336" t="s">
        <v>74</v>
      </c>
      <c r="T336" t="s">
        <v>6859</v>
      </c>
      <c r="U336" t="s">
        <v>6860</v>
      </c>
      <c r="V336" t="s">
        <v>6861</v>
      </c>
      <c r="W336" t="s">
        <v>6862</v>
      </c>
      <c r="X336" t="s">
        <v>6863</v>
      </c>
      <c r="Y336" t="s">
        <v>6864</v>
      </c>
      <c r="Z336" t="s">
        <v>6865</v>
      </c>
      <c r="AA336" t="s">
        <v>6866</v>
      </c>
      <c r="AB336" t="s">
        <v>6867</v>
      </c>
      <c r="AC336" t="s">
        <v>6868</v>
      </c>
      <c r="AD336" t="s">
        <v>6869</v>
      </c>
      <c r="AE336" t="s">
        <v>6870</v>
      </c>
      <c r="AF336" t="s">
        <v>74</v>
      </c>
      <c r="AG336">
        <v>55</v>
      </c>
      <c r="AH336">
        <v>10</v>
      </c>
      <c r="AI336">
        <v>10</v>
      </c>
      <c r="AJ336">
        <v>1</v>
      </c>
      <c r="AK336">
        <v>26</v>
      </c>
      <c r="AL336" t="s">
        <v>120</v>
      </c>
      <c r="AM336" t="s">
        <v>121</v>
      </c>
      <c r="AN336" t="s">
        <v>122</v>
      </c>
      <c r="AO336" t="s">
        <v>6871</v>
      </c>
      <c r="AP336" t="s">
        <v>6872</v>
      </c>
      <c r="AQ336" t="s">
        <v>74</v>
      </c>
      <c r="AR336" t="s">
        <v>6858</v>
      </c>
      <c r="AS336" t="s">
        <v>6873</v>
      </c>
      <c r="AT336" t="s">
        <v>5327</v>
      </c>
      <c r="AU336">
        <v>2015</v>
      </c>
      <c r="AV336">
        <v>177</v>
      </c>
      <c r="AW336">
        <v>4</v>
      </c>
      <c r="AX336" t="s">
        <v>74</v>
      </c>
      <c r="AY336" t="s">
        <v>74</v>
      </c>
      <c r="AZ336" t="s">
        <v>74</v>
      </c>
      <c r="BA336" t="s">
        <v>74</v>
      </c>
      <c r="BB336">
        <v>1211</v>
      </c>
      <c r="BC336">
        <v>1220</v>
      </c>
      <c r="BD336" t="s">
        <v>74</v>
      </c>
      <c r="BE336" t="s">
        <v>6874</v>
      </c>
      <c r="BF336" t="str">
        <f>HYPERLINK("http://dx.doi.org/10.1007/s00442-015-3267-9","http://dx.doi.org/10.1007/s00442-015-3267-9")</f>
        <v>http://dx.doi.org/10.1007/s00442-015-3267-9</v>
      </c>
      <c r="BG336" t="s">
        <v>74</v>
      </c>
      <c r="BH336" t="s">
        <v>74</v>
      </c>
      <c r="BI336">
        <v>10</v>
      </c>
      <c r="BJ336" t="s">
        <v>1047</v>
      </c>
      <c r="BK336" t="s">
        <v>100</v>
      </c>
      <c r="BL336" t="s">
        <v>1048</v>
      </c>
      <c r="BM336" t="s">
        <v>6875</v>
      </c>
      <c r="BN336">
        <v>25698143</v>
      </c>
      <c r="BO336" t="s">
        <v>74</v>
      </c>
      <c r="BP336" t="s">
        <v>74</v>
      </c>
      <c r="BQ336" t="s">
        <v>74</v>
      </c>
      <c r="BR336" t="s">
        <v>104</v>
      </c>
      <c r="BS336" t="s">
        <v>6876</v>
      </c>
      <c r="BT336" t="str">
        <f>HYPERLINK("https%3A%2F%2Fwww.webofscience.com%2Fwos%2Fwoscc%2Ffull-record%2FWOS:000351470100025","View Full Record in Web of Science")</f>
        <v>View Full Record in Web of Science</v>
      </c>
    </row>
    <row r="337" spans="1:72" x14ac:dyDescent="0.15">
      <c r="A337" t="s">
        <v>72</v>
      </c>
      <c r="B337" t="s">
        <v>6877</v>
      </c>
      <c r="C337" t="s">
        <v>74</v>
      </c>
      <c r="D337" t="s">
        <v>74</v>
      </c>
      <c r="E337" t="s">
        <v>74</v>
      </c>
      <c r="F337" t="s">
        <v>6878</v>
      </c>
      <c r="G337" t="s">
        <v>74</v>
      </c>
      <c r="H337" t="s">
        <v>74</v>
      </c>
      <c r="I337" t="s">
        <v>6879</v>
      </c>
      <c r="J337" t="s">
        <v>6880</v>
      </c>
      <c r="K337" t="s">
        <v>74</v>
      </c>
      <c r="L337" t="s">
        <v>74</v>
      </c>
      <c r="M337" t="s">
        <v>78</v>
      </c>
      <c r="N337" t="s">
        <v>79</v>
      </c>
      <c r="O337" t="s">
        <v>74</v>
      </c>
      <c r="P337" t="s">
        <v>74</v>
      </c>
      <c r="Q337" t="s">
        <v>74</v>
      </c>
      <c r="R337" t="s">
        <v>74</v>
      </c>
      <c r="S337" t="s">
        <v>74</v>
      </c>
      <c r="T337" t="s">
        <v>74</v>
      </c>
      <c r="U337" t="s">
        <v>6881</v>
      </c>
      <c r="V337" t="s">
        <v>6882</v>
      </c>
      <c r="W337" t="s">
        <v>6883</v>
      </c>
      <c r="X337" t="s">
        <v>6884</v>
      </c>
      <c r="Y337" t="s">
        <v>6885</v>
      </c>
      <c r="Z337" t="s">
        <v>6886</v>
      </c>
      <c r="AA337" t="s">
        <v>6887</v>
      </c>
      <c r="AB337" t="s">
        <v>6888</v>
      </c>
      <c r="AC337" t="s">
        <v>6889</v>
      </c>
      <c r="AD337" t="s">
        <v>6890</v>
      </c>
      <c r="AE337" t="s">
        <v>6891</v>
      </c>
      <c r="AF337" t="s">
        <v>74</v>
      </c>
      <c r="AG337">
        <v>53</v>
      </c>
      <c r="AH337">
        <v>24</v>
      </c>
      <c r="AI337">
        <v>25</v>
      </c>
      <c r="AJ337">
        <v>3</v>
      </c>
      <c r="AK337">
        <v>71</v>
      </c>
      <c r="AL337" t="s">
        <v>91</v>
      </c>
      <c r="AM337" t="s">
        <v>92</v>
      </c>
      <c r="AN337" t="s">
        <v>93</v>
      </c>
      <c r="AO337" t="s">
        <v>6892</v>
      </c>
      <c r="AP337" t="s">
        <v>6893</v>
      </c>
      <c r="AQ337" t="s">
        <v>74</v>
      </c>
      <c r="AR337" t="s">
        <v>6894</v>
      </c>
      <c r="AS337" t="s">
        <v>6895</v>
      </c>
      <c r="AT337" t="s">
        <v>5327</v>
      </c>
      <c r="AU337">
        <v>2015</v>
      </c>
      <c r="AV337">
        <v>153</v>
      </c>
      <c r="AW337">
        <v>4</v>
      </c>
      <c r="AX337" t="s">
        <v>74</v>
      </c>
      <c r="AY337" t="s">
        <v>74</v>
      </c>
      <c r="AZ337" t="s">
        <v>74</v>
      </c>
      <c r="BA337" t="s">
        <v>74</v>
      </c>
      <c r="BB337">
        <v>654</v>
      </c>
      <c r="BC337">
        <v>667</v>
      </c>
      <c r="BD337" t="s">
        <v>74</v>
      </c>
      <c r="BE337" t="s">
        <v>6896</v>
      </c>
      <c r="BF337" t="str">
        <f>HYPERLINK("http://dx.doi.org/10.1111/ppl.12273","http://dx.doi.org/10.1111/ppl.12273")</f>
        <v>http://dx.doi.org/10.1111/ppl.12273</v>
      </c>
      <c r="BG337" t="s">
        <v>74</v>
      </c>
      <c r="BH337" t="s">
        <v>74</v>
      </c>
      <c r="BI337">
        <v>14</v>
      </c>
      <c r="BJ337" t="s">
        <v>679</v>
      </c>
      <c r="BK337" t="s">
        <v>100</v>
      </c>
      <c r="BL337" t="s">
        <v>679</v>
      </c>
      <c r="BM337" t="s">
        <v>6897</v>
      </c>
      <c r="BN337">
        <v>25186023</v>
      </c>
      <c r="BO337" t="s">
        <v>74</v>
      </c>
      <c r="BP337" t="s">
        <v>74</v>
      </c>
      <c r="BQ337" t="s">
        <v>74</v>
      </c>
      <c r="BR337" t="s">
        <v>104</v>
      </c>
      <c r="BS337" t="s">
        <v>6898</v>
      </c>
      <c r="BT337" t="str">
        <f>HYPERLINK("https%3A%2F%2Fwww.webofscience.com%2Fwos%2Fwoscc%2Ffull-record%2FWOS:000351471000012","View Full Record in Web of Science")</f>
        <v>View Full Record in Web of Science</v>
      </c>
    </row>
    <row r="338" spans="1:72" x14ac:dyDescent="0.15">
      <c r="A338" t="s">
        <v>72</v>
      </c>
      <c r="B338" t="s">
        <v>6899</v>
      </c>
      <c r="C338" t="s">
        <v>74</v>
      </c>
      <c r="D338" t="s">
        <v>74</v>
      </c>
      <c r="E338" t="s">
        <v>74</v>
      </c>
      <c r="F338" t="s">
        <v>6900</v>
      </c>
      <c r="G338" t="s">
        <v>74</v>
      </c>
      <c r="H338" t="s">
        <v>74</v>
      </c>
      <c r="I338" t="s">
        <v>6901</v>
      </c>
      <c r="J338" t="s">
        <v>1290</v>
      </c>
      <c r="K338" t="s">
        <v>74</v>
      </c>
      <c r="L338" t="s">
        <v>74</v>
      </c>
      <c r="M338" t="s">
        <v>78</v>
      </c>
      <c r="N338" t="s">
        <v>79</v>
      </c>
      <c r="O338" t="s">
        <v>74</v>
      </c>
      <c r="P338" t="s">
        <v>74</v>
      </c>
      <c r="Q338" t="s">
        <v>74</v>
      </c>
      <c r="R338" t="s">
        <v>74</v>
      </c>
      <c r="S338" t="s">
        <v>74</v>
      </c>
      <c r="T338" t="s">
        <v>6902</v>
      </c>
      <c r="U338" t="s">
        <v>6903</v>
      </c>
      <c r="V338" t="s">
        <v>6904</v>
      </c>
      <c r="W338" t="s">
        <v>6905</v>
      </c>
      <c r="X338" t="s">
        <v>6906</v>
      </c>
      <c r="Y338" t="s">
        <v>6907</v>
      </c>
      <c r="Z338" t="s">
        <v>6908</v>
      </c>
      <c r="AA338" t="s">
        <v>6909</v>
      </c>
      <c r="AB338" t="s">
        <v>6910</v>
      </c>
      <c r="AC338" t="s">
        <v>74</v>
      </c>
      <c r="AD338" t="s">
        <v>74</v>
      </c>
      <c r="AE338" t="s">
        <v>74</v>
      </c>
      <c r="AF338" t="s">
        <v>74</v>
      </c>
      <c r="AG338">
        <v>23</v>
      </c>
      <c r="AH338">
        <v>5</v>
      </c>
      <c r="AI338">
        <v>5</v>
      </c>
      <c r="AJ338">
        <v>1</v>
      </c>
      <c r="AK338">
        <v>31</v>
      </c>
      <c r="AL338" t="s">
        <v>120</v>
      </c>
      <c r="AM338" t="s">
        <v>121</v>
      </c>
      <c r="AN338" t="s">
        <v>1304</v>
      </c>
      <c r="AO338" t="s">
        <v>1305</v>
      </c>
      <c r="AP338" t="s">
        <v>1306</v>
      </c>
      <c r="AQ338" t="s">
        <v>74</v>
      </c>
      <c r="AR338" t="s">
        <v>1307</v>
      </c>
      <c r="AS338" t="s">
        <v>1308</v>
      </c>
      <c r="AT338" t="s">
        <v>5327</v>
      </c>
      <c r="AU338">
        <v>2015</v>
      </c>
      <c r="AV338">
        <v>38</v>
      </c>
      <c r="AW338">
        <v>4</v>
      </c>
      <c r="AX338" t="s">
        <v>74</v>
      </c>
      <c r="AY338" t="s">
        <v>74</v>
      </c>
      <c r="AZ338" t="s">
        <v>74</v>
      </c>
      <c r="BA338" t="s">
        <v>74</v>
      </c>
      <c r="BB338">
        <v>463</v>
      </c>
      <c r="BC338">
        <v>474</v>
      </c>
      <c r="BD338" t="s">
        <v>74</v>
      </c>
      <c r="BE338" t="s">
        <v>6911</v>
      </c>
      <c r="BF338" t="str">
        <f>HYPERLINK("http://dx.doi.org/10.1007/s00300-014-1608-5","http://dx.doi.org/10.1007/s00300-014-1608-5")</f>
        <v>http://dx.doi.org/10.1007/s00300-014-1608-5</v>
      </c>
      <c r="BG338" t="s">
        <v>74</v>
      </c>
      <c r="BH338" t="s">
        <v>74</v>
      </c>
      <c r="BI338">
        <v>12</v>
      </c>
      <c r="BJ338" t="s">
        <v>1311</v>
      </c>
      <c r="BK338" t="s">
        <v>100</v>
      </c>
      <c r="BL338" t="s">
        <v>154</v>
      </c>
      <c r="BM338" t="s">
        <v>6912</v>
      </c>
      <c r="BN338" t="s">
        <v>74</v>
      </c>
      <c r="BO338" t="s">
        <v>74</v>
      </c>
      <c r="BP338" t="s">
        <v>74</v>
      </c>
      <c r="BQ338" t="s">
        <v>74</v>
      </c>
      <c r="BR338" t="s">
        <v>104</v>
      </c>
      <c r="BS338" t="s">
        <v>6913</v>
      </c>
      <c r="BT338" t="str">
        <f>HYPERLINK("https%3A%2F%2Fwww.webofscience.com%2Fwos%2Fwoscc%2Ffull-record%2FWOS:000351179000003","View Full Record in Web of Science")</f>
        <v>View Full Record in Web of Science</v>
      </c>
    </row>
    <row r="339" spans="1:72" x14ac:dyDescent="0.15">
      <c r="A339" t="s">
        <v>72</v>
      </c>
      <c r="B339" t="s">
        <v>6914</v>
      </c>
      <c r="C339" t="s">
        <v>74</v>
      </c>
      <c r="D339" t="s">
        <v>74</v>
      </c>
      <c r="E339" t="s">
        <v>74</v>
      </c>
      <c r="F339" t="s">
        <v>6915</v>
      </c>
      <c r="G339" t="s">
        <v>74</v>
      </c>
      <c r="H339" t="s">
        <v>74</v>
      </c>
      <c r="I339" t="s">
        <v>6916</v>
      </c>
      <c r="J339" t="s">
        <v>1290</v>
      </c>
      <c r="K339" t="s">
        <v>74</v>
      </c>
      <c r="L339" t="s">
        <v>74</v>
      </c>
      <c r="M339" t="s">
        <v>78</v>
      </c>
      <c r="N339" t="s">
        <v>79</v>
      </c>
      <c r="O339" t="s">
        <v>74</v>
      </c>
      <c r="P339" t="s">
        <v>74</v>
      </c>
      <c r="Q339" t="s">
        <v>74</v>
      </c>
      <c r="R339" t="s">
        <v>74</v>
      </c>
      <c r="S339" t="s">
        <v>74</v>
      </c>
      <c r="T339" t="s">
        <v>6917</v>
      </c>
      <c r="U339" t="s">
        <v>6918</v>
      </c>
      <c r="V339" t="s">
        <v>6919</v>
      </c>
      <c r="W339" t="s">
        <v>6920</v>
      </c>
      <c r="X339" t="s">
        <v>6921</v>
      </c>
      <c r="Y339" t="s">
        <v>6922</v>
      </c>
      <c r="Z339" t="s">
        <v>6923</v>
      </c>
      <c r="AA339" t="s">
        <v>6924</v>
      </c>
      <c r="AB339" t="s">
        <v>6925</v>
      </c>
      <c r="AC339" t="s">
        <v>6926</v>
      </c>
      <c r="AD339" t="s">
        <v>6927</v>
      </c>
      <c r="AE339" t="s">
        <v>6928</v>
      </c>
      <c r="AF339" t="s">
        <v>74</v>
      </c>
      <c r="AG339">
        <v>41</v>
      </c>
      <c r="AH339">
        <v>22</v>
      </c>
      <c r="AI339">
        <v>24</v>
      </c>
      <c r="AJ339">
        <v>0</v>
      </c>
      <c r="AK339">
        <v>46</v>
      </c>
      <c r="AL339" t="s">
        <v>120</v>
      </c>
      <c r="AM339" t="s">
        <v>121</v>
      </c>
      <c r="AN339" t="s">
        <v>1304</v>
      </c>
      <c r="AO339" t="s">
        <v>1305</v>
      </c>
      <c r="AP339" t="s">
        <v>1306</v>
      </c>
      <c r="AQ339" t="s">
        <v>74</v>
      </c>
      <c r="AR339" t="s">
        <v>1307</v>
      </c>
      <c r="AS339" t="s">
        <v>1308</v>
      </c>
      <c r="AT339" t="s">
        <v>5327</v>
      </c>
      <c r="AU339">
        <v>2015</v>
      </c>
      <c r="AV339">
        <v>38</v>
      </c>
      <c r="AW339">
        <v>4</v>
      </c>
      <c r="AX339" t="s">
        <v>74</v>
      </c>
      <c r="AY339" t="s">
        <v>74</v>
      </c>
      <c r="AZ339" t="s">
        <v>74</v>
      </c>
      <c r="BA339" t="s">
        <v>74</v>
      </c>
      <c r="BB339">
        <v>475</v>
      </c>
      <c r="BC339">
        <v>492</v>
      </c>
      <c r="BD339" t="s">
        <v>74</v>
      </c>
      <c r="BE339" t="s">
        <v>6929</v>
      </c>
      <c r="BF339" t="str">
        <f>HYPERLINK("http://dx.doi.org/10.1007/s00300-014-1609-4","http://dx.doi.org/10.1007/s00300-014-1609-4")</f>
        <v>http://dx.doi.org/10.1007/s00300-014-1609-4</v>
      </c>
      <c r="BG339" t="s">
        <v>74</v>
      </c>
      <c r="BH339" t="s">
        <v>74</v>
      </c>
      <c r="BI339">
        <v>18</v>
      </c>
      <c r="BJ339" t="s">
        <v>1311</v>
      </c>
      <c r="BK339" t="s">
        <v>100</v>
      </c>
      <c r="BL339" t="s">
        <v>154</v>
      </c>
      <c r="BM339" t="s">
        <v>6912</v>
      </c>
      <c r="BN339" t="s">
        <v>74</v>
      </c>
      <c r="BO339" t="s">
        <v>74</v>
      </c>
      <c r="BP339" t="s">
        <v>74</v>
      </c>
      <c r="BQ339" t="s">
        <v>74</v>
      </c>
      <c r="BR339" t="s">
        <v>104</v>
      </c>
      <c r="BS339" t="s">
        <v>6930</v>
      </c>
      <c r="BT339" t="str">
        <f>HYPERLINK("https%3A%2F%2Fwww.webofscience.com%2Fwos%2Fwoscc%2Ffull-record%2FWOS:000351179000004","View Full Record in Web of Science")</f>
        <v>View Full Record in Web of Science</v>
      </c>
    </row>
    <row r="340" spans="1:72" x14ac:dyDescent="0.15">
      <c r="A340" t="s">
        <v>72</v>
      </c>
      <c r="B340" t="s">
        <v>6931</v>
      </c>
      <c r="C340" t="s">
        <v>74</v>
      </c>
      <c r="D340" t="s">
        <v>74</v>
      </c>
      <c r="E340" t="s">
        <v>74</v>
      </c>
      <c r="F340" t="s">
        <v>6932</v>
      </c>
      <c r="G340" t="s">
        <v>74</v>
      </c>
      <c r="H340" t="s">
        <v>74</v>
      </c>
      <c r="I340" t="s">
        <v>6933</v>
      </c>
      <c r="J340" t="s">
        <v>1290</v>
      </c>
      <c r="K340" t="s">
        <v>74</v>
      </c>
      <c r="L340" t="s">
        <v>74</v>
      </c>
      <c r="M340" t="s">
        <v>78</v>
      </c>
      <c r="N340" t="s">
        <v>79</v>
      </c>
      <c r="O340" t="s">
        <v>74</v>
      </c>
      <c r="P340" t="s">
        <v>74</v>
      </c>
      <c r="Q340" t="s">
        <v>74</v>
      </c>
      <c r="R340" t="s">
        <v>74</v>
      </c>
      <c r="S340" t="s">
        <v>74</v>
      </c>
      <c r="T340" t="s">
        <v>6934</v>
      </c>
      <c r="U340" t="s">
        <v>6935</v>
      </c>
      <c r="V340" t="s">
        <v>6936</v>
      </c>
      <c r="W340" t="s">
        <v>6937</v>
      </c>
      <c r="X340" t="s">
        <v>6938</v>
      </c>
      <c r="Y340" t="s">
        <v>6939</v>
      </c>
      <c r="Z340" t="s">
        <v>6940</v>
      </c>
      <c r="AA340" t="s">
        <v>6941</v>
      </c>
      <c r="AB340" t="s">
        <v>6942</v>
      </c>
      <c r="AC340" t="s">
        <v>6943</v>
      </c>
      <c r="AD340" t="s">
        <v>6944</v>
      </c>
      <c r="AE340" t="s">
        <v>6945</v>
      </c>
      <c r="AF340" t="s">
        <v>74</v>
      </c>
      <c r="AG340">
        <v>33</v>
      </c>
      <c r="AH340">
        <v>11</v>
      </c>
      <c r="AI340">
        <v>13</v>
      </c>
      <c r="AJ340">
        <v>0</v>
      </c>
      <c r="AK340">
        <v>17</v>
      </c>
      <c r="AL340" t="s">
        <v>120</v>
      </c>
      <c r="AM340" t="s">
        <v>121</v>
      </c>
      <c r="AN340" t="s">
        <v>122</v>
      </c>
      <c r="AO340" t="s">
        <v>1305</v>
      </c>
      <c r="AP340" t="s">
        <v>1306</v>
      </c>
      <c r="AQ340" t="s">
        <v>74</v>
      </c>
      <c r="AR340" t="s">
        <v>1307</v>
      </c>
      <c r="AS340" t="s">
        <v>1308</v>
      </c>
      <c r="AT340" t="s">
        <v>5327</v>
      </c>
      <c r="AU340">
        <v>2015</v>
      </c>
      <c r="AV340">
        <v>38</v>
      </c>
      <c r="AW340">
        <v>4</v>
      </c>
      <c r="AX340" t="s">
        <v>74</v>
      </c>
      <c r="AY340" t="s">
        <v>74</v>
      </c>
      <c r="AZ340" t="s">
        <v>74</v>
      </c>
      <c r="BA340" t="s">
        <v>74</v>
      </c>
      <c r="BB340">
        <v>517</v>
      </c>
      <c r="BC340">
        <v>527</v>
      </c>
      <c r="BD340" t="s">
        <v>74</v>
      </c>
      <c r="BE340" t="s">
        <v>6946</v>
      </c>
      <c r="BF340" t="str">
        <f>HYPERLINK("http://dx.doi.org/10.1007/s00300-014-1614-7","http://dx.doi.org/10.1007/s00300-014-1614-7")</f>
        <v>http://dx.doi.org/10.1007/s00300-014-1614-7</v>
      </c>
      <c r="BG340" t="s">
        <v>74</v>
      </c>
      <c r="BH340" t="s">
        <v>74</v>
      </c>
      <c r="BI340">
        <v>11</v>
      </c>
      <c r="BJ340" t="s">
        <v>1311</v>
      </c>
      <c r="BK340" t="s">
        <v>100</v>
      </c>
      <c r="BL340" t="s">
        <v>154</v>
      </c>
      <c r="BM340" t="s">
        <v>6912</v>
      </c>
      <c r="BN340" t="s">
        <v>74</v>
      </c>
      <c r="BO340" t="s">
        <v>74</v>
      </c>
      <c r="BP340" t="s">
        <v>74</v>
      </c>
      <c r="BQ340" t="s">
        <v>74</v>
      </c>
      <c r="BR340" t="s">
        <v>104</v>
      </c>
      <c r="BS340" t="s">
        <v>6947</v>
      </c>
      <c r="BT340" t="str">
        <f>HYPERLINK("https%3A%2F%2Fwww.webofscience.com%2Fwos%2Fwoscc%2Ffull-record%2FWOS:000351179000007","View Full Record in Web of Science")</f>
        <v>View Full Record in Web of Science</v>
      </c>
    </row>
    <row r="341" spans="1:72" x14ac:dyDescent="0.15">
      <c r="A341" t="s">
        <v>72</v>
      </c>
      <c r="B341" t="s">
        <v>6948</v>
      </c>
      <c r="C341" t="s">
        <v>74</v>
      </c>
      <c r="D341" t="s">
        <v>74</v>
      </c>
      <c r="E341" t="s">
        <v>74</v>
      </c>
      <c r="F341" t="s">
        <v>6949</v>
      </c>
      <c r="G341" t="s">
        <v>74</v>
      </c>
      <c r="H341" t="s">
        <v>74</v>
      </c>
      <c r="I341" t="s">
        <v>6950</v>
      </c>
      <c r="J341" t="s">
        <v>1290</v>
      </c>
      <c r="K341" t="s">
        <v>74</v>
      </c>
      <c r="L341" t="s">
        <v>74</v>
      </c>
      <c r="M341" t="s">
        <v>78</v>
      </c>
      <c r="N341" t="s">
        <v>79</v>
      </c>
      <c r="O341" t="s">
        <v>74</v>
      </c>
      <c r="P341" t="s">
        <v>74</v>
      </c>
      <c r="Q341" t="s">
        <v>74</v>
      </c>
      <c r="R341" t="s">
        <v>74</v>
      </c>
      <c r="S341" t="s">
        <v>74</v>
      </c>
      <c r="T341" t="s">
        <v>6951</v>
      </c>
      <c r="U341" t="s">
        <v>6952</v>
      </c>
      <c r="V341" t="s">
        <v>6953</v>
      </c>
      <c r="W341" t="s">
        <v>6954</v>
      </c>
      <c r="X341" t="s">
        <v>83</v>
      </c>
      <c r="Y341" t="s">
        <v>6955</v>
      </c>
      <c r="Z341" t="s">
        <v>6956</v>
      </c>
      <c r="AA341" t="s">
        <v>6957</v>
      </c>
      <c r="AB341" t="s">
        <v>6958</v>
      </c>
      <c r="AC341" t="s">
        <v>6959</v>
      </c>
      <c r="AD341" t="s">
        <v>6959</v>
      </c>
      <c r="AE341" t="s">
        <v>6960</v>
      </c>
      <c r="AF341" t="s">
        <v>74</v>
      </c>
      <c r="AG341">
        <v>18</v>
      </c>
      <c r="AH341">
        <v>7</v>
      </c>
      <c r="AI341">
        <v>7</v>
      </c>
      <c r="AJ341">
        <v>0</v>
      </c>
      <c r="AK341">
        <v>12</v>
      </c>
      <c r="AL341" t="s">
        <v>120</v>
      </c>
      <c r="AM341" t="s">
        <v>121</v>
      </c>
      <c r="AN341" t="s">
        <v>122</v>
      </c>
      <c r="AO341" t="s">
        <v>1305</v>
      </c>
      <c r="AP341" t="s">
        <v>1306</v>
      </c>
      <c r="AQ341" t="s">
        <v>74</v>
      </c>
      <c r="AR341" t="s">
        <v>1307</v>
      </c>
      <c r="AS341" t="s">
        <v>1308</v>
      </c>
      <c r="AT341" t="s">
        <v>5327</v>
      </c>
      <c r="AU341">
        <v>2015</v>
      </c>
      <c r="AV341">
        <v>38</v>
      </c>
      <c r="AW341">
        <v>4</v>
      </c>
      <c r="AX341" t="s">
        <v>74</v>
      </c>
      <c r="AY341" t="s">
        <v>74</v>
      </c>
      <c r="AZ341" t="s">
        <v>74</v>
      </c>
      <c r="BA341" t="s">
        <v>74</v>
      </c>
      <c r="BB341">
        <v>569</v>
      </c>
      <c r="BC341">
        <v>571</v>
      </c>
      <c r="BD341" t="s">
        <v>74</v>
      </c>
      <c r="BE341" t="s">
        <v>6961</v>
      </c>
      <c r="BF341" t="str">
        <f>HYPERLINK("http://dx.doi.org/10.1007/s00300-014-1573-z","http://dx.doi.org/10.1007/s00300-014-1573-z")</f>
        <v>http://dx.doi.org/10.1007/s00300-014-1573-z</v>
      </c>
      <c r="BG341" t="s">
        <v>74</v>
      </c>
      <c r="BH341" t="s">
        <v>74</v>
      </c>
      <c r="BI341">
        <v>3</v>
      </c>
      <c r="BJ341" t="s">
        <v>1311</v>
      </c>
      <c r="BK341" t="s">
        <v>100</v>
      </c>
      <c r="BL341" t="s">
        <v>154</v>
      </c>
      <c r="BM341" t="s">
        <v>6912</v>
      </c>
      <c r="BN341" t="s">
        <v>74</v>
      </c>
      <c r="BO341" t="s">
        <v>248</v>
      </c>
      <c r="BP341" t="s">
        <v>74</v>
      </c>
      <c r="BQ341" t="s">
        <v>74</v>
      </c>
      <c r="BR341" t="s">
        <v>104</v>
      </c>
      <c r="BS341" t="s">
        <v>6962</v>
      </c>
      <c r="BT341" t="str">
        <f>HYPERLINK("https%3A%2F%2Fwww.webofscience.com%2Fwos%2Fwoscc%2Ffull-record%2FWOS:000351179000012","View Full Record in Web of Science")</f>
        <v>View Full Record in Web of Science</v>
      </c>
    </row>
    <row r="342" spans="1:72" x14ac:dyDescent="0.15">
      <c r="A342" t="s">
        <v>72</v>
      </c>
      <c r="B342" t="s">
        <v>6963</v>
      </c>
      <c r="C342" t="s">
        <v>74</v>
      </c>
      <c r="D342" t="s">
        <v>74</v>
      </c>
      <c r="E342" t="s">
        <v>74</v>
      </c>
      <c r="F342" t="s">
        <v>6964</v>
      </c>
      <c r="G342" t="s">
        <v>74</v>
      </c>
      <c r="H342" t="s">
        <v>74</v>
      </c>
      <c r="I342" t="s">
        <v>6965</v>
      </c>
      <c r="J342" t="s">
        <v>1290</v>
      </c>
      <c r="K342" t="s">
        <v>74</v>
      </c>
      <c r="L342" t="s">
        <v>74</v>
      </c>
      <c r="M342" t="s">
        <v>78</v>
      </c>
      <c r="N342" t="s">
        <v>79</v>
      </c>
      <c r="O342" t="s">
        <v>74</v>
      </c>
      <c r="P342" t="s">
        <v>74</v>
      </c>
      <c r="Q342" t="s">
        <v>74</v>
      </c>
      <c r="R342" t="s">
        <v>74</v>
      </c>
      <c r="S342" t="s">
        <v>74</v>
      </c>
      <c r="T342" t="s">
        <v>6966</v>
      </c>
      <c r="U342" t="s">
        <v>6967</v>
      </c>
      <c r="V342" t="s">
        <v>6968</v>
      </c>
      <c r="W342" t="s">
        <v>6969</v>
      </c>
      <c r="X342" t="s">
        <v>468</v>
      </c>
      <c r="Y342" t="s">
        <v>6970</v>
      </c>
      <c r="Z342" t="s">
        <v>6971</v>
      </c>
      <c r="AA342" t="s">
        <v>6972</v>
      </c>
      <c r="AB342" t="s">
        <v>6973</v>
      </c>
      <c r="AC342" t="s">
        <v>6974</v>
      </c>
      <c r="AD342" t="s">
        <v>6974</v>
      </c>
      <c r="AE342" t="s">
        <v>6975</v>
      </c>
      <c r="AF342" t="s">
        <v>74</v>
      </c>
      <c r="AG342">
        <v>26</v>
      </c>
      <c r="AH342">
        <v>41</v>
      </c>
      <c r="AI342">
        <v>46</v>
      </c>
      <c r="AJ342">
        <v>1</v>
      </c>
      <c r="AK342">
        <v>77</v>
      </c>
      <c r="AL342" t="s">
        <v>120</v>
      </c>
      <c r="AM342" t="s">
        <v>121</v>
      </c>
      <c r="AN342" t="s">
        <v>122</v>
      </c>
      <c r="AO342" t="s">
        <v>1305</v>
      </c>
      <c r="AP342" t="s">
        <v>1306</v>
      </c>
      <c r="AQ342" t="s">
        <v>74</v>
      </c>
      <c r="AR342" t="s">
        <v>1307</v>
      </c>
      <c r="AS342" t="s">
        <v>1308</v>
      </c>
      <c r="AT342" t="s">
        <v>5327</v>
      </c>
      <c r="AU342">
        <v>2015</v>
      </c>
      <c r="AV342">
        <v>38</v>
      </c>
      <c r="AW342">
        <v>4</v>
      </c>
      <c r="AX342" t="s">
        <v>74</v>
      </c>
      <c r="AY342" t="s">
        <v>74</v>
      </c>
      <c r="AZ342" t="s">
        <v>74</v>
      </c>
      <c r="BA342" t="s">
        <v>74</v>
      </c>
      <c r="BB342">
        <v>573</v>
      </c>
      <c r="BC342">
        <v>578</v>
      </c>
      <c r="BD342" t="s">
        <v>74</v>
      </c>
      <c r="BE342" t="s">
        <v>6976</v>
      </c>
      <c r="BF342" t="str">
        <f>HYPERLINK("http://dx.doi.org/10.1007/s00300-014-1586-7","http://dx.doi.org/10.1007/s00300-014-1586-7")</f>
        <v>http://dx.doi.org/10.1007/s00300-014-1586-7</v>
      </c>
      <c r="BG342" t="s">
        <v>74</v>
      </c>
      <c r="BH342" t="s">
        <v>74</v>
      </c>
      <c r="BI342">
        <v>6</v>
      </c>
      <c r="BJ342" t="s">
        <v>1311</v>
      </c>
      <c r="BK342" t="s">
        <v>100</v>
      </c>
      <c r="BL342" t="s">
        <v>154</v>
      </c>
      <c r="BM342" t="s">
        <v>6912</v>
      </c>
      <c r="BN342" t="s">
        <v>74</v>
      </c>
      <c r="BO342" t="s">
        <v>74</v>
      </c>
      <c r="BP342" t="s">
        <v>74</v>
      </c>
      <c r="BQ342" t="s">
        <v>74</v>
      </c>
      <c r="BR342" t="s">
        <v>104</v>
      </c>
      <c r="BS342" t="s">
        <v>6977</v>
      </c>
      <c r="BT342" t="str">
        <f>HYPERLINK("https%3A%2F%2Fwww.webofscience.com%2Fwos%2Fwoscc%2Ffull-record%2FWOS:000351179000013","View Full Record in Web of Science")</f>
        <v>View Full Record in Web of Science</v>
      </c>
    </row>
    <row r="343" spans="1:72" x14ac:dyDescent="0.15">
      <c r="A343" t="s">
        <v>72</v>
      </c>
      <c r="B343" t="s">
        <v>6978</v>
      </c>
      <c r="C343" t="s">
        <v>74</v>
      </c>
      <c r="D343" t="s">
        <v>74</v>
      </c>
      <c r="E343" t="s">
        <v>74</v>
      </c>
      <c r="F343" t="s">
        <v>6979</v>
      </c>
      <c r="G343" t="s">
        <v>74</v>
      </c>
      <c r="H343" t="s">
        <v>74</v>
      </c>
      <c r="I343" t="s">
        <v>6980</v>
      </c>
      <c r="J343" t="s">
        <v>848</v>
      </c>
      <c r="K343" t="s">
        <v>74</v>
      </c>
      <c r="L343" t="s">
        <v>74</v>
      </c>
      <c r="M343" t="s">
        <v>78</v>
      </c>
      <c r="N343" t="s">
        <v>79</v>
      </c>
      <c r="O343" t="s">
        <v>74</v>
      </c>
      <c r="P343" t="s">
        <v>74</v>
      </c>
      <c r="Q343" t="s">
        <v>74</v>
      </c>
      <c r="R343" t="s">
        <v>74</v>
      </c>
      <c r="S343" t="s">
        <v>74</v>
      </c>
      <c r="T343" t="s">
        <v>6981</v>
      </c>
      <c r="U343" t="s">
        <v>6982</v>
      </c>
      <c r="V343" t="s">
        <v>6983</v>
      </c>
      <c r="W343" t="s">
        <v>6984</v>
      </c>
      <c r="X343" t="s">
        <v>6985</v>
      </c>
      <c r="Y343" t="s">
        <v>6986</v>
      </c>
      <c r="Z343" t="s">
        <v>6987</v>
      </c>
      <c r="AA343" t="s">
        <v>6988</v>
      </c>
      <c r="AB343" t="s">
        <v>6989</v>
      </c>
      <c r="AC343" t="s">
        <v>6990</v>
      </c>
      <c r="AD343" t="s">
        <v>6991</v>
      </c>
      <c r="AE343" t="s">
        <v>6992</v>
      </c>
      <c r="AF343" t="s">
        <v>74</v>
      </c>
      <c r="AG343">
        <v>84</v>
      </c>
      <c r="AH343">
        <v>81</v>
      </c>
      <c r="AI343">
        <v>93</v>
      </c>
      <c r="AJ343">
        <v>1</v>
      </c>
      <c r="AK343">
        <v>78</v>
      </c>
      <c r="AL343" t="s">
        <v>1039</v>
      </c>
      <c r="AM343" t="s">
        <v>816</v>
      </c>
      <c r="AN343" t="s">
        <v>1040</v>
      </c>
      <c r="AO343" t="s">
        <v>858</v>
      </c>
      <c r="AP343" t="s">
        <v>859</v>
      </c>
      <c r="AQ343" t="s">
        <v>74</v>
      </c>
      <c r="AR343" t="s">
        <v>860</v>
      </c>
      <c r="AS343" t="s">
        <v>861</v>
      </c>
      <c r="AT343" t="s">
        <v>5866</v>
      </c>
      <c r="AU343">
        <v>2015</v>
      </c>
      <c r="AV343">
        <v>415</v>
      </c>
      <c r="AW343" t="s">
        <v>74</v>
      </c>
      <c r="AX343" t="s">
        <v>74</v>
      </c>
      <c r="AY343" t="s">
        <v>74</v>
      </c>
      <c r="AZ343" t="s">
        <v>74</v>
      </c>
      <c r="BA343" t="s">
        <v>74</v>
      </c>
      <c r="BB343">
        <v>134</v>
      </c>
      <c r="BC343">
        <v>141</v>
      </c>
      <c r="BD343" t="s">
        <v>74</v>
      </c>
      <c r="BE343" t="s">
        <v>6993</v>
      </c>
      <c r="BF343" t="str">
        <f>HYPERLINK("http://dx.doi.org/10.1016/j.epsl.2015.01.029","http://dx.doi.org/10.1016/j.epsl.2015.01.029")</f>
        <v>http://dx.doi.org/10.1016/j.epsl.2015.01.029</v>
      </c>
      <c r="BG343" t="s">
        <v>74</v>
      </c>
      <c r="BH343" t="s">
        <v>74</v>
      </c>
      <c r="BI343">
        <v>8</v>
      </c>
      <c r="BJ343" t="s">
        <v>863</v>
      </c>
      <c r="BK343" t="s">
        <v>100</v>
      </c>
      <c r="BL343" t="s">
        <v>863</v>
      </c>
      <c r="BM343" t="s">
        <v>6994</v>
      </c>
      <c r="BN343" t="s">
        <v>74</v>
      </c>
      <c r="BO343" t="s">
        <v>74</v>
      </c>
      <c r="BP343" t="s">
        <v>74</v>
      </c>
      <c r="BQ343" t="s">
        <v>74</v>
      </c>
      <c r="BR343" t="s">
        <v>104</v>
      </c>
      <c r="BS343" t="s">
        <v>6995</v>
      </c>
      <c r="BT343" t="str">
        <f>HYPERLINK("https%3A%2F%2Fwww.webofscience.com%2Fwos%2Fwoscc%2Ffull-record%2FWOS:000350929600013","View Full Record in Web of Science")</f>
        <v>View Full Record in Web of Science</v>
      </c>
    </row>
    <row r="344" spans="1:72" x14ac:dyDescent="0.15">
      <c r="A344" t="s">
        <v>72</v>
      </c>
      <c r="B344" t="s">
        <v>6996</v>
      </c>
      <c r="C344" t="s">
        <v>74</v>
      </c>
      <c r="D344" t="s">
        <v>74</v>
      </c>
      <c r="E344" t="s">
        <v>74</v>
      </c>
      <c r="F344" t="s">
        <v>6997</v>
      </c>
      <c r="G344" t="s">
        <v>74</v>
      </c>
      <c r="H344" t="s">
        <v>74</v>
      </c>
      <c r="I344" t="s">
        <v>6998</v>
      </c>
      <c r="J344" t="s">
        <v>2452</v>
      </c>
      <c r="K344" t="s">
        <v>74</v>
      </c>
      <c r="L344" t="s">
        <v>74</v>
      </c>
      <c r="M344" t="s">
        <v>78</v>
      </c>
      <c r="N344" t="s">
        <v>79</v>
      </c>
      <c r="O344" t="s">
        <v>74</v>
      </c>
      <c r="P344" t="s">
        <v>74</v>
      </c>
      <c r="Q344" t="s">
        <v>74</v>
      </c>
      <c r="R344" t="s">
        <v>74</v>
      </c>
      <c r="S344" t="s">
        <v>74</v>
      </c>
      <c r="T344" t="s">
        <v>6999</v>
      </c>
      <c r="U344" t="s">
        <v>7000</v>
      </c>
      <c r="V344" t="s">
        <v>7001</v>
      </c>
      <c r="W344" t="s">
        <v>7002</v>
      </c>
      <c r="X344" t="s">
        <v>7003</v>
      </c>
      <c r="Y344" t="s">
        <v>7004</v>
      </c>
      <c r="Z344" t="s">
        <v>7005</v>
      </c>
      <c r="AA344" t="s">
        <v>7006</v>
      </c>
      <c r="AB344" t="s">
        <v>7007</v>
      </c>
      <c r="AC344" t="s">
        <v>7008</v>
      </c>
      <c r="AD344" t="s">
        <v>7009</v>
      </c>
      <c r="AE344" t="s">
        <v>7010</v>
      </c>
      <c r="AF344" t="s">
        <v>74</v>
      </c>
      <c r="AG344">
        <v>70</v>
      </c>
      <c r="AH344">
        <v>14</v>
      </c>
      <c r="AI344">
        <v>16</v>
      </c>
      <c r="AJ344">
        <v>2</v>
      </c>
      <c r="AK344">
        <v>38</v>
      </c>
      <c r="AL344" t="s">
        <v>815</v>
      </c>
      <c r="AM344" t="s">
        <v>816</v>
      </c>
      <c r="AN344" t="s">
        <v>817</v>
      </c>
      <c r="AO344" t="s">
        <v>2462</v>
      </c>
      <c r="AP344" t="s">
        <v>2463</v>
      </c>
      <c r="AQ344" t="s">
        <v>74</v>
      </c>
      <c r="AR344" t="s">
        <v>2464</v>
      </c>
      <c r="AS344" t="s">
        <v>2465</v>
      </c>
      <c r="AT344" t="s">
        <v>5327</v>
      </c>
      <c r="AU344">
        <v>2015</v>
      </c>
      <c r="AV344">
        <v>127</v>
      </c>
      <c r="AW344" t="s">
        <v>74</v>
      </c>
      <c r="AX344" t="s">
        <v>74</v>
      </c>
      <c r="AY344" t="s">
        <v>74</v>
      </c>
      <c r="AZ344" t="s">
        <v>74</v>
      </c>
      <c r="BA344" t="s">
        <v>74</v>
      </c>
      <c r="BB344">
        <v>67</v>
      </c>
      <c r="BC344">
        <v>78</v>
      </c>
      <c r="BD344" t="s">
        <v>74</v>
      </c>
      <c r="BE344" t="s">
        <v>7011</v>
      </c>
      <c r="BF344" t="str">
        <f>HYPERLINK("http://dx.doi.org/10.1016/j.gloplacha.2015.01.006","http://dx.doi.org/10.1016/j.gloplacha.2015.01.006")</f>
        <v>http://dx.doi.org/10.1016/j.gloplacha.2015.01.006</v>
      </c>
      <c r="BG344" t="s">
        <v>74</v>
      </c>
      <c r="BH344" t="s">
        <v>74</v>
      </c>
      <c r="BI344">
        <v>12</v>
      </c>
      <c r="BJ344" t="s">
        <v>795</v>
      </c>
      <c r="BK344" t="s">
        <v>100</v>
      </c>
      <c r="BL344" t="s">
        <v>796</v>
      </c>
      <c r="BM344" t="s">
        <v>7012</v>
      </c>
      <c r="BN344" t="s">
        <v>74</v>
      </c>
      <c r="BO344" t="s">
        <v>74</v>
      </c>
      <c r="BP344" t="s">
        <v>74</v>
      </c>
      <c r="BQ344" t="s">
        <v>74</v>
      </c>
      <c r="BR344" t="s">
        <v>104</v>
      </c>
      <c r="BS344" t="s">
        <v>7013</v>
      </c>
      <c r="BT344" t="str">
        <f>HYPERLINK("https%3A%2F%2Fwww.webofscience.com%2Fwos%2Fwoscc%2Ffull-record%2FWOS:000350929800007","View Full Record in Web of Science")</f>
        <v>View Full Record in Web of Science</v>
      </c>
    </row>
    <row r="345" spans="1:72" x14ac:dyDescent="0.15">
      <c r="A345" t="s">
        <v>72</v>
      </c>
      <c r="B345" t="s">
        <v>7014</v>
      </c>
      <c r="C345" t="s">
        <v>74</v>
      </c>
      <c r="D345" t="s">
        <v>74</v>
      </c>
      <c r="E345" t="s">
        <v>74</v>
      </c>
      <c r="F345" t="s">
        <v>7015</v>
      </c>
      <c r="G345" t="s">
        <v>74</v>
      </c>
      <c r="H345" t="s">
        <v>74</v>
      </c>
      <c r="I345" t="s">
        <v>7016</v>
      </c>
      <c r="J345" t="s">
        <v>4206</v>
      </c>
      <c r="K345" t="s">
        <v>74</v>
      </c>
      <c r="L345" t="s">
        <v>74</v>
      </c>
      <c r="M345" t="s">
        <v>78</v>
      </c>
      <c r="N345" t="s">
        <v>79</v>
      </c>
      <c r="O345" t="s">
        <v>74</v>
      </c>
      <c r="P345" t="s">
        <v>74</v>
      </c>
      <c r="Q345" t="s">
        <v>74</v>
      </c>
      <c r="R345" t="s">
        <v>74</v>
      </c>
      <c r="S345" t="s">
        <v>74</v>
      </c>
      <c r="T345" t="s">
        <v>7017</v>
      </c>
      <c r="U345" t="s">
        <v>7018</v>
      </c>
      <c r="V345" t="s">
        <v>7019</v>
      </c>
      <c r="W345" t="s">
        <v>7020</v>
      </c>
      <c r="X345" t="s">
        <v>7021</v>
      </c>
      <c r="Y345" t="s">
        <v>7022</v>
      </c>
      <c r="Z345" t="s">
        <v>7023</v>
      </c>
      <c r="AA345" t="s">
        <v>7024</v>
      </c>
      <c r="AB345" t="s">
        <v>7025</v>
      </c>
      <c r="AC345" t="s">
        <v>7026</v>
      </c>
      <c r="AD345" t="s">
        <v>7027</v>
      </c>
      <c r="AE345" t="s">
        <v>7028</v>
      </c>
      <c r="AF345" t="s">
        <v>74</v>
      </c>
      <c r="AG345">
        <v>78</v>
      </c>
      <c r="AH345">
        <v>39</v>
      </c>
      <c r="AI345">
        <v>43</v>
      </c>
      <c r="AJ345">
        <v>2</v>
      </c>
      <c r="AK345">
        <v>53</v>
      </c>
      <c r="AL345" t="s">
        <v>1039</v>
      </c>
      <c r="AM345" t="s">
        <v>816</v>
      </c>
      <c r="AN345" t="s">
        <v>1040</v>
      </c>
      <c r="AO345" t="s">
        <v>4219</v>
      </c>
      <c r="AP345" t="s">
        <v>4220</v>
      </c>
      <c r="AQ345" t="s">
        <v>74</v>
      </c>
      <c r="AR345" t="s">
        <v>4221</v>
      </c>
      <c r="AS345" t="s">
        <v>4222</v>
      </c>
      <c r="AT345" t="s">
        <v>5327</v>
      </c>
      <c r="AU345">
        <v>2015</v>
      </c>
      <c r="AV345">
        <v>144</v>
      </c>
      <c r="AW345" t="s">
        <v>74</v>
      </c>
      <c r="AX345" t="s">
        <v>74</v>
      </c>
      <c r="AY345" t="s">
        <v>74</v>
      </c>
      <c r="AZ345" t="s">
        <v>74</v>
      </c>
      <c r="BA345" t="s">
        <v>74</v>
      </c>
      <c r="BB345">
        <v>48</v>
      </c>
      <c r="BC345">
        <v>56</v>
      </c>
      <c r="BD345" t="s">
        <v>74</v>
      </c>
      <c r="BE345" t="s">
        <v>7029</v>
      </c>
      <c r="BF345" t="str">
        <f>HYPERLINK("http://dx.doi.org/10.1016/j.jmarsys.2014.11.013","http://dx.doi.org/10.1016/j.jmarsys.2014.11.013")</f>
        <v>http://dx.doi.org/10.1016/j.jmarsys.2014.11.013</v>
      </c>
      <c r="BG345" t="s">
        <v>74</v>
      </c>
      <c r="BH345" t="s">
        <v>74</v>
      </c>
      <c r="BI345">
        <v>9</v>
      </c>
      <c r="BJ345" t="s">
        <v>4224</v>
      </c>
      <c r="BK345" t="s">
        <v>100</v>
      </c>
      <c r="BL345" t="s">
        <v>4225</v>
      </c>
      <c r="BM345" t="s">
        <v>7030</v>
      </c>
      <c r="BN345" t="s">
        <v>74</v>
      </c>
      <c r="BO345" t="s">
        <v>74</v>
      </c>
      <c r="BP345" t="s">
        <v>74</v>
      </c>
      <c r="BQ345" t="s">
        <v>74</v>
      </c>
      <c r="BR345" t="s">
        <v>104</v>
      </c>
      <c r="BS345" t="s">
        <v>7031</v>
      </c>
      <c r="BT345" t="str">
        <f>HYPERLINK("https%3A%2F%2Fwww.webofscience.com%2Fwos%2Fwoscc%2Ffull-record%2FWOS:000350920900004","View Full Record in Web of Science")</f>
        <v>View Full Record in Web of Science</v>
      </c>
    </row>
    <row r="346" spans="1:72" x14ac:dyDescent="0.15">
      <c r="A346" t="s">
        <v>72</v>
      </c>
      <c r="B346" t="s">
        <v>7032</v>
      </c>
      <c r="C346" t="s">
        <v>74</v>
      </c>
      <c r="D346" t="s">
        <v>74</v>
      </c>
      <c r="E346" t="s">
        <v>74</v>
      </c>
      <c r="F346" t="s">
        <v>7033</v>
      </c>
      <c r="G346" t="s">
        <v>74</v>
      </c>
      <c r="H346" t="s">
        <v>74</v>
      </c>
      <c r="I346" t="s">
        <v>7034</v>
      </c>
      <c r="J346" t="s">
        <v>7035</v>
      </c>
      <c r="K346" t="s">
        <v>74</v>
      </c>
      <c r="L346" t="s">
        <v>74</v>
      </c>
      <c r="M346" t="s">
        <v>78</v>
      </c>
      <c r="N346" t="s">
        <v>1222</v>
      </c>
      <c r="O346" t="s">
        <v>7036</v>
      </c>
      <c r="P346" t="s">
        <v>7037</v>
      </c>
      <c r="Q346" t="s">
        <v>7038</v>
      </c>
      <c r="R346" t="s">
        <v>74</v>
      </c>
      <c r="S346" t="s">
        <v>74</v>
      </c>
      <c r="T346" t="s">
        <v>7039</v>
      </c>
      <c r="U346" t="s">
        <v>7040</v>
      </c>
      <c r="V346" t="s">
        <v>7041</v>
      </c>
      <c r="W346" t="s">
        <v>7042</v>
      </c>
      <c r="X346" t="s">
        <v>7043</v>
      </c>
      <c r="Y346" t="s">
        <v>7044</v>
      </c>
      <c r="Z346" t="s">
        <v>7045</v>
      </c>
      <c r="AA346" t="s">
        <v>7046</v>
      </c>
      <c r="AB346" t="s">
        <v>7047</v>
      </c>
      <c r="AC346" t="s">
        <v>7048</v>
      </c>
      <c r="AD346" t="s">
        <v>7049</v>
      </c>
      <c r="AE346" t="s">
        <v>7050</v>
      </c>
      <c r="AF346" t="s">
        <v>74</v>
      </c>
      <c r="AG346">
        <v>63</v>
      </c>
      <c r="AH346">
        <v>35</v>
      </c>
      <c r="AI346">
        <v>35</v>
      </c>
      <c r="AJ346">
        <v>0</v>
      </c>
      <c r="AK346">
        <v>18</v>
      </c>
      <c r="AL346" t="s">
        <v>815</v>
      </c>
      <c r="AM346" t="s">
        <v>816</v>
      </c>
      <c r="AN346" t="s">
        <v>817</v>
      </c>
      <c r="AO346" t="s">
        <v>7051</v>
      </c>
      <c r="AP346" t="s">
        <v>7052</v>
      </c>
      <c r="AQ346" t="s">
        <v>74</v>
      </c>
      <c r="AR346" t="s">
        <v>7053</v>
      </c>
      <c r="AS346" t="s">
        <v>7054</v>
      </c>
      <c r="AT346" t="s">
        <v>5327</v>
      </c>
      <c r="AU346">
        <v>2015</v>
      </c>
      <c r="AV346">
        <v>259</v>
      </c>
      <c r="AW346" t="s">
        <v>74</v>
      </c>
      <c r="AX346" t="s">
        <v>74</v>
      </c>
      <c r="AY346" t="s">
        <v>74</v>
      </c>
      <c r="AZ346" t="s">
        <v>454</v>
      </c>
      <c r="BA346" t="s">
        <v>74</v>
      </c>
      <c r="BB346">
        <v>189</v>
      </c>
      <c r="BC346">
        <v>206</v>
      </c>
      <c r="BD346" t="s">
        <v>74</v>
      </c>
      <c r="BE346" t="s">
        <v>7055</v>
      </c>
      <c r="BF346" t="str">
        <f>HYPERLINK("http://dx.doi.org/10.1016/j.precamres.2014.10.014","http://dx.doi.org/10.1016/j.precamres.2014.10.014")</f>
        <v>http://dx.doi.org/10.1016/j.precamres.2014.10.014</v>
      </c>
      <c r="BG346" t="s">
        <v>74</v>
      </c>
      <c r="BH346" t="s">
        <v>74</v>
      </c>
      <c r="BI346">
        <v>18</v>
      </c>
      <c r="BJ346" t="s">
        <v>219</v>
      </c>
      <c r="BK346" t="s">
        <v>1247</v>
      </c>
      <c r="BL346" t="s">
        <v>220</v>
      </c>
      <c r="BM346" t="s">
        <v>7056</v>
      </c>
      <c r="BN346" t="s">
        <v>74</v>
      </c>
      <c r="BO346" t="s">
        <v>74</v>
      </c>
      <c r="BP346" t="s">
        <v>74</v>
      </c>
      <c r="BQ346" t="s">
        <v>74</v>
      </c>
      <c r="BR346" t="s">
        <v>104</v>
      </c>
      <c r="BS346" t="s">
        <v>7057</v>
      </c>
      <c r="BT346" t="str">
        <f>HYPERLINK("https%3A%2F%2Fwww.webofscience.com%2Fwos%2Fwoscc%2Ffull-record%2FWOS:000350516900013","View Full Record in Web of Science")</f>
        <v>View Full Record in Web of Science</v>
      </c>
    </row>
    <row r="347" spans="1:72" x14ac:dyDescent="0.15">
      <c r="A347" t="s">
        <v>72</v>
      </c>
      <c r="B347" t="s">
        <v>7058</v>
      </c>
      <c r="C347" t="s">
        <v>74</v>
      </c>
      <c r="D347" t="s">
        <v>74</v>
      </c>
      <c r="E347" t="s">
        <v>74</v>
      </c>
      <c r="F347" t="s">
        <v>7059</v>
      </c>
      <c r="G347" t="s">
        <v>74</v>
      </c>
      <c r="H347" t="s">
        <v>74</v>
      </c>
      <c r="I347" t="s">
        <v>7060</v>
      </c>
      <c r="J347" t="s">
        <v>7061</v>
      </c>
      <c r="K347" t="s">
        <v>74</v>
      </c>
      <c r="L347" t="s">
        <v>74</v>
      </c>
      <c r="M347" t="s">
        <v>78</v>
      </c>
      <c r="N347" t="s">
        <v>79</v>
      </c>
      <c r="O347" t="s">
        <v>74</v>
      </c>
      <c r="P347" t="s">
        <v>74</v>
      </c>
      <c r="Q347" t="s">
        <v>74</v>
      </c>
      <c r="R347" t="s">
        <v>74</v>
      </c>
      <c r="S347" t="s">
        <v>74</v>
      </c>
      <c r="T347" t="s">
        <v>7062</v>
      </c>
      <c r="U347" t="s">
        <v>7063</v>
      </c>
      <c r="V347" t="s">
        <v>7064</v>
      </c>
      <c r="W347" t="s">
        <v>7065</v>
      </c>
      <c r="X347" t="s">
        <v>7066</v>
      </c>
      <c r="Y347" t="s">
        <v>7067</v>
      </c>
      <c r="Z347" t="s">
        <v>7068</v>
      </c>
      <c r="AA347" t="s">
        <v>74</v>
      </c>
      <c r="AB347" t="s">
        <v>7069</v>
      </c>
      <c r="AC347" t="s">
        <v>7070</v>
      </c>
      <c r="AD347" t="s">
        <v>7071</v>
      </c>
      <c r="AE347" t="s">
        <v>7072</v>
      </c>
      <c r="AF347" t="s">
        <v>74</v>
      </c>
      <c r="AG347">
        <v>70</v>
      </c>
      <c r="AH347">
        <v>23</v>
      </c>
      <c r="AI347">
        <v>25</v>
      </c>
      <c r="AJ347">
        <v>2</v>
      </c>
      <c r="AK347">
        <v>80</v>
      </c>
      <c r="AL347" t="s">
        <v>7073</v>
      </c>
      <c r="AM347" t="s">
        <v>378</v>
      </c>
      <c r="AN347" t="s">
        <v>7074</v>
      </c>
      <c r="AO347" t="s">
        <v>7075</v>
      </c>
      <c r="AP347" t="s">
        <v>7076</v>
      </c>
      <c r="AQ347" t="s">
        <v>74</v>
      </c>
      <c r="AR347" t="s">
        <v>7077</v>
      </c>
      <c r="AS347" t="s">
        <v>7078</v>
      </c>
      <c r="AT347" t="s">
        <v>5327</v>
      </c>
      <c r="AU347">
        <v>2015</v>
      </c>
      <c r="AV347">
        <v>102</v>
      </c>
      <c r="AW347" t="s">
        <v>74</v>
      </c>
      <c r="AX347" t="s">
        <v>74</v>
      </c>
      <c r="AY347" t="s">
        <v>74</v>
      </c>
      <c r="AZ347" t="s">
        <v>74</v>
      </c>
      <c r="BA347" t="s">
        <v>74</v>
      </c>
      <c r="BB347">
        <v>267</v>
      </c>
      <c r="BC347">
        <v>276</v>
      </c>
      <c r="BD347" t="s">
        <v>74</v>
      </c>
      <c r="BE347" t="s">
        <v>7079</v>
      </c>
      <c r="BF347" t="str">
        <f>HYPERLINK("http://dx.doi.org/10.1016/j.anbehav.2015.02.005","http://dx.doi.org/10.1016/j.anbehav.2015.02.005")</f>
        <v>http://dx.doi.org/10.1016/j.anbehav.2015.02.005</v>
      </c>
      <c r="BG347" t="s">
        <v>74</v>
      </c>
      <c r="BH347" t="s">
        <v>74</v>
      </c>
      <c r="BI347">
        <v>10</v>
      </c>
      <c r="BJ347" t="s">
        <v>7080</v>
      </c>
      <c r="BK347" t="s">
        <v>100</v>
      </c>
      <c r="BL347" t="s">
        <v>7080</v>
      </c>
      <c r="BM347" t="s">
        <v>7081</v>
      </c>
      <c r="BN347" t="s">
        <v>74</v>
      </c>
      <c r="BO347" t="s">
        <v>733</v>
      </c>
      <c r="BP347" t="s">
        <v>74</v>
      </c>
      <c r="BQ347" t="s">
        <v>74</v>
      </c>
      <c r="BR347" t="s">
        <v>104</v>
      </c>
      <c r="BS347" t="s">
        <v>7082</v>
      </c>
      <c r="BT347" t="str">
        <f>HYPERLINK("https%3A%2F%2Fwww.webofscience.com%2Fwos%2Fwoscc%2Ffull-record%2FWOS:000351058700028","View Full Record in Web of Science")</f>
        <v>View Full Record in Web of Science</v>
      </c>
    </row>
    <row r="348" spans="1:72" x14ac:dyDescent="0.15">
      <c r="A348" t="s">
        <v>72</v>
      </c>
      <c r="B348" t="s">
        <v>7083</v>
      </c>
      <c r="C348" t="s">
        <v>74</v>
      </c>
      <c r="D348" t="s">
        <v>74</v>
      </c>
      <c r="E348" t="s">
        <v>74</v>
      </c>
      <c r="F348" t="s">
        <v>7084</v>
      </c>
      <c r="G348" t="s">
        <v>74</v>
      </c>
      <c r="H348" t="s">
        <v>74</v>
      </c>
      <c r="I348" t="s">
        <v>7085</v>
      </c>
      <c r="J348" t="s">
        <v>6524</v>
      </c>
      <c r="K348" t="s">
        <v>74</v>
      </c>
      <c r="L348" t="s">
        <v>74</v>
      </c>
      <c r="M348" t="s">
        <v>78</v>
      </c>
      <c r="N348" t="s">
        <v>2805</v>
      </c>
      <c r="O348" t="s">
        <v>74</v>
      </c>
      <c r="P348" t="s">
        <v>74</v>
      </c>
      <c r="Q348" t="s">
        <v>74</v>
      </c>
      <c r="R348" t="s">
        <v>74</v>
      </c>
      <c r="S348" t="s">
        <v>74</v>
      </c>
      <c r="T348" t="s">
        <v>74</v>
      </c>
      <c r="U348" t="s">
        <v>74</v>
      </c>
      <c r="V348" t="s">
        <v>74</v>
      </c>
      <c r="W348" t="s">
        <v>74</v>
      </c>
      <c r="X348" t="s">
        <v>74</v>
      </c>
      <c r="Y348" t="s">
        <v>74</v>
      </c>
      <c r="Z348" t="s">
        <v>74</v>
      </c>
      <c r="AA348" t="s">
        <v>74</v>
      </c>
      <c r="AB348" t="s">
        <v>74</v>
      </c>
      <c r="AC348" t="s">
        <v>74</v>
      </c>
      <c r="AD348" t="s">
        <v>74</v>
      </c>
      <c r="AE348" t="s">
        <v>74</v>
      </c>
      <c r="AF348" t="s">
        <v>74</v>
      </c>
      <c r="AG348">
        <v>0</v>
      </c>
      <c r="AH348">
        <v>0</v>
      </c>
      <c r="AI348">
        <v>0</v>
      </c>
      <c r="AJ348">
        <v>0</v>
      </c>
      <c r="AK348">
        <v>0</v>
      </c>
      <c r="AL348" t="s">
        <v>2167</v>
      </c>
      <c r="AM348" t="s">
        <v>121</v>
      </c>
      <c r="AN348" t="s">
        <v>5926</v>
      </c>
      <c r="AO348" t="s">
        <v>6537</v>
      </c>
      <c r="AP348" t="s">
        <v>6538</v>
      </c>
      <c r="AQ348" t="s">
        <v>74</v>
      </c>
      <c r="AR348" t="s">
        <v>6539</v>
      </c>
      <c r="AS348" t="s">
        <v>6540</v>
      </c>
      <c r="AT348" t="s">
        <v>5327</v>
      </c>
      <c r="AU348">
        <v>2015</v>
      </c>
      <c r="AV348">
        <v>27</v>
      </c>
      <c r="AW348">
        <v>2</v>
      </c>
      <c r="AX348" t="s">
        <v>74</v>
      </c>
      <c r="AY348" t="s">
        <v>74</v>
      </c>
      <c r="AZ348" t="s">
        <v>74</v>
      </c>
      <c r="BA348" t="s">
        <v>74</v>
      </c>
      <c r="BB348">
        <v>107</v>
      </c>
      <c r="BC348">
        <v>107</v>
      </c>
      <c r="BD348" t="s">
        <v>74</v>
      </c>
      <c r="BE348" t="s">
        <v>7086</v>
      </c>
      <c r="BF348" t="str">
        <f>HYPERLINK("http://dx.doi.org/10.1017/S0954102015000061","http://dx.doi.org/10.1017/S0954102015000061")</f>
        <v>http://dx.doi.org/10.1017/S0954102015000061</v>
      </c>
      <c r="BG348" t="s">
        <v>74</v>
      </c>
      <c r="BH348" t="s">
        <v>74</v>
      </c>
      <c r="BI348">
        <v>1</v>
      </c>
      <c r="BJ348" t="s">
        <v>6542</v>
      </c>
      <c r="BK348" t="s">
        <v>100</v>
      </c>
      <c r="BL348" t="s">
        <v>6543</v>
      </c>
      <c r="BM348" t="s">
        <v>6544</v>
      </c>
      <c r="BN348" t="s">
        <v>74</v>
      </c>
      <c r="BO348" t="s">
        <v>156</v>
      </c>
      <c r="BP348" t="s">
        <v>74</v>
      </c>
      <c r="BQ348" t="s">
        <v>74</v>
      </c>
      <c r="BR348" t="s">
        <v>104</v>
      </c>
      <c r="BS348" t="s">
        <v>7087</v>
      </c>
      <c r="BT348" t="str">
        <f>HYPERLINK("https%3A%2F%2Fwww.webofscience.com%2Fwos%2Fwoscc%2Ffull-record%2FWOS:000351295300001","View Full Record in Web of Science")</f>
        <v>View Full Record in Web of Science</v>
      </c>
    </row>
    <row r="349" spans="1:72" x14ac:dyDescent="0.15">
      <c r="A349" t="s">
        <v>72</v>
      </c>
      <c r="B349" t="s">
        <v>7088</v>
      </c>
      <c r="C349" t="s">
        <v>74</v>
      </c>
      <c r="D349" t="s">
        <v>74</v>
      </c>
      <c r="E349" t="s">
        <v>74</v>
      </c>
      <c r="F349" t="s">
        <v>7089</v>
      </c>
      <c r="G349" t="s">
        <v>74</v>
      </c>
      <c r="H349" t="s">
        <v>74</v>
      </c>
      <c r="I349" t="s">
        <v>7090</v>
      </c>
      <c r="J349" t="s">
        <v>6524</v>
      </c>
      <c r="K349" t="s">
        <v>74</v>
      </c>
      <c r="L349" t="s">
        <v>74</v>
      </c>
      <c r="M349" t="s">
        <v>78</v>
      </c>
      <c r="N349" t="s">
        <v>79</v>
      </c>
      <c r="O349" t="s">
        <v>74</v>
      </c>
      <c r="P349" t="s">
        <v>74</v>
      </c>
      <c r="Q349" t="s">
        <v>74</v>
      </c>
      <c r="R349" t="s">
        <v>74</v>
      </c>
      <c r="S349" t="s">
        <v>74</v>
      </c>
      <c r="T349" t="s">
        <v>7091</v>
      </c>
      <c r="U349" t="s">
        <v>7092</v>
      </c>
      <c r="V349" t="s">
        <v>7093</v>
      </c>
      <c r="W349" t="s">
        <v>7094</v>
      </c>
      <c r="X349" t="s">
        <v>7095</v>
      </c>
      <c r="Y349" t="s">
        <v>7096</v>
      </c>
      <c r="Z349" t="s">
        <v>7097</v>
      </c>
      <c r="AA349" t="s">
        <v>74</v>
      </c>
      <c r="AB349" t="s">
        <v>7098</v>
      </c>
      <c r="AC349" t="s">
        <v>7099</v>
      </c>
      <c r="AD349" t="s">
        <v>7100</v>
      </c>
      <c r="AE349" t="s">
        <v>7101</v>
      </c>
      <c r="AF349" t="s">
        <v>74</v>
      </c>
      <c r="AG349">
        <v>27</v>
      </c>
      <c r="AH349">
        <v>27</v>
      </c>
      <c r="AI349">
        <v>28</v>
      </c>
      <c r="AJ349">
        <v>0</v>
      </c>
      <c r="AK349">
        <v>7</v>
      </c>
      <c r="AL349" t="s">
        <v>2167</v>
      </c>
      <c r="AM349" t="s">
        <v>121</v>
      </c>
      <c r="AN349" t="s">
        <v>5926</v>
      </c>
      <c r="AO349" t="s">
        <v>6537</v>
      </c>
      <c r="AP349" t="s">
        <v>6538</v>
      </c>
      <c r="AQ349" t="s">
        <v>74</v>
      </c>
      <c r="AR349" t="s">
        <v>6539</v>
      </c>
      <c r="AS349" t="s">
        <v>6540</v>
      </c>
      <c r="AT349" t="s">
        <v>5327</v>
      </c>
      <c r="AU349">
        <v>2015</v>
      </c>
      <c r="AV349">
        <v>27</v>
      </c>
      <c r="AW349">
        <v>2</v>
      </c>
      <c r="AX349" t="s">
        <v>74</v>
      </c>
      <c r="AY349" t="s">
        <v>74</v>
      </c>
      <c r="AZ349" t="s">
        <v>74</v>
      </c>
      <c r="BA349" t="s">
        <v>74</v>
      </c>
      <c r="BB349">
        <v>185</v>
      </c>
      <c r="BC349">
        <v>196</v>
      </c>
      <c r="BD349" t="s">
        <v>74</v>
      </c>
      <c r="BE349" t="s">
        <v>7102</v>
      </c>
      <c r="BF349" t="str">
        <f>HYPERLINK("http://dx.doi.org/10.1017/S095410201400056X","http://dx.doi.org/10.1017/S095410201400056X")</f>
        <v>http://dx.doi.org/10.1017/S095410201400056X</v>
      </c>
      <c r="BG349" t="s">
        <v>74</v>
      </c>
      <c r="BH349" t="s">
        <v>74</v>
      </c>
      <c r="BI349">
        <v>12</v>
      </c>
      <c r="BJ349" t="s">
        <v>6542</v>
      </c>
      <c r="BK349" t="s">
        <v>100</v>
      </c>
      <c r="BL349" t="s">
        <v>6543</v>
      </c>
      <c r="BM349" t="s">
        <v>6544</v>
      </c>
      <c r="BN349" t="s">
        <v>74</v>
      </c>
      <c r="BO349" t="s">
        <v>74</v>
      </c>
      <c r="BP349" t="s">
        <v>74</v>
      </c>
      <c r="BQ349" t="s">
        <v>74</v>
      </c>
      <c r="BR349" t="s">
        <v>104</v>
      </c>
      <c r="BS349" t="s">
        <v>7103</v>
      </c>
      <c r="BT349" t="str">
        <f>HYPERLINK("https%3A%2F%2Fwww.webofscience.com%2Fwos%2Fwoscc%2Ffull-record%2FWOS:000351295300008","View Full Record in Web of Science")</f>
        <v>View Full Record in Web of Science</v>
      </c>
    </row>
    <row r="350" spans="1:72" x14ac:dyDescent="0.15">
      <c r="A350" t="s">
        <v>72</v>
      </c>
      <c r="B350" t="s">
        <v>7104</v>
      </c>
      <c r="C350" t="s">
        <v>74</v>
      </c>
      <c r="D350" t="s">
        <v>74</v>
      </c>
      <c r="E350" t="s">
        <v>74</v>
      </c>
      <c r="F350" t="s">
        <v>7105</v>
      </c>
      <c r="G350" t="s">
        <v>74</v>
      </c>
      <c r="H350" t="s">
        <v>74</v>
      </c>
      <c r="I350" t="s">
        <v>7106</v>
      </c>
      <c r="J350" t="s">
        <v>6524</v>
      </c>
      <c r="K350" t="s">
        <v>74</v>
      </c>
      <c r="L350" t="s">
        <v>74</v>
      </c>
      <c r="M350" t="s">
        <v>78</v>
      </c>
      <c r="N350" t="s">
        <v>79</v>
      </c>
      <c r="O350" t="s">
        <v>74</v>
      </c>
      <c r="P350" t="s">
        <v>74</v>
      </c>
      <c r="Q350" t="s">
        <v>74</v>
      </c>
      <c r="R350" t="s">
        <v>74</v>
      </c>
      <c r="S350" t="s">
        <v>74</v>
      </c>
      <c r="T350" t="s">
        <v>7107</v>
      </c>
      <c r="U350" t="s">
        <v>7108</v>
      </c>
      <c r="V350" t="s">
        <v>7109</v>
      </c>
      <c r="W350" t="s">
        <v>7110</v>
      </c>
      <c r="X350" t="s">
        <v>7111</v>
      </c>
      <c r="Y350" t="s">
        <v>7112</v>
      </c>
      <c r="Z350" t="s">
        <v>7113</v>
      </c>
      <c r="AA350" t="s">
        <v>7114</v>
      </c>
      <c r="AB350" t="s">
        <v>7115</v>
      </c>
      <c r="AC350" t="s">
        <v>7116</v>
      </c>
      <c r="AD350" t="s">
        <v>7117</v>
      </c>
      <c r="AE350" t="s">
        <v>7118</v>
      </c>
      <c r="AF350" t="s">
        <v>74</v>
      </c>
      <c r="AG350">
        <v>28</v>
      </c>
      <c r="AH350">
        <v>8</v>
      </c>
      <c r="AI350">
        <v>9</v>
      </c>
      <c r="AJ350">
        <v>0</v>
      </c>
      <c r="AK350">
        <v>13</v>
      </c>
      <c r="AL350" t="s">
        <v>2167</v>
      </c>
      <c r="AM350" t="s">
        <v>121</v>
      </c>
      <c r="AN350" t="s">
        <v>5926</v>
      </c>
      <c r="AO350" t="s">
        <v>6537</v>
      </c>
      <c r="AP350" t="s">
        <v>6538</v>
      </c>
      <c r="AQ350" t="s">
        <v>74</v>
      </c>
      <c r="AR350" t="s">
        <v>6539</v>
      </c>
      <c r="AS350" t="s">
        <v>6540</v>
      </c>
      <c r="AT350" t="s">
        <v>5327</v>
      </c>
      <c r="AU350">
        <v>2015</v>
      </c>
      <c r="AV350">
        <v>27</v>
      </c>
      <c r="AW350">
        <v>2</v>
      </c>
      <c r="AX350" t="s">
        <v>74</v>
      </c>
      <c r="AY350" t="s">
        <v>74</v>
      </c>
      <c r="AZ350" t="s">
        <v>74</v>
      </c>
      <c r="BA350" t="s">
        <v>74</v>
      </c>
      <c r="BB350">
        <v>197</v>
      </c>
      <c r="BC350">
        <v>209</v>
      </c>
      <c r="BD350" t="s">
        <v>74</v>
      </c>
      <c r="BE350" t="s">
        <v>7119</v>
      </c>
      <c r="BF350" t="str">
        <f>HYPERLINK("http://dx.doi.org/10.1017/S0954102014000601","http://dx.doi.org/10.1017/S0954102014000601")</f>
        <v>http://dx.doi.org/10.1017/S0954102014000601</v>
      </c>
      <c r="BG350" t="s">
        <v>74</v>
      </c>
      <c r="BH350" t="s">
        <v>74</v>
      </c>
      <c r="BI350">
        <v>13</v>
      </c>
      <c r="BJ350" t="s">
        <v>6542</v>
      </c>
      <c r="BK350" t="s">
        <v>100</v>
      </c>
      <c r="BL350" t="s">
        <v>6543</v>
      </c>
      <c r="BM350" t="s">
        <v>6544</v>
      </c>
      <c r="BN350" t="s">
        <v>74</v>
      </c>
      <c r="BO350" t="s">
        <v>248</v>
      </c>
      <c r="BP350" t="s">
        <v>74</v>
      </c>
      <c r="BQ350" t="s">
        <v>74</v>
      </c>
      <c r="BR350" t="s">
        <v>104</v>
      </c>
      <c r="BS350" t="s">
        <v>7120</v>
      </c>
      <c r="BT350" t="str">
        <f>HYPERLINK("https%3A%2F%2Fwww.webofscience.com%2Fwos%2Fwoscc%2Ffull-record%2FWOS:000351295300009","View Full Record in Web of Science")</f>
        <v>View Full Record in Web of Science</v>
      </c>
    </row>
    <row r="351" spans="1:72" x14ac:dyDescent="0.15">
      <c r="A351" t="s">
        <v>72</v>
      </c>
      <c r="B351" t="s">
        <v>7121</v>
      </c>
      <c r="C351" t="s">
        <v>74</v>
      </c>
      <c r="D351" t="s">
        <v>74</v>
      </c>
      <c r="E351" t="s">
        <v>74</v>
      </c>
      <c r="F351" t="s">
        <v>7122</v>
      </c>
      <c r="G351" t="s">
        <v>74</v>
      </c>
      <c r="H351" t="s">
        <v>74</v>
      </c>
      <c r="I351" t="s">
        <v>7123</v>
      </c>
      <c r="J351" t="s">
        <v>7124</v>
      </c>
      <c r="K351" t="s">
        <v>74</v>
      </c>
      <c r="L351" t="s">
        <v>74</v>
      </c>
      <c r="M351" t="s">
        <v>78</v>
      </c>
      <c r="N351" t="s">
        <v>79</v>
      </c>
      <c r="O351" t="s">
        <v>74</v>
      </c>
      <c r="P351" t="s">
        <v>74</v>
      </c>
      <c r="Q351" t="s">
        <v>74</v>
      </c>
      <c r="R351" t="s">
        <v>74</v>
      </c>
      <c r="S351" t="s">
        <v>74</v>
      </c>
      <c r="T351" t="s">
        <v>7125</v>
      </c>
      <c r="U351" t="s">
        <v>74</v>
      </c>
      <c r="V351" t="s">
        <v>7126</v>
      </c>
      <c r="W351" t="s">
        <v>7127</v>
      </c>
      <c r="X351" t="s">
        <v>2613</v>
      </c>
      <c r="Y351" t="s">
        <v>7128</v>
      </c>
      <c r="Z351" t="s">
        <v>7129</v>
      </c>
      <c r="AA351" t="s">
        <v>7130</v>
      </c>
      <c r="AB351" t="s">
        <v>7131</v>
      </c>
      <c r="AC351" t="s">
        <v>7132</v>
      </c>
      <c r="AD351" t="s">
        <v>7133</v>
      </c>
      <c r="AE351" t="s">
        <v>7134</v>
      </c>
      <c r="AF351" t="s">
        <v>74</v>
      </c>
      <c r="AG351">
        <v>23</v>
      </c>
      <c r="AH351">
        <v>14</v>
      </c>
      <c r="AI351">
        <v>15</v>
      </c>
      <c r="AJ351">
        <v>0</v>
      </c>
      <c r="AK351">
        <v>6</v>
      </c>
      <c r="AL351" t="s">
        <v>7135</v>
      </c>
      <c r="AM351" t="s">
        <v>7136</v>
      </c>
      <c r="AN351" t="s">
        <v>7137</v>
      </c>
      <c r="AO351" t="s">
        <v>7138</v>
      </c>
      <c r="AP351" t="s">
        <v>7139</v>
      </c>
      <c r="AQ351" t="s">
        <v>74</v>
      </c>
      <c r="AR351" t="s">
        <v>7140</v>
      </c>
      <c r="AS351" t="s">
        <v>7141</v>
      </c>
      <c r="AT351" t="s">
        <v>5327</v>
      </c>
      <c r="AU351">
        <v>2015</v>
      </c>
      <c r="AV351">
        <v>2</v>
      </c>
      <c r="AW351">
        <v>1</v>
      </c>
      <c r="AX351" t="s">
        <v>74</v>
      </c>
      <c r="AY351" t="s">
        <v>74</v>
      </c>
      <c r="AZ351" t="s">
        <v>74</v>
      </c>
      <c r="BA351" t="s">
        <v>74</v>
      </c>
      <c r="BB351">
        <v>73</v>
      </c>
      <c r="BC351">
        <v>76</v>
      </c>
      <c r="BD351" t="s">
        <v>74</v>
      </c>
      <c r="BE351" t="s">
        <v>7142</v>
      </c>
      <c r="BF351" t="str">
        <f>HYPERLINK("http://dx.doi.org/10.1177/2053019614547742","http://dx.doi.org/10.1177/2053019614547742")</f>
        <v>http://dx.doi.org/10.1177/2053019614547742</v>
      </c>
      <c r="BG351" t="s">
        <v>74</v>
      </c>
      <c r="BH351" t="s">
        <v>74</v>
      </c>
      <c r="BI351">
        <v>4</v>
      </c>
      <c r="BJ351" t="s">
        <v>7143</v>
      </c>
      <c r="BK351" t="s">
        <v>1019</v>
      </c>
      <c r="BL351" t="s">
        <v>7144</v>
      </c>
      <c r="BM351" t="s">
        <v>7145</v>
      </c>
      <c r="BN351" t="s">
        <v>74</v>
      </c>
      <c r="BO351" t="s">
        <v>74</v>
      </c>
      <c r="BP351" t="s">
        <v>74</v>
      </c>
      <c r="BQ351" t="s">
        <v>74</v>
      </c>
      <c r="BR351" t="s">
        <v>104</v>
      </c>
      <c r="BS351" t="s">
        <v>7146</v>
      </c>
      <c r="BT351" t="str">
        <f>HYPERLINK("https%3A%2F%2Fwww.webofscience.com%2Fwos%2Fwoscc%2Ffull-record%2FWOS:000434524200005","View Full Record in Web of Science")</f>
        <v>View Full Record in Web of Science</v>
      </c>
    </row>
    <row r="352" spans="1:72" x14ac:dyDescent="0.15">
      <c r="A352" t="s">
        <v>72</v>
      </c>
      <c r="B352" t="s">
        <v>7147</v>
      </c>
      <c r="C352" t="s">
        <v>74</v>
      </c>
      <c r="D352" t="s">
        <v>74</v>
      </c>
      <c r="E352" t="s">
        <v>74</v>
      </c>
      <c r="F352" t="s">
        <v>7148</v>
      </c>
      <c r="G352" t="s">
        <v>74</v>
      </c>
      <c r="H352" t="s">
        <v>74</v>
      </c>
      <c r="I352" t="s">
        <v>7149</v>
      </c>
      <c r="J352" t="s">
        <v>7150</v>
      </c>
      <c r="K352" t="s">
        <v>74</v>
      </c>
      <c r="L352" t="s">
        <v>74</v>
      </c>
      <c r="M352" t="s">
        <v>78</v>
      </c>
      <c r="N352" t="s">
        <v>79</v>
      </c>
      <c r="O352" t="s">
        <v>74</v>
      </c>
      <c r="P352" t="s">
        <v>74</v>
      </c>
      <c r="Q352" t="s">
        <v>74</v>
      </c>
      <c r="R352" t="s">
        <v>74</v>
      </c>
      <c r="S352" t="s">
        <v>74</v>
      </c>
      <c r="T352" t="s">
        <v>7151</v>
      </c>
      <c r="U352" t="s">
        <v>7152</v>
      </c>
      <c r="V352" t="s">
        <v>7153</v>
      </c>
      <c r="W352" t="s">
        <v>7154</v>
      </c>
      <c r="X352" t="s">
        <v>7155</v>
      </c>
      <c r="Y352" t="s">
        <v>7156</v>
      </c>
      <c r="Z352" t="s">
        <v>7157</v>
      </c>
      <c r="AA352" t="s">
        <v>7158</v>
      </c>
      <c r="AB352" t="s">
        <v>7159</v>
      </c>
      <c r="AC352" t="s">
        <v>7160</v>
      </c>
      <c r="AD352" t="s">
        <v>7160</v>
      </c>
      <c r="AE352" t="s">
        <v>7161</v>
      </c>
      <c r="AF352" t="s">
        <v>74</v>
      </c>
      <c r="AG352">
        <v>76</v>
      </c>
      <c r="AH352">
        <v>19</v>
      </c>
      <c r="AI352">
        <v>23</v>
      </c>
      <c r="AJ352">
        <v>1</v>
      </c>
      <c r="AK352">
        <v>36</v>
      </c>
      <c r="AL352" t="s">
        <v>1039</v>
      </c>
      <c r="AM352" t="s">
        <v>816</v>
      </c>
      <c r="AN352" t="s">
        <v>1040</v>
      </c>
      <c r="AO352" t="s">
        <v>7162</v>
      </c>
      <c r="AP352" t="s">
        <v>7163</v>
      </c>
      <c r="AQ352" t="s">
        <v>74</v>
      </c>
      <c r="AR352" t="s">
        <v>7164</v>
      </c>
      <c r="AS352" t="s">
        <v>7165</v>
      </c>
      <c r="AT352" t="s">
        <v>5327</v>
      </c>
      <c r="AU352">
        <v>2015</v>
      </c>
      <c r="AV352">
        <v>161</v>
      </c>
      <c r="AW352" t="s">
        <v>74</v>
      </c>
      <c r="AX352" t="s">
        <v>74</v>
      </c>
      <c r="AY352" t="s">
        <v>74</v>
      </c>
      <c r="AZ352" t="s">
        <v>74</v>
      </c>
      <c r="BA352" t="s">
        <v>74</v>
      </c>
      <c r="BB352">
        <v>61</v>
      </c>
      <c r="BC352">
        <v>72</v>
      </c>
      <c r="BD352" t="s">
        <v>74</v>
      </c>
      <c r="BE352" t="s">
        <v>7166</v>
      </c>
      <c r="BF352" t="str">
        <f>HYPERLINK("http://dx.doi.org/10.1016/j.aquatox.2015.01.031","http://dx.doi.org/10.1016/j.aquatox.2015.01.031")</f>
        <v>http://dx.doi.org/10.1016/j.aquatox.2015.01.031</v>
      </c>
      <c r="BG352" t="s">
        <v>74</v>
      </c>
      <c r="BH352" t="s">
        <v>74</v>
      </c>
      <c r="BI352">
        <v>12</v>
      </c>
      <c r="BJ352" t="s">
        <v>7167</v>
      </c>
      <c r="BK352" t="s">
        <v>100</v>
      </c>
      <c r="BL352" t="s">
        <v>7167</v>
      </c>
      <c r="BM352" t="s">
        <v>7168</v>
      </c>
      <c r="BN352">
        <v>25667995</v>
      </c>
      <c r="BO352" t="s">
        <v>74</v>
      </c>
      <c r="BP352" t="s">
        <v>74</v>
      </c>
      <c r="BQ352" t="s">
        <v>74</v>
      </c>
      <c r="BR352" t="s">
        <v>104</v>
      </c>
      <c r="BS352" t="s">
        <v>7169</v>
      </c>
      <c r="BT352" t="str">
        <f>HYPERLINK("https%3A%2F%2Fwww.webofscience.com%2Fwos%2Fwoscc%2Ffull-record%2FWOS:000352177500008","View Full Record in Web of Science")</f>
        <v>View Full Record in Web of Science</v>
      </c>
    </row>
    <row r="353" spans="1:72" x14ac:dyDescent="0.15">
      <c r="A353" t="s">
        <v>72</v>
      </c>
      <c r="B353" t="s">
        <v>7170</v>
      </c>
      <c r="C353" t="s">
        <v>74</v>
      </c>
      <c r="D353" t="s">
        <v>74</v>
      </c>
      <c r="E353" t="s">
        <v>74</v>
      </c>
      <c r="F353" t="s">
        <v>7171</v>
      </c>
      <c r="G353" t="s">
        <v>74</v>
      </c>
      <c r="H353" t="s">
        <v>74</v>
      </c>
      <c r="I353" t="s">
        <v>7172</v>
      </c>
      <c r="J353" t="s">
        <v>7173</v>
      </c>
      <c r="K353" t="s">
        <v>74</v>
      </c>
      <c r="L353" t="s">
        <v>74</v>
      </c>
      <c r="M353" t="s">
        <v>78</v>
      </c>
      <c r="N353" t="s">
        <v>79</v>
      </c>
      <c r="O353" t="s">
        <v>74</v>
      </c>
      <c r="P353" t="s">
        <v>74</v>
      </c>
      <c r="Q353" t="s">
        <v>74</v>
      </c>
      <c r="R353" t="s">
        <v>74</v>
      </c>
      <c r="S353" t="s">
        <v>74</v>
      </c>
      <c r="T353" t="s">
        <v>7174</v>
      </c>
      <c r="U353" t="s">
        <v>7175</v>
      </c>
      <c r="V353" t="s">
        <v>7176</v>
      </c>
      <c r="W353" t="s">
        <v>7177</v>
      </c>
      <c r="X353" t="s">
        <v>7178</v>
      </c>
      <c r="Y353" t="s">
        <v>7179</v>
      </c>
      <c r="Z353" t="s">
        <v>7180</v>
      </c>
      <c r="AA353" t="s">
        <v>7181</v>
      </c>
      <c r="AB353" t="s">
        <v>7182</v>
      </c>
      <c r="AC353" t="s">
        <v>7183</v>
      </c>
      <c r="AD353" t="s">
        <v>7184</v>
      </c>
      <c r="AE353" t="s">
        <v>7185</v>
      </c>
      <c r="AF353" t="s">
        <v>74</v>
      </c>
      <c r="AG353">
        <v>63</v>
      </c>
      <c r="AH353">
        <v>18</v>
      </c>
      <c r="AI353">
        <v>21</v>
      </c>
      <c r="AJ353">
        <v>1</v>
      </c>
      <c r="AK353">
        <v>19</v>
      </c>
      <c r="AL353" t="s">
        <v>621</v>
      </c>
      <c r="AM353" t="s">
        <v>622</v>
      </c>
      <c r="AN353" t="s">
        <v>623</v>
      </c>
      <c r="AO353" t="s">
        <v>7186</v>
      </c>
      <c r="AP353" t="s">
        <v>7187</v>
      </c>
      <c r="AQ353" t="s">
        <v>74</v>
      </c>
      <c r="AR353" t="s">
        <v>7188</v>
      </c>
      <c r="AS353" t="s">
        <v>7189</v>
      </c>
      <c r="AT353" t="s">
        <v>5327</v>
      </c>
      <c r="AU353">
        <v>2015</v>
      </c>
      <c r="AV353">
        <v>217</v>
      </c>
      <c r="AW353">
        <v>2</v>
      </c>
      <c r="AX353" t="s">
        <v>74</v>
      </c>
      <c r="AY353" t="s">
        <v>74</v>
      </c>
      <c r="AZ353" t="s">
        <v>74</v>
      </c>
      <c r="BA353" t="s">
        <v>74</v>
      </c>
      <c r="BB353" t="s">
        <v>74</v>
      </c>
      <c r="BC353" t="s">
        <v>74</v>
      </c>
      <c r="BD353">
        <v>28</v>
      </c>
      <c r="BE353" t="s">
        <v>7190</v>
      </c>
      <c r="BF353" t="str">
        <f>HYPERLINK("http://dx.doi.org/10.1088/0067-0049/217/2/28","http://dx.doi.org/10.1088/0067-0049/217/2/28")</f>
        <v>http://dx.doi.org/10.1088/0067-0049/217/2/28</v>
      </c>
      <c r="BG353" t="s">
        <v>74</v>
      </c>
      <c r="BH353" t="s">
        <v>74</v>
      </c>
      <c r="BI353">
        <v>16</v>
      </c>
      <c r="BJ353" t="s">
        <v>246</v>
      </c>
      <c r="BK353" t="s">
        <v>100</v>
      </c>
      <c r="BL353" t="s">
        <v>246</v>
      </c>
      <c r="BM353" t="s">
        <v>7191</v>
      </c>
      <c r="BN353" t="s">
        <v>74</v>
      </c>
      <c r="BO353" t="s">
        <v>248</v>
      </c>
      <c r="BP353" t="s">
        <v>74</v>
      </c>
      <c r="BQ353" t="s">
        <v>74</v>
      </c>
      <c r="BR353" t="s">
        <v>104</v>
      </c>
      <c r="BS353" t="s">
        <v>7192</v>
      </c>
      <c r="BT353" t="str">
        <f>HYPERLINK("https%3A%2F%2Fwww.webofscience.com%2Fwos%2Fwoscc%2Ffull-record%2FWOS:000353545100009","View Full Record in Web of Science")</f>
        <v>View Full Record in Web of Science</v>
      </c>
    </row>
    <row r="354" spans="1:72" x14ac:dyDescent="0.15">
      <c r="A354" t="s">
        <v>72</v>
      </c>
      <c r="B354" t="s">
        <v>7193</v>
      </c>
      <c r="C354" t="s">
        <v>74</v>
      </c>
      <c r="D354" t="s">
        <v>74</v>
      </c>
      <c r="E354" t="s">
        <v>74</v>
      </c>
      <c r="F354" t="s">
        <v>7194</v>
      </c>
      <c r="G354" t="s">
        <v>74</v>
      </c>
      <c r="H354" t="s">
        <v>74</v>
      </c>
      <c r="I354" t="s">
        <v>7195</v>
      </c>
      <c r="J354" t="s">
        <v>7196</v>
      </c>
      <c r="K354" t="s">
        <v>74</v>
      </c>
      <c r="L354" t="s">
        <v>74</v>
      </c>
      <c r="M354" t="s">
        <v>78</v>
      </c>
      <c r="N354" t="s">
        <v>79</v>
      </c>
      <c r="O354" t="s">
        <v>74</v>
      </c>
      <c r="P354" t="s">
        <v>74</v>
      </c>
      <c r="Q354" t="s">
        <v>74</v>
      </c>
      <c r="R354" t="s">
        <v>74</v>
      </c>
      <c r="S354" t="s">
        <v>74</v>
      </c>
      <c r="T354" t="s">
        <v>7197</v>
      </c>
      <c r="U354" t="s">
        <v>7198</v>
      </c>
      <c r="V354" t="s">
        <v>7199</v>
      </c>
      <c r="W354" t="s">
        <v>7200</v>
      </c>
      <c r="X354" t="s">
        <v>7201</v>
      </c>
      <c r="Y354" t="s">
        <v>7202</v>
      </c>
      <c r="Z354" t="s">
        <v>7203</v>
      </c>
      <c r="AA354" t="s">
        <v>7204</v>
      </c>
      <c r="AB354" t="s">
        <v>7205</v>
      </c>
      <c r="AC354" t="s">
        <v>7206</v>
      </c>
      <c r="AD354" t="s">
        <v>7207</v>
      </c>
      <c r="AE354" t="s">
        <v>7208</v>
      </c>
      <c r="AF354" t="s">
        <v>74</v>
      </c>
      <c r="AG354">
        <v>21</v>
      </c>
      <c r="AH354">
        <v>11</v>
      </c>
      <c r="AI354">
        <v>13</v>
      </c>
      <c r="AJ354">
        <v>0</v>
      </c>
      <c r="AK354">
        <v>26</v>
      </c>
      <c r="AL354" t="s">
        <v>91</v>
      </c>
      <c r="AM354" t="s">
        <v>92</v>
      </c>
      <c r="AN354" t="s">
        <v>93</v>
      </c>
      <c r="AO354" t="s">
        <v>7209</v>
      </c>
      <c r="AP354" t="s">
        <v>74</v>
      </c>
      <c r="AQ354" t="s">
        <v>74</v>
      </c>
      <c r="AR354" t="s">
        <v>7210</v>
      </c>
      <c r="AS354" t="s">
        <v>7211</v>
      </c>
      <c r="AT354" t="s">
        <v>5278</v>
      </c>
      <c r="AU354">
        <v>2015</v>
      </c>
      <c r="AV354">
        <v>16</v>
      </c>
      <c r="AW354">
        <v>2</v>
      </c>
      <c r="AX354" t="s">
        <v>74</v>
      </c>
      <c r="AY354" t="s">
        <v>74</v>
      </c>
      <c r="AZ354" t="s">
        <v>74</v>
      </c>
      <c r="BA354" t="s">
        <v>74</v>
      </c>
      <c r="BB354">
        <v>155</v>
      </c>
      <c r="BC354">
        <v>161</v>
      </c>
      <c r="BD354" t="s">
        <v>74</v>
      </c>
      <c r="BE354" t="s">
        <v>7212</v>
      </c>
      <c r="BF354" t="str">
        <f>HYPERLINK("http://dx.doi.org/10.1002/asl2.541","http://dx.doi.org/10.1002/asl2.541")</f>
        <v>http://dx.doi.org/10.1002/asl2.541</v>
      </c>
      <c r="BG354" t="s">
        <v>74</v>
      </c>
      <c r="BH354" t="s">
        <v>74</v>
      </c>
      <c r="BI354">
        <v>7</v>
      </c>
      <c r="BJ354" t="s">
        <v>3211</v>
      </c>
      <c r="BK354" t="s">
        <v>100</v>
      </c>
      <c r="BL354" t="s">
        <v>3211</v>
      </c>
      <c r="BM354" t="s">
        <v>7213</v>
      </c>
      <c r="BN354" t="s">
        <v>74</v>
      </c>
      <c r="BO354" t="s">
        <v>2481</v>
      </c>
      <c r="BP354" t="s">
        <v>74</v>
      </c>
      <c r="BQ354" t="s">
        <v>74</v>
      </c>
      <c r="BR354" t="s">
        <v>104</v>
      </c>
      <c r="BS354" t="s">
        <v>7214</v>
      </c>
      <c r="BT354" t="str">
        <f>HYPERLINK("https%3A%2F%2Fwww.webofscience.com%2Fwos%2Fwoscc%2Ffull-record%2FWOS:000353920000010","View Full Record in Web of Science")</f>
        <v>View Full Record in Web of Science</v>
      </c>
    </row>
    <row r="355" spans="1:72" x14ac:dyDescent="0.15">
      <c r="A355" t="s">
        <v>72</v>
      </c>
      <c r="B355" t="s">
        <v>7215</v>
      </c>
      <c r="C355" t="s">
        <v>74</v>
      </c>
      <c r="D355" t="s">
        <v>74</v>
      </c>
      <c r="E355" t="s">
        <v>74</v>
      </c>
      <c r="F355" t="s">
        <v>7216</v>
      </c>
      <c r="G355" t="s">
        <v>74</v>
      </c>
      <c r="H355" t="s">
        <v>74</v>
      </c>
      <c r="I355" t="s">
        <v>7217</v>
      </c>
      <c r="J355" t="s">
        <v>7218</v>
      </c>
      <c r="K355" t="s">
        <v>74</v>
      </c>
      <c r="L355" t="s">
        <v>74</v>
      </c>
      <c r="M355" t="s">
        <v>78</v>
      </c>
      <c r="N355" t="s">
        <v>79</v>
      </c>
      <c r="O355" t="s">
        <v>74</v>
      </c>
      <c r="P355" t="s">
        <v>74</v>
      </c>
      <c r="Q355" t="s">
        <v>74</v>
      </c>
      <c r="R355" t="s">
        <v>74</v>
      </c>
      <c r="S355" t="s">
        <v>74</v>
      </c>
      <c r="T355" t="s">
        <v>7219</v>
      </c>
      <c r="U355" t="s">
        <v>7220</v>
      </c>
      <c r="V355" t="s">
        <v>7221</v>
      </c>
      <c r="W355" t="s">
        <v>7222</v>
      </c>
      <c r="X355" t="s">
        <v>7223</v>
      </c>
      <c r="Y355" t="s">
        <v>7224</v>
      </c>
      <c r="Z355" t="s">
        <v>7225</v>
      </c>
      <c r="AA355" t="s">
        <v>7226</v>
      </c>
      <c r="AB355" t="s">
        <v>7227</v>
      </c>
      <c r="AC355" t="s">
        <v>7228</v>
      </c>
      <c r="AD355" t="s">
        <v>7229</v>
      </c>
      <c r="AE355" t="s">
        <v>7230</v>
      </c>
      <c r="AF355" t="s">
        <v>74</v>
      </c>
      <c r="AG355">
        <v>33</v>
      </c>
      <c r="AH355">
        <v>23</v>
      </c>
      <c r="AI355">
        <v>26</v>
      </c>
      <c r="AJ355">
        <v>0</v>
      </c>
      <c r="AK355">
        <v>54</v>
      </c>
      <c r="AL355" t="s">
        <v>1621</v>
      </c>
      <c r="AM355" t="s">
        <v>787</v>
      </c>
      <c r="AN355" t="s">
        <v>1622</v>
      </c>
      <c r="AO355" t="s">
        <v>7231</v>
      </c>
      <c r="AP355" t="s">
        <v>7232</v>
      </c>
      <c r="AQ355" t="s">
        <v>74</v>
      </c>
      <c r="AR355" t="s">
        <v>7233</v>
      </c>
      <c r="AS355" t="s">
        <v>7234</v>
      </c>
      <c r="AT355" t="s">
        <v>5327</v>
      </c>
      <c r="AU355">
        <v>2015</v>
      </c>
      <c r="AV355">
        <v>114</v>
      </c>
      <c r="AW355">
        <v>4</v>
      </c>
      <c r="AX355" t="s">
        <v>74</v>
      </c>
      <c r="AY355" t="s">
        <v>74</v>
      </c>
      <c r="AZ355" t="s">
        <v>74</v>
      </c>
      <c r="BA355" t="s">
        <v>74</v>
      </c>
      <c r="BB355">
        <v>949</v>
      </c>
      <c r="BC355">
        <v>954</v>
      </c>
      <c r="BD355" t="s">
        <v>74</v>
      </c>
      <c r="BE355" t="s">
        <v>7235</v>
      </c>
      <c r="BF355" t="str">
        <f>HYPERLINK("http://dx.doi.org/10.1111/bij.12462","http://dx.doi.org/10.1111/bij.12462")</f>
        <v>http://dx.doi.org/10.1111/bij.12462</v>
      </c>
      <c r="BG355" t="s">
        <v>74</v>
      </c>
      <c r="BH355" t="s">
        <v>74</v>
      </c>
      <c r="BI355">
        <v>6</v>
      </c>
      <c r="BJ355" t="s">
        <v>3894</v>
      </c>
      <c r="BK355" t="s">
        <v>100</v>
      </c>
      <c r="BL355" t="s">
        <v>3894</v>
      </c>
      <c r="BM355" t="s">
        <v>7236</v>
      </c>
      <c r="BN355" t="s">
        <v>74</v>
      </c>
      <c r="BO355" t="s">
        <v>3356</v>
      </c>
      <c r="BP355" t="s">
        <v>74</v>
      </c>
      <c r="BQ355" t="s">
        <v>74</v>
      </c>
      <c r="BR355" t="s">
        <v>104</v>
      </c>
      <c r="BS355" t="s">
        <v>7237</v>
      </c>
      <c r="BT355" t="str">
        <f>HYPERLINK("https%3A%2F%2Fwww.webofscience.com%2Fwos%2Fwoscc%2Ffull-record%2FWOS:000351206700018","View Full Record in Web of Science")</f>
        <v>View Full Record in Web of Science</v>
      </c>
    </row>
    <row r="356" spans="1:72" x14ac:dyDescent="0.15">
      <c r="A356" t="s">
        <v>72</v>
      </c>
      <c r="B356" t="s">
        <v>7238</v>
      </c>
      <c r="C356" t="s">
        <v>74</v>
      </c>
      <c r="D356" t="s">
        <v>74</v>
      </c>
      <c r="E356" t="s">
        <v>74</v>
      </c>
      <c r="F356" t="s">
        <v>7239</v>
      </c>
      <c r="G356" t="s">
        <v>74</v>
      </c>
      <c r="H356" t="s">
        <v>74</v>
      </c>
      <c r="I356" t="s">
        <v>7240</v>
      </c>
      <c r="J356" t="s">
        <v>7241</v>
      </c>
      <c r="K356" t="s">
        <v>74</v>
      </c>
      <c r="L356" t="s">
        <v>74</v>
      </c>
      <c r="M356" t="s">
        <v>78</v>
      </c>
      <c r="N356" t="s">
        <v>79</v>
      </c>
      <c r="O356" t="s">
        <v>74</v>
      </c>
      <c r="P356" t="s">
        <v>74</v>
      </c>
      <c r="Q356" t="s">
        <v>74</v>
      </c>
      <c r="R356" t="s">
        <v>74</v>
      </c>
      <c r="S356" t="s">
        <v>74</v>
      </c>
      <c r="T356" t="s">
        <v>7242</v>
      </c>
      <c r="U356" t="s">
        <v>7243</v>
      </c>
      <c r="V356" t="s">
        <v>7244</v>
      </c>
      <c r="W356" t="s">
        <v>7245</v>
      </c>
      <c r="X356" t="s">
        <v>7246</v>
      </c>
      <c r="Y356" t="s">
        <v>7247</v>
      </c>
      <c r="Z356" t="s">
        <v>7248</v>
      </c>
      <c r="AA356" t="s">
        <v>7249</v>
      </c>
      <c r="AB356" t="s">
        <v>7250</v>
      </c>
      <c r="AC356" t="s">
        <v>7251</v>
      </c>
      <c r="AD356" t="s">
        <v>7252</v>
      </c>
      <c r="AE356" t="s">
        <v>7253</v>
      </c>
      <c r="AF356" t="s">
        <v>74</v>
      </c>
      <c r="AG356">
        <v>19</v>
      </c>
      <c r="AH356">
        <v>37</v>
      </c>
      <c r="AI356">
        <v>40</v>
      </c>
      <c r="AJ356">
        <v>0</v>
      </c>
      <c r="AK356">
        <v>23</v>
      </c>
      <c r="AL356" t="s">
        <v>1113</v>
      </c>
      <c r="AM356" t="s">
        <v>378</v>
      </c>
      <c r="AN356" t="s">
        <v>1114</v>
      </c>
      <c r="AO356" t="s">
        <v>2915</v>
      </c>
      <c r="AP356" t="s">
        <v>2916</v>
      </c>
      <c r="AQ356" t="s">
        <v>74</v>
      </c>
      <c r="AR356" t="s">
        <v>2917</v>
      </c>
      <c r="AS356" t="s">
        <v>2918</v>
      </c>
      <c r="AT356" t="s">
        <v>5866</v>
      </c>
      <c r="AU356">
        <v>2015</v>
      </c>
      <c r="AV356">
        <v>11</v>
      </c>
      <c r="AW356">
        <v>4</v>
      </c>
      <c r="AX356" t="s">
        <v>74</v>
      </c>
      <c r="AY356" t="s">
        <v>74</v>
      </c>
      <c r="AZ356" t="s">
        <v>74</v>
      </c>
      <c r="BA356" t="s">
        <v>74</v>
      </c>
      <c r="BB356" t="s">
        <v>74</v>
      </c>
      <c r="BC356" t="s">
        <v>74</v>
      </c>
      <c r="BD356">
        <v>20141090</v>
      </c>
      <c r="BE356" t="s">
        <v>7254</v>
      </c>
      <c r="BF356" t="str">
        <f>HYPERLINK("http://dx.doi.org/10.1098/rsbl.2014.1090","http://dx.doi.org/10.1098/rsbl.2014.1090")</f>
        <v>http://dx.doi.org/10.1098/rsbl.2014.1090</v>
      </c>
      <c r="BG356" t="s">
        <v>74</v>
      </c>
      <c r="BH356" t="s">
        <v>74</v>
      </c>
      <c r="BI356">
        <v>5</v>
      </c>
      <c r="BJ356" t="s">
        <v>1120</v>
      </c>
      <c r="BK356" t="s">
        <v>100</v>
      </c>
      <c r="BL356" t="s">
        <v>1121</v>
      </c>
      <c r="BM356" t="s">
        <v>7255</v>
      </c>
      <c r="BN356">
        <v>25878044</v>
      </c>
      <c r="BO356" t="s">
        <v>1832</v>
      </c>
      <c r="BP356" t="s">
        <v>74</v>
      </c>
      <c r="BQ356" t="s">
        <v>74</v>
      </c>
      <c r="BR356" t="s">
        <v>104</v>
      </c>
      <c r="BS356" t="s">
        <v>7256</v>
      </c>
      <c r="BT356" t="str">
        <f>HYPERLINK("https%3A%2F%2Fwww.webofscience.com%2Fwos%2Fwoscc%2Ffull-record%2FWOS:000353349400007","View Full Record in Web of Science")</f>
        <v>View Full Record in Web of Science</v>
      </c>
    </row>
    <row r="357" spans="1:72" x14ac:dyDescent="0.15">
      <c r="A357" t="s">
        <v>72</v>
      </c>
      <c r="B357" t="s">
        <v>7257</v>
      </c>
      <c r="C357" t="s">
        <v>74</v>
      </c>
      <c r="D357" t="s">
        <v>74</v>
      </c>
      <c r="E357" t="s">
        <v>74</v>
      </c>
      <c r="F357" t="s">
        <v>7258</v>
      </c>
      <c r="G357" t="s">
        <v>74</v>
      </c>
      <c r="H357" t="s">
        <v>74</v>
      </c>
      <c r="I357" t="s">
        <v>7259</v>
      </c>
      <c r="J357" t="s">
        <v>7260</v>
      </c>
      <c r="K357" t="s">
        <v>74</v>
      </c>
      <c r="L357" t="s">
        <v>74</v>
      </c>
      <c r="M357" t="s">
        <v>78</v>
      </c>
      <c r="N357" t="s">
        <v>79</v>
      </c>
      <c r="O357" t="s">
        <v>74</v>
      </c>
      <c r="P357" t="s">
        <v>74</v>
      </c>
      <c r="Q357" t="s">
        <v>74</v>
      </c>
      <c r="R357" t="s">
        <v>74</v>
      </c>
      <c r="S357" t="s">
        <v>74</v>
      </c>
      <c r="T357" t="s">
        <v>74</v>
      </c>
      <c r="U357" t="s">
        <v>7261</v>
      </c>
      <c r="V357" t="s">
        <v>7262</v>
      </c>
      <c r="W357" t="s">
        <v>7263</v>
      </c>
      <c r="X357" t="s">
        <v>7264</v>
      </c>
      <c r="Y357" t="s">
        <v>7265</v>
      </c>
      <c r="Z357" t="s">
        <v>7266</v>
      </c>
      <c r="AA357" t="s">
        <v>74</v>
      </c>
      <c r="AB357" t="s">
        <v>7267</v>
      </c>
      <c r="AC357" t="s">
        <v>7268</v>
      </c>
      <c r="AD357" t="s">
        <v>7269</v>
      </c>
      <c r="AE357" t="s">
        <v>7270</v>
      </c>
      <c r="AF357" t="s">
        <v>74</v>
      </c>
      <c r="AG357">
        <v>92</v>
      </c>
      <c r="AH357">
        <v>36</v>
      </c>
      <c r="AI357">
        <v>37</v>
      </c>
      <c r="AJ357">
        <v>0</v>
      </c>
      <c r="AK357">
        <v>34</v>
      </c>
      <c r="AL357" t="s">
        <v>91</v>
      </c>
      <c r="AM357" t="s">
        <v>92</v>
      </c>
      <c r="AN357" t="s">
        <v>93</v>
      </c>
      <c r="AO357" t="s">
        <v>7271</v>
      </c>
      <c r="AP357" t="s">
        <v>7272</v>
      </c>
      <c r="AQ357" t="s">
        <v>74</v>
      </c>
      <c r="AR357" t="s">
        <v>7260</v>
      </c>
      <c r="AS357" t="s">
        <v>7273</v>
      </c>
      <c r="AT357" t="s">
        <v>5327</v>
      </c>
      <c r="AU357">
        <v>2015</v>
      </c>
      <c r="AV357">
        <v>44</v>
      </c>
      <c r="AW357">
        <v>2</v>
      </c>
      <c r="AX357" t="s">
        <v>74</v>
      </c>
      <c r="AY357" t="s">
        <v>74</v>
      </c>
      <c r="AZ357" t="s">
        <v>74</v>
      </c>
      <c r="BA357" t="s">
        <v>74</v>
      </c>
      <c r="BB357">
        <v>255</v>
      </c>
      <c r="BC357">
        <v>276</v>
      </c>
      <c r="BD357" t="s">
        <v>74</v>
      </c>
      <c r="BE357" t="s">
        <v>7274</v>
      </c>
      <c r="BF357" t="str">
        <f>HYPERLINK("http://dx.doi.org/10.1111/bor.12111","http://dx.doi.org/10.1111/bor.12111")</f>
        <v>http://dx.doi.org/10.1111/bor.12111</v>
      </c>
      <c r="BG357" t="s">
        <v>74</v>
      </c>
      <c r="BH357" t="s">
        <v>74</v>
      </c>
      <c r="BI357">
        <v>22</v>
      </c>
      <c r="BJ357" t="s">
        <v>795</v>
      </c>
      <c r="BK357" t="s">
        <v>100</v>
      </c>
      <c r="BL357" t="s">
        <v>796</v>
      </c>
      <c r="BM357" t="s">
        <v>7275</v>
      </c>
      <c r="BN357" t="s">
        <v>74</v>
      </c>
      <c r="BO357" t="s">
        <v>408</v>
      </c>
      <c r="BP357" t="s">
        <v>74</v>
      </c>
      <c r="BQ357" t="s">
        <v>74</v>
      </c>
      <c r="BR357" t="s">
        <v>104</v>
      </c>
      <c r="BS357" t="s">
        <v>7276</v>
      </c>
      <c r="BT357" t="str">
        <f>HYPERLINK("https%3A%2F%2Fwww.webofscience.com%2Fwos%2Fwoscc%2Ffull-record%2FWOS:000351852200001","View Full Record in Web of Science")</f>
        <v>View Full Record in Web of Science</v>
      </c>
    </row>
    <row r="358" spans="1:72" x14ac:dyDescent="0.15">
      <c r="A358" t="s">
        <v>72</v>
      </c>
      <c r="B358" t="s">
        <v>7277</v>
      </c>
      <c r="C358" t="s">
        <v>74</v>
      </c>
      <c r="D358" t="s">
        <v>74</v>
      </c>
      <c r="E358" t="s">
        <v>74</v>
      </c>
      <c r="F358" t="s">
        <v>7278</v>
      </c>
      <c r="G358" t="s">
        <v>74</v>
      </c>
      <c r="H358" t="s">
        <v>74</v>
      </c>
      <c r="I358" t="s">
        <v>7279</v>
      </c>
      <c r="J358" t="s">
        <v>4085</v>
      </c>
      <c r="K358" t="s">
        <v>74</v>
      </c>
      <c r="L358" t="s">
        <v>74</v>
      </c>
      <c r="M358" t="s">
        <v>78</v>
      </c>
      <c r="N358" t="s">
        <v>79</v>
      </c>
      <c r="O358" t="s">
        <v>74</v>
      </c>
      <c r="P358" t="s">
        <v>74</v>
      </c>
      <c r="Q358" t="s">
        <v>74</v>
      </c>
      <c r="R358" t="s">
        <v>74</v>
      </c>
      <c r="S358" t="s">
        <v>74</v>
      </c>
      <c r="T358" t="s">
        <v>7280</v>
      </c>
      <c r="U358" t="s">
        <v>7281</v>
      </c>
      <c r="V358" t="s">
        <v>7282</v>
      </c>
      <c r="W358" t="s">
        <v>7283</v>
      </c>
      <c r="X358" t="s">
        <v>4977</v>
      </c>
      <c r="Y358" t="s">
        <v>7284</v>
      </c>
      <c r="Z358" t="s">
        <v>7285</v>
      </c>
      <c r="AA358" t="s">
        <v>7286</v>
      </c>
      <c r="AB358" t="s">
        <v>7287</v>
      </c>
      <c r="AC358" t="s">
        <v>7288</v>
      </c>
      <c r="AD358" t="s">
        <v>7289</v>
      </c>
      <c r="AE358" t="s">
        <v>7290</v>
      </c>
      <c r="AF358" t="s">
        <v>74</v>
      </c>
      <c r="AG358">
        <v>28</v>
      </c>
      <c r="AH358">
        <v>25</v>
      </c>
      <c r="AI358">
        <v>27</v>
      </c>
      <c r="AJ358">
        <v>0</v>
      </c>
      <c r="AK358">
        <v>24</v>
      </c>
      <c r="AL358" t="s">
        <v>120</v>
      </c>
      <c r="AM358" t="s">
        <v>121</v>
      </c>
      <c r="AN358" t="s">
        <v>1304</v>
      </c>
      <c r="AO358" t="s">
        <v>4096</v>
      </c>
      <c r="AP358" t="s">
        <v>4097</v>
      </c>
      <c r="AQ358" t="s">
        <v>74</v>
      </c>
      <c r="AR358" t="s">
        <v>4098</v>
      </c>
      <c r="AS358" t="s">
        <v>4099</v>
      </c>
      <c r="AT358" t="s">
        <v>5327</v>
      </c>
      <c r="AU358">
        <v>2015</v>
      </c>
      <c r="AV358">
        <v>44</v>
      </c>
      <c r="AW358" t="s">
        <v>6658</v>
      </c>
      <c r="AX358" t="s">
        <v>74</v>
      </c>
      <c r="AY358" t="s">
        <v>74</v>
      </c>
      <c r="AZ358" t="s">
        <v>74</v>
      </c>
      <c r="BA358" t="s">
        <v>74</v>
      </c>
      <c r="BB358">
        <v>2067</v>
      </c>
      <c r="BC358">
        <v>2078</v>
      </c>
      <c r="BD358" t="s">
        <v>74</v>
      </c>
      <c r="BE358" t="s">
        <v>7291</v>
      </c>
      <c r="BF358" t="str">
        <f>HYPERLINK("http://dx.doi.org/10.1007/s00382-014-2213-6","http://dx.doi.org/10.1007/s00382-014-2213-6")</f>
        <v>http://dx.doi.org/10.1007/s00382-014-2213-6</v>
      </c>
      <c r="BG358" t="s">
        <v>74</v>
      </c>
      <c r="BH358" t="s">
        <v>74</v>
      </c>
      <c r="BI358">
        <v>12</v>
      </c>
      <c r="BJ358" t="s">
        <v>406</v>
      </c>
      <c r="BK358" t="s">
        <v>100</v>
      </c>
      <c r="BL358" t="s">
        <v>406</v>
      </c>
      <c r="BM358" t="s">
        <v>6660</v>
      </c>
      <c r="BN358" t="s">
        <v>74</v>
      </c>
      <c r="BO358" t="s">
        <v>74</v>
      </c>
      <c r="BP358" t="s">
        <v>74</v>
      </c>
      <c r="BQ358" t="s">
        <v>74</v>
      </c>
      <c r="BR358" t="s">
        <v>104</v>
      </c>
      <c r="BS358" t="s">
        <v>7292</v>
      </c>
      <c r="BT358" t="str">
        <f>HYPERLINK("https%3A%2F%2Fwww.webofscience.com%2Fwos%2Fwoscc%2Ffull-record%2FWOS:000351458300021","View Full Record in Web of Science")</f>
        <v>View Full Record in Web of Science</v>
      </c>
    </row>
    <row r="359" spans="1:72" x14ac:dyDescent="0.15">
      <c r="A359" t="s">
        <v>72</v>
      </c>
      <c r="B359" t="s">
        <v>7293</v>
      </c>
      <c r="C359" t="s">
        <v>74</v>
      </c>
      <c r="D359" t="s">
        <v>74</v>
      </c>
      <c r="E359" t="s">
        <v>74</v>
      </c>
      <c r="F359" t="s">
        <v>7294</v>
      </c>
      <c r="G359" t="s">
        <v>74</v>
      </c>
      <c r="H359" t="s">
        <v>74</v>
      </c>
      <c r="I359" t="s">
        <v>7295</v>
      </c>
      <c r="J359" t="s">
        <v>4085</v>
      </c>
      <c r="K359" t="s">
        <v>74</v>
      </c>
      <c r="L359" t="s">
        <v>74</v>
      </c>
      <c r="M359" t="s">
        <v>78</v>
      </c>
      <c r="N359" t="s">
        <v>79</v>
      </c>
      <c r="O359" t="s">
        <v>74</v>
      </c>
      <c r="P359" t="s">
        <v>74</v>
      </c>
      <c r="Q359" t="s">
        <v>74</v>
      </c>
      <c r="R359" t="s">
        <v>74</v>
      </c>
      <c r="S359" t="s">
        <v>74</v>
      </c>
      <c r="T359" t="s">
        <v>7296</v>
      </c>
      <c r="U359" t="s">
        <v>7297</v>
      </c>
      <c r="V359" t="s">
        <v>7298</v>
      </c>
      <c r="W359" t="s">
        <v>7299</v>
      </c>
      <c r="X359" t="s">
        <v>7300</v>
      </c>
      <c r="Y359" t="s">
        <v>7301</v>
      </c>
      <c r="Z359" t="s">
        <v>7302</v>
      </c>
      <c r="AA359" t="s">
        <v>74</v>
      </c>
      <c r="AB359" t="s">
        <v>7303</v>
      </c>
      <c r="AC359" t="s">
        <v>7304</v>
      </c>
      <c r="AD359" t="s">
        <v>7305</v>
      </c>
      <c r="AE359" t="s">
        <v>7306</v>
      </c>
      <c r="AF359" t="s">
        <v>74</v>
      </c>
      <c r="AG359">
        <v>62</v>
      </c>
      <c r="AH359">
        <v>12</v>
      </c>
      <c r="AI359">
        <v>13</v>
      </c>
      <c r="AJ359">
        <v>0</v>
      </c>
      <c r="AK359">
        <v>22</v>
      </c>
      <c r="AL359" t="s">
        <v>120</v>
      </c>
      <c r="AM359" t="s">
        <v>121</v>
      </c>
      <c r="AN359" t="s">
        <v>1304</v>
      </c>
      <c r="AO359" t="s">
        <v>4096</v>
      </c>
      <c r="AP359" t="s">
        <v>4097</v>
      </c>
      <c r="AQ359" t="s">
        <v>74</v>
      </c>
      <c r="AR359" t="s">
        <v>4098</v>
      </c>
      <c r="AS359" t="s">
        <v>4099</v>
      </c>
      <c r="AT359" t="s">
        <v>5327</v>
      </c>
      <c r="AU359">
        <v>2015</v>
      </c>
      <c r="AV359">
        <v>44</v>
      </c>
      <c r="AW359" t="s">
        <v>6658</v>
      </c>
      <c r="AX359" t="s">
        <v>74</v>
      </c>
      <c r="AY359" t="s">
        <v>74</v>
      </c>
      <c r="AZ359" t="s">
        <v>74</v>
      </c>
      <c r="BA359" t="s">
        <v>74</v>
      </c>
      <c r="BB359">
        <v>2267</v>
      </c>
      <c r="BC359">
        <v>2286</v>
      </c>
      <c r="BD359" t="s">
        <v>74</v>
      </c>
      <c r="BE359" t="s">
        <v>7307</v>
      </c>
      <c r="BF359" t="str">
        <f>HYPERLINK("http://dx.doi.org/10.1007/s00382-014-2344-9","http://dx.doi.org/10.1007/s00382-014-2344-9")</f>
        <v>http://dx.doi.org/10.1007/s00382-014-2344-9</v>
      </c>
      <c r="BG359" t="s">
        <v>74</v>
      </c>
      <c r="BH359" t="s">
        <v>74</v>
      </c>
      <c r="BI359">
        <v>20</v>
      </c>
      <c r="BJ359" t="s">
        <v>406</v>
      </c>
      <c r="BK359" t="s">
        <v>100</v>
      </c>
      <c r="BL359" t="s">
        <v>406</v>
      </c>
      <c r="BM359" t="s">
        <v>6660</v>
      </c>
      <c r="BN359" t="s">
        <v>74</v>
      </c>
      <c r="BO359" t="s">
        <v>248</v>
      </c>
      <c r="BP359" t="s">
        <v>74</v>
      </c>
      <c r="BQ359" t="s">
        <v>74</v>
      </c>
      <c r="BR359" t="s">
        <v>104</v>
      </c>
      <c r="BS359" t="s">
        <v>7308</v>
      </c>
      <c r="BT359" t="str">
        <f>HYPERLINK("https%3A%2F%2Fwww.webofscience.com%2Fwos%2Fwoscc%2Ffull-record%2FWOS:000351458300032","View Full Record in Web of Science")</f>
        <v>View Full Record in Web of Science</v>
      </c>
    </row>
    <row r="360" spans="1:72" x14ac:dyDescent="0.15">
      <c r="A360" t="s">
        <v>72</v>
      </c>
      <c r="B360" t="s">
        <v>7309</v>
      </c>
      <c r="C360" t="s">
        <v>74</v>
      </c>
      <c r="D360" t="s">
        <v>74</v>
      </c>
      <c r="E360" t="s">
        <v>74</v>
      </c>
      <c r="F360" t="s">
        <v>7310</v>
      </c>
      <c r="G360" t="s">
        <v>74</v>
      </c>
      <c r="H360" t="s">
        <v>74</v>
      </c>
      <c r="I360" t="s">
        <v>7311</v>
      </c>
      <c r="J360" t="s">
        <v>7312</v>
      </c>
      <c r="K360" t="s">
        <v>74</v>
      </c>
      <c r="L360" t="s">
        <v>74</v>
      </c>
      <c r="M360" t="s">
        <v>78</v>
      </c>
      <c r="N360" t="s">
        <v>2805</v>
      </c>
      <c r="O360" t="s">
        <v>74</v>
      </c>
      <c r="P360" t="s">
        <v>74</v>
      </c>
      <c r="Q360" t="s">
        <v>74</v>
      </c>
      <c r="R360" t="s">
        <v>74</v>
      </c>
      <c r="S360" t="s">
        <v>74</v>
      </c>
      <c r="T360" t="s">
        <v>74</v>
      </c>
      <c r="U360" t="s">
        <v>74</v>
      </c>
      <c r="V360" t="s">
        <v>74</v>
      </c>
      <c r="W360" t="s">
        <v>7313</v>
      </c>
      <c r="X360" t="s">
        <v>7314</v>
      </c>
      <c r="Y360" t="s">
        <v>7315</v>
      </c>
      <c r="Z360" t="s">
        <v>74</v>
      </c>
      <c r="AA360" t="s">
        <v>74</v>
      </c>
      <c r="AB360" t="s">
        <v>74</v>
      </c>
      <c r="AC360" t="s">
        <v>7316</v>
      </c>
      <c r="AD360" t="s">
        <v>5182</v>
      </c>
      <c r="AE360" t="s">
        <v>74</v>
      </c>
      <c r="AF360" t="s">
        <v>74</v>
      </c>
      <c r="AG360">
        <v>45</v>
      </c>
      <c r="AH360">
        <v>1</v>
      </c>
      <c r="AI360">
        <v>1</v>
      </c>
      <c r="AJ360">
        <v>0</v>
      </c>
      <c r="AK360">
        <v>7</v>
      </c>
      <c r="AL360" t="s">
        <v>91</v>
      </c>
      <c r="AM360" t="s">
        <v>92</v>
      </c>
      <c r="AN360" t="s">
        <v>7317</v>
      </c>
      <c r="AO360" t="s">
        <v>7318</v>
      </c>
      <c r="AP360" t="s">
        <v>7319</v>
      </c>
      <c r="AQ360" t="s">
        <v>74</v>
      </c>
      <c r="AR360" t="s">
        <v>7320</v>
      </c>
      <c r="AS360" t="s">
        <v>7321</v>
      </c>
      <c r="AT360" t="s">
        <v>5327</v>
      </c>
      <c r="AU360">
        <v>2015</v>
      </c>
      <c r="AV360">
        <v>5</v>
      </c>
      <c r="AW360">
        <v>2</v>
      </c>
      <c r="AX360" t="s">
        <v>74</v>
      </c>
      <c r="AY360" t="s">
        <v>74</v>
      </c>
      <c r="AZ360" t="s">
        <v>74</v>
      </c>
      <c r="BA360" t="s">
        <v>74</v>
      </c>
      <c r="BB360">
        <v>49</v>
      </c>
      <c r="BC360">
        <v>51</v>
      </c>
      <c r="BD360" t="s">
        <v>74</v>
      </c>
      <c r="BE360" t="s">
        <v>7322</v>
      </c>
      <c r="BF360" t="str">
        <f>HYPERLINK("http://dx.doi.org/10.1111/cob.12098","http://dx.doi.org/10.1111/cob.12098")</f>
        <v>http://dx.doi.org/10.1111/cob.12098</v>
      </c>
      <c r="BG360" t="s">
        <v>74</v>
      </c>
      <c r="BH360" t="s">
        <v>74</v>
      </c>
      <c r="BI360">
        <v>3</v>
      </c>
      <c r="BJ360" t="s">
        <v>7323</v>
      </c>
      <c r="BK360" t="s">
        <v>888</v>
      </c>
      <c r="BL360" t="s">
        <v>7323</v>
      </c>
      <c r="BM360" t="s">
        <v>7324</v>
      </c>
      <c r="BN360">
        <v>25892432</v>
      </c>
      <c r="BO360" t="s">
        <v>74</v>
      </c>
      <c r="BP360" t="s">
        <v>74</v>
      </c>
      <c r="BQ360" t="s">
        <v>74</v>
      </c>
      <c r="BR360" t="s">
        <v>104</v>
      </c>
      <c r="BS360" t="s">
        <v>7325</v>
      </c>
      <c r="BT360" t="str">
        <f>HYPERLINK("https%3A%2F%2Fwww.webofscience.com%2Fwos%2Fwoscc%2Ffull-record%2FWOS:000214097800001","View Full Record in Web of Science")</f>
        <v>View Full Record in Web of Science</v>
      </c>
    </row>
    <row r="361" spans="1:72" x14ac:dyDescent="0.15">
      <c r="A361" t="s">
        <v>72</v>
      </c>
      <c r="B361" t="s">
        <v>7326</v>
      </c>
      <c r="C361" t="s">
        <v>74</v>
      </c>
      <c r="D361" t="s">
        <v>74</v>
      </c>
      <c r="E361" t="s">
        <v>74</v>
      </c>
      <c r="F361" t="s">
        <v>7327</v>
      </c>
      <c r="G361" t="s">
        <v>74</v>
      </c>
      <c r="H361" t="s">
        <v>74</v>
      </c>
      <c r="I361" t="s">
        <v>7328</v>
      </c>
      <c r="J361" t="s">
        <v>7329</v>
      </c>
      <c r="K361" t="s">
        <v>74</v>
      </c>
      <c r="L361" t="s">
        <v>74</v>
      </c>
      <c r="M361" t="s">
        <v>78</v>
      </c>
      <c r="N361" t="s">
        <v>79</v>
      </c>
      <c r="O361" t="s">
        <v>74</v>
      </c>
      <c r="P361" t="s">
        <v>74</v>
      </c>
      <c r="Q361" t="s">
        <v>74</v>
      </c>
      <c r="R361" t="s">
        <v>74</v>
      </c>
      <c r="S361" t="s">
        <v>74</v>
      </c>
      <c r="T361" t="s">
        <v>7330</v>
      </c>
      <c r="U361" t="s">
        <v>7331</v>
      </c>
      <c r="V361" t="s">
        <v>7332</v>
      </c>
      <c r="W361" t="s">
        <v>7333</v>
      </c>
      <c r="X361" t="s">
        <v>7334</v>
      </c>
      <c r="Y361" t="s">
        <v>7335</v>
      </c>
      <c r="Z361" t="s">
        <v>7336</v>
      </c>
      <c r="AA361" t="s">
        <v>7337</v>
      </c>
      <c r="AB361" t="s">
        <v>7338</v>
      </c>
      <c r="AC361" t="s">
        <v>7339</v>
      </c>
      <c r="AD361" t="s">
        <v>7340</v>
      </c>
      <c r="AE361" t="s">
        <v>7341</v>
      </c>
      <c r="AF361" t="s">
        <v>74</v>
      </c>
      <c r="AG361">
        <v>90</v>
      </c>
      <c r="AH361">
        <v>24</v>
      </c>
      <c r="AI361">
        <v>25</v>
      </c>
      <c r="AJ361">
        <v>0</v>
      </c>
      <c r="AK361">
        <v>34</v>
      </c>
      <c r="AL361" t="s">
        <v>120</v>
      </c>
      <c r="AM361" t="s">
        <v>121</v>
      </c>
      <c r="AN361" t="s">
        <v>122</v>
      </c>
      <c r="AO361" t="s">
        <v>7342</v>
      </c>
      <c r="AP361" t="s">
        <v>7343</v>
      </c>
      <c r="AQ361" t="s">
        <v>74</v>
      </c>
      <c r="AR361" t="s">
        <v>7344</v>
      </c>
      <c r="AS361" t="s">
        <v>7345</v>
      </c>
      <c r="AT361" t="s">
        <v>5327</v>
      </c>
      <c r="AU361">
        <v>2015</v>
      </c>
      <c r="AV361">
        <v>169</v>
      </c>
      <c r="AW361">
        <v>4</v>
      </c>
      <c r="AX361" t="s">
        <v>74</v>
      </c>
      <c r="AY361" t="s">
        <v>74</v>
      </c>
      <c r="AZ361" t="s">
        <v>74</v>
      </c>
      <c r="BA361" t="s">
        <v>74</v>
      </c>
      <c r="BB361" t="s">
        <v>74</v>
      </c>
      <c r="BC361" t="s">
        <v>74</v>
      </c>
      <c r="BD361">
        <v>39</v>
      </c>
      <c r="BE361" t="s">
        <v>7346</v>
      </c>
      <c r="BF361" t="str">
        <f>HYPERLINK("http://dx.doi.org/10.1007/s00410-015-1136-5","http://dx.doi.org/10.1007/s00410-015-1136-5")</f>
        <v>http://dx.doi.org/10.1007/s00410-015-1136-5</v>
      </c>
      <c r="BG361" t="s">
        <v>74</v>
      </c>
      <c r="BH361" t="s">
        <v>74</v>
      </c>
      <c r="BI361">
        <v>28</v>
      </c>
      <c r="BJ361" t="s">
        <v>7347</v>
      </c>
      <c r="BK361" t="s">
        <v>100</v>
      </c>
      <c r="BL361" t="s">
        <v>7347</v>
      </c>
      <c r="BM361" t="s">
        <v>7348</v>
      </c>
      <c r="BN361" t="s">
        <v>74</v>
      </c>
      <c r="BO361" t="s">
        <v>248</v>
      </c>
      <c r="BP361" t="s">
        <v>74</v>
      </c>
      <c r="BQ361" t="s">
        <v>74</v>
      </c>
      <c r="BR361" t="s">
        <v>104</v>
      </c>
      <c r="BS361" t="s">
        <v>7349</v>
      </c>
      <c r="BT361" t="str">
        <f>HYPERLINK("https%3A%2F%2Fwww.webofscience.com%2Fwos%2Fwoscc%2Ffull-record%2FWOS:000352851900006","View Full Record in Web of Science")</f>
        <v>View Full Record in Web of Science</v>
      </c>
    </row>
    <row r="362" spans="1:72" x14ac:dyDescent="0.15">
      <c r="A362" t="s">
        <v>72</v>
      </c>
      <c r="B362" t="s">
        <v>7350</v>
      </c>
      <c r="C362" t="s">
        <v>74</v>
      </c>
      <c r="D362" t="s">
        <v>74</v>
      </c>
      <c r="E362" t="s">
        <v>74</v>
      </c>
      <c r="F362" t="s">
        <v>7351</v>
      </c>
      <c r="G362" t="s">
        <v>74</v>
      </c>
      <c r="H362" t="s">
        <v>74</v>
      </c>
      <c r="I362" t="s">
        <v>7352</v>
      </c>
      <c r="J362" t="s">
        <v>2571</v>
      </c>
      <c r="K362" t="s">
        <v>74</v>
      </c>
      <c r="L362" t="s">
        <v>74</v>
      </c>
      <c r="M362" t="s">
        <v>78</v>
      </c>
      <c r="N362" t="s">
        <v>79</v>
      </c>
      <c r="O362" t="s">
        <v>74</v>
      </c>
      <c r="P362" t="s">
        <v>74</v>
      </c>
      <c r="Q362" t="s">
        <v>74</v>
      </c>
      <c r="R362" t="s">
        <v>74</v>
      </c>
      <c r="S362" t="s">
        <v>74</v>
      </c>
      <c r="T362" t="s">
        <v>7353</v>
      </c>
      <c r="U362" t="s">
        <v>7354</v>
      </c>
      <c r="V362" t="s">
        <v>7355</v>
      </c>
      <c r="W362" t="s">
        <v>7356</v>
      </c>
      <c r="X362" t="s">
        <v>7357</v>
      </c>
      <c r="Y362" t="s">
        <v>7358</v>
      </c>
      <c r="Z362" t="s">
        <v>7359</v>
      </c>
      <c r="AA362" t="s">
        <v>7360</v>
      </c>
      <c r="AB362" t="s">
        <v>7361</v>
      </c>
      <c r="AC362" t="s">
        <v>7362</v>
      </c>
      <c r="AD362" t="s">
        <v>7363</v>
      </c>
      <c r="AE362" t="s">
        <v>7364</v>
      </c>
      <c r="AF362" t="s">
        <v>74</v>
      </c>
      <c r="AG362">
        <v>71</v>
      </c>
      <c r="AH362">
        <v>40</v>
      </c>
      <c r="AI362">
        <v>47</v>
      </c>
      <c r="AJ362">
        <v>0</v>
      </c>
      <c r="AK362">
        <v>56</v>
      </c>
      <c r="AL362" t="s">
        <v>786</v>
      </c>
      <c r="AM362" t="s">
        <v>787</v>
      </c>
      <c r="AN362" t="s">
        <v>788</v>
      </c>
      <c r="AO362" t="s">
        <v>2583</v>
      </c>
      <c r="AP362" t="s">
        <v>2584</v>
      </c>
      <c r="AQ362" t="s">
        <v>74</v>
      </c>
      <c r="AR362" t="s">
        <v>2585</v>
      </c>
      <c r="AS362" t="s">
        <v>2586</v>
      </c>
      <c r="AT362" t="s">
        <v>5327</v>
      </c>
      <c r="AU362">
        <v>2015</v>
      </c>
      <c r="AV362">
        <v>98</v>
      </c>
      <c r="AW362" t="s">
        <v>74</v>
      </c>
      <c r="AX362" t="s">
        <v>74</v>
      </c>
      <c r="AY362" t="s">
        <v>74</v>
      </c>
      <c r="AZ362" t="s">
        <v>74</v>
      </c>
      <c r="BA362" t="s">
        <v>74</v>
      </c>
      <c r="BB362">
        <v>115</v>
      </c>
      <c r="BC362">
        <v>124</v>
      </c>
      <c r="BD362" t="s">
        <v>74</v>
      </c>
      <c r="BE362" t="s">
        <v>7365</v>
      </c>
      <c r="BF362" t="str">
        <f>HYPERLINK("http://dx.doi.org/10.1016/j.dsr.2014.12.010","http://dx.doi.org/10.1016/j.dsr.2014.12.010")</f>
        <v>http://dx.doi.org/10.1016/j.dsr.2014.12.010</v>
      </c>
      <c r="BG362" t="s">
        <v>74</v>
      </c>
      <c r="BH362" t="s">
        <v>74</v>
      </c>
      <c r="BI362">
        <v>10</v>
      </c>
      <c r="BJ362" t="s">
        <v>1540</v>
      </c>
      <c r="BK362" t="s">
        <v>100</v>
      </c>
      <c r="BL362" t="s">
        <v>1540</v>
      </c>
      <c r="BM362" t="s">
        <v>7366</v>
      </c>
      <c r="BN362" t="s">
        <v>74</v>
      </c>
      <c r="BO362" t="s">
        <v>1123</v>
      </c>
      <c r="BP362" t="s">
        <v>74</v>
      </c>
      <c r="BQ362" t="s">
        <v>74</v>
      </c>
      <c r="BR362" t="s">
        <v>104</v>
      </c>
      <c r="BS362" t="s">
        <v>7367</v>
      </c>
      <c r="BT362" t="str">
        <f>HYPERLINK("https%3A%2F%2Fwww.webofscience.com%2Fwos%2Fwoscc%2Ffull-record%2FWOS:000351656600012","View Full Record in Web of Science")</f>
        <v>View Full Record in Web of Science</v>
      </c>
    </row>
    <row r="363" spans="1:72" x14ac:dyDescent="0.15">
      <c r="A363" t="s">
        <v>72</v>
      </c>
      <c r="B363" t="s">
        <v>7368</v>
      </c>
      <c r="C363" t="s">
        <v>74</v>
      </c>
      <c r="D363" t="s">
        <v>74</v>
      </c>
      <c r="E363" t="s">
        <v>74</v>
      </c>
      <c r="F363" t="s">
        <v>7369</v>
      </c>
      <c r="G363" t="s">
        <v>74</v>
      </c>
      <c r="H363" t="s">
        <v>74</v>
      </c>
      <c r="I363" t="s">
        <v>7370</v>
      </c>
      <c r="J363" t="s">
        <v>2131</v>
      </c>
      <c r="K363" t="s">
        <v>74</v>
      </c>
      <c r="L363" t="s">
        <v>74</v>
      </c>
      <c r="M363" t="s">
        <v>78</v>
      </c>
      <c r="N363" t="s">
        <v>79</v>
      </c>
      <c r="O363" t="s">
        <v>74</v>
      </c>
      <c r="P363" t="s">
        <v>74</v>
      </c>
      <c r="Q363" t="s">
        <v>74</v>
      </c>
      <c r="R363" t="s">
        <v>74</v>
      </c>
      <c r="S363" t="s">
        <v>74</v>
      </c>
      <c r="T363" t="s">
        <v>7371</v>
      </c>
      <c r="U363" t="s">
        <v>7372</v>
      </c>
      <c r="V363" t="s">
        <v>7373</v>
      </c>
      <c r="W363" t="s">
        <v>7374</v>
      </c>
      <c r="X363" t="s">
        <v>7375</v>
      </c>
      <c r="Y363" t="s">
        <v>7376</v>
      </c>
      <c r="Z363" t="s">
        <v>7377</v>
      </c>
      <c r="AA363" t="s">
        <v>7378</v>
      </c>
      <c r="AB363" t="s">
        <v>7379</v>
      </c>
      <c r="AC363" t="s">
        <v>7380</v>
      </c>
      <c r="AD363" t="s">
        <v>7381</v>
      </c>
      <c r="AE363" t="s">
        <v>7382</v>
      </c>
      <c r="AF363" t="s">
        <v>74</v>
      </c>
      <c r="AG363">
        <v>25</v>
      </c>
      <c r="AH363">
        <v>31</v>
      </c>
      <c r="AI363">
        <v>35</v>
      </c>
      <c r="AJ363">
        <v>0</v>
      </c>
      <c r="AK363">
        <v>15</v>
      </c>
      <c r="AL363" t="s">
        <v>786</v>
      </c>
      <c r="AM363" t="s">
        <v>787</v>
      </c>
      <c r="AN363" t="s">
        <v>788</v>
      </c>
      <c r="AO363" t="s">
        <v>2144</v>
      </c>
      <c r="AP363" t="s">
        <v>2145</v>
      </c>
      <c r="AQ363" t="s">
        <v>74</v>
      </c>
      <c r="AR363" t="s">
        <v>2146</v>
      </c>
      <c r="AS363" t="s">
        <v>2147</v>
      </c>
      <c r="AT363" t="s">
        <v>5327</v>
      </c>
      <c r="AU363">
        <v>2015</v>
      </c>
      <c r="AV363">
        <v>114</v>
      </c>
      <c r="AW363" t="s">
        <v>74</v>
      </c>
      <c r="AX363" t="s">
        <v>74</v>
      </c>
      <c r="AY363" t="s">
        <v>74</v>
      </c>
      <c r="AZ363" t="s">
        <v>74</v>
      </c>
      <c r="BA363" t="s">
        <v>74</v>
      </c>
      <c r="BB363">
        <v>39</v>
      </c>
      <c r="BC363">
        <v>48</v>
      </c>
      <c r="BD363" t="s">
        <v>74</v>
      </c>
      <c r="BE363" t="s">
        <v>7383</v>
      </c>
      <c r="BF363" t="str">
        <f>HYPERLINK("http://dx.doi.org/10.1016/j.dsr2.2014.01.018","http://dx.doi.org/10.1016/j.dsr2.2014.01.018")</f>
        <v>http://dx.doi.org/10.1016/j.dsr2.2014.01.018</v>
      </c>
      <c r="BG363" t="s">
        <v>74</v>
      </c>
      <c r="BH363" t="s">
        <v>74</v>
      </c>
      <c r="BI363">
        <v>10</v>
      </c>
      <c r="BJ363" t="s">
        <v>1540</v>
      </c>
      <c r="BK363" t="s">
        <v>100</v>
      </c>
      <c r="BL363" t="s">
        <v>1540</v>
      </c>
      <c r="BM363" t="s">
        <v>5675</v>
      </c>
      <c r="BN363" t="s">
        <v>74</v>
      </c>
      <c r="BO363" t="s">
        <v>559</v>
      </c>
      <c r="BP363" t="s">
        <v>74</v>
      </c>
      <c r="BQ363" t="s">
        <v>74</v>
      </c>
      <c r="BR363" t="s">
        <v>104</v>
      </c>
      <c r="BS363" t="s">
        <v>7384</v>
      </c>
      <c r="BT363" t="str">
        <f>HYPERLINK("https%3A%2F%2Fwww.webofscience.com%2Fwos%2Fwoscc%2Ffull-record%2FWOS:000354342300005","View Full Record in Web of Science")</f>
        <v>View Full Record in Web of Science</v>
      </c>
    </row>
    <row r="364" spans="1:72" x14ac:dyDescent="0.15">
      <c r="A364" t="s">
        <v>72</v>
      </c>
      <c r="B364" t="s">
        <v>7385</v>
      </c>
      <c r="C364" t="s">
        <v>74</v>
      </c>
      <c r="D364" t="s">
        <v>74</v>
      </c>
      <c r="E364" t="s">
        <v>74</v>
      </c>
      <c r="F364" t="s">
        <v>7386</v>
      </c>
      <c r="G364" t="s">
        <v>74</v>
      </c>
      <c r="H364" t="s">
        <v>74</v>
      </c>
      <c r="I364" t="s">
        <v>7387</v>
      </c>
      <c r="J364" t="s">
        <v>848</v>
      </c>
      <c r="K364" t="s">
        <v>74</v>
      </c>
      <c r="L364" t="s">
        <v>74</v>
      </c>
      <c r="M364" t="s">
        <v>78</v>
      </c>
      <c r="N364" t="s">
        <v>79</v>
      </c>
      <c r="O364" t="s">
        <v>74</v>
      </c>
      <c r="P364" t="s">
        <v>74</v>
      </c>
      <c r="Q364" t="s">
        <v>74</v>
      </c>
      <c r="R364" t="s">
        <v>74</v>
      </c>
      <c r="S364" t="s">
        <v>74</v>
      </c>
      <c r="T364" t="s">
        <v>7388</v>
      </c>
      <c r="U364" t="s">
        <v>7389</v>
      </c>
      <c r="V364" t="s">
        <v>7390</v>
      </c>
      <c r="W364" t="s">
        <v>7391</v>
      </c>
      <c r="X364" t="s">
        <v>7392</v>
      </c>
      <c r="Y364" t="s">
        <v>7393</v>
      </c>
      <c r="Z364" t="s">
        <v>7394</v>
      </c>
      <c r="AA364" t="s">
        <v>74</v>
      </c>
      <c r="AB364" t="s">
        <v>7395</v>
      </c>
      <c r="AC364" t="s">
        <v>7396</v>
      </c>
      <c r="AD364" t="s">
        <v>7397</v>
      </c>
      <c r="AE364" t="s">
        <v>7398</v>
      </c>
      <c r="AF364" t="s">
        <v>74</v>
      </c>
      <c r="AG364">
        <v>67</v>
      </c>
      <c r="AH364">
        <v>191</v>
      </c>
      <c r="AI364">
        <v>204</v>
      </c>
      <c r="AJ364">
        <v>5</v>
      </c>
      <c r="AK364">
        <v>57</v>
      </c>
      <c r="AL364" t="s">
        <v>1039</v>
      </c>
      <c r="AM364" t="s">
        <v>816</v>
      </c>
      <c r="AN364" t="s">
        <v>1040</v>
      </c>
      <c r="AO364" t="s">
        <v>858</v>
      </c>
      <c r="AP364" t="s">
        <v>859</v>
      </c>
      <c r="AQ364" t="s">
        <v>74</v>
      </c>
      <c r="AR364" t="s">
        <v>860</v>
      </c>
      <c r="AS364" t="s">
        <v>861</v>
      </c>
      <c r="AT364" t="s">
        <v>5866</v>
      </c>
      <c r="AU364">
        <v>2015</v>
      </c>
      <c r="AV364">
        <v>415</v>
      </c>
      <c r="AW364" t="s">
        <v>74</v>
      </c>
      <c r="AX364" t="s">
        <v>74</v>
      </c>
      <c r="AY364" t="s">
        <v>74</v>
      </c>
      <c r="AZ364" t="s">
        <v>74</v>
      </c>
      <c r="BA364" t="s">
        <v>74</v>
      </c>
      <c r="BB364">
        <v>90</v>
      </c>
      <c r="BC364">
        <v>99</v>
      </c>
      <c r="BD364" t="s">
        <v>74</v>
      </c>
      <c r="BE364" t="s">
        <v>7399</v>
      </c>
      <c r="BF364" t="str">
        <f>HYPERLINK("http://dx.doi.org/10.1016/j.epsl.2015.01.037","http://dx.doi.org/10.1016/j.epsl.2015.01.037")</f>
        <v>http://dx.doi.org/10.1016/j.epsl.2015.01.037</v>
      </c>
      <c r="BG364" t="s">
        <v>74</v>
      </c>
      <c r="BH364" t="s">
        <v>74</v>
      </c>
      <c r="BI364">
        <v>10</v>
      </c>
      <c r="BJ364" t="s">
        <v>863</v>
      </c>
      <c r="BK364" t="s">
        <v>100</v>
      </c>
      <c r="BL364" t="s">
        <v>863</v>
      </c>
      <c r="BM364" t="s">
        <v>6994</v>
      </c>
      <c r="BN364" t="s">
        <v>74</v>
      </c>
      <c r="BO364" t="s">
        <v>74</v>
      </c>
      <c r="BP364" t="s">
        <v>74</v>
      </c>
      <c r="BQ364" t="s">
        <v>74</v>
      </c>
      <c r="BR364" t="s">
        <v>104</v>
      </c>
      <c r="BS364" t="s">
        <v>7400</v>
      </c>
      <c r="BT364" t="str">
        <f>HYPERLINK("https%3A%2F%2Fwww.webofscience.com%2Fwos%2Fwoscc%2Ffull-record%2FWOS:000350929600009","View Full Record in Web of Science")</f>
        <v>View Full Record in Web of Science</v>
      </c>
    </row>
    <row r="365" spans="1:72" x14ac:dyDescent="0.15">
      <c r="A365" t="s">
        <v>72</v>
      </c>
      <c r="B365" t="s">
        <v>7401</v>
      </c>
      <c r="C365" t="s">
        <v>74</v>
      </c>
      <c r="D365" t="s">
        <v>74</v>
      </c>
      <c r="E365" t="s">
        <v>74</v>
      </c>
      <c r="F365" t="s">
        <v>7402</v>
      </c>
      <c r="G365" t="s">
        <v>74</v>
      </c>
      <c r="H365" t="s">
        <v>74</v>
      </c>
      <c r="I365" t="s">
        <v>7403</v>
      </c>
      <c r="J365" t="s">
        <v>848</v>
      </c>
      <c r="K365" t="s">
        <v>74</v>
      </c>
      <c r="L365" t="s">
        <v>74</v>
      </c>
      <c r="M365" t="s">
        <v>78</v>
      </c>
      <c r="N365" t="s">
        <v>79</v>
      </c>
      <c r="O365" t="s">
        <v>74</v>
      </c>
      <c r="P365" t="s">
        <v>74</v>
      </c>
      <c r="Q365" t="s">
        <v>74</v>
      </c>
      <c r="R365" t="s">
        <v>74</v>
      </c>
      <c r="S365" t="s">
        <v>74</v>
      </c>
      <c r="T365" t="s">
        <v>7404</v>
      </c>
      <c r="U365" t="s">
        <v>7405</v>
      </c>
      <c r="V365" t="s">
        <v>7406</v>
      </c>
      <c r="W365" t="s">
        <v>7407</v>
      </c>
      <c r="X365" t="s">
        <v>7408</v>
      </c>
      <c r="Y365" t="s">
        <v>7409</v>
      </c>
      <c r="Z365" t="s">
        <v>7410</v>
      </c>
      <c r="AA365" t="s">
        <v>7411</v>
      </c>
      <c r="AB365" t="s">
        <v>7412</v>
      </c>
      <c r="AC365" t="s">
        <v>7413</v>
      </c>
      <c r="AD365" t="s">
        <v>7414</v>
      </c>
      <c r="AE365" t="s">
        <v>7415</v>
      </c>
      <c r="AF365" t="s">
        <v>74</v>
      </c>
      <c r="AG365">
        <v>100</v>
      </c>
      <c r="AH365">
        <v>48</v>
      </c>
      <c r="AI365">
        <v>53</v>
      </c>
      <c r="AJ365">
        <v>7</v>
      </c>
      <c r="AK365">
        <v>93</v>
      </c>
      <c r="AL365" t="s">
        <v>1039</v>
      </c>
      <c r="AM365" t="s">
        <v>816</v>
      </c>
      <c r="AN365" t="s">
        <v>1040</v>
      </c>
      <c r="AO365" t="s">
        <v>858</v>
      </c>
      <c r="AP365" t="s">
        <v>859</v>
      </c>
      <c r="AQ365" t="s">
        <v>74</v>
      </c>
      <c r="AR365" t="s">
        <v>860</v>
      </c>
      <c r="AS365" t="s">
        <v>861</v>
      </c>
      <c r="AT365" t="s">
        <v>5866</v>
      </c>
      <c r="AU365">
        <v>2015</v>
      </c>
      <c r="AV365">
        <v>415</v>
      </c>
      <c r="AW365" t="s">
        <v>74</v>
      </c>
      <c r="AX365" t="s">
        <v>74</v>
      </c>
      <c r="AY365" t="s">
        <v>74</v>
      </c>
      <c r="AZ365" t="s">
        <v>74</v>
      </c>
      <c r="BA365" t="s">
        <v>74</v>
      </c>
      <c r="BB365">
        <v>121</v>
      </c>
      <c r="BC365">
        <v>133</v>
      </c>
      <c r="BD365" t="s">
        <v>74</v>
      </c>
      <c r="BE365" t="s">
        <v>7416</v>
      </c>
      <c r="BF365" t="str">
        <f>HYPERLINK("http://dx.doi.org/10.1016/j.epsl.2015.01.019","http://dx.doi.org/10.1016/j.epsl.2015.01.019")</f>
        <v>http://dx.doi.org/10.1016/j.epsl.2015.01.019</v>
      </c>
      <c r="BG365" t="s">
        <v>74</v>
      </c>
      <c r="BH365" t="s">
        <v>74</v>
      </c>
      <c r="BI365">
        <v>13</v>
      </c>
      <c r="BJ365" t="s">
        <v>863</v>
      </c>
      <c r="BK365" t="s">
        <v>100</v>
      </c>
      <c r="BL365" t="s">
        <v>863</v>
      </c>
      <c r="BM365" t="s">
        <v>6994</v>
      </c>
      <c r="BN365" t="s">
        <v>74</v>
      </c>
      <c r="BO365" t="s">
        <v>74</v>
      </c>
      <c r="BP365" t="s">
        <v>74</v>
      </c>
      <c r="BQ365" t="s">
        <v>74</v>
      </c>
      <c r="BR365" t="s">
        <v>104</v>
      </c>
      <c r="BS365" t="s">
        <v>7417</v>
      </c>
      <c r="BT365" t="str">
        <f>HYPERLINK("https%3A%2F%2Fwww.webofscience.com%2Fwos%2Fwoscc%2Ffull-record%2FWOS:000350929600012","View Full Record in Web of Science")</f>
        <v>View Full Record in Web of Science</v>
      </c>
    </row>
    <row r="366" spans="1:72" x14ac:dyDescent="0.15">
      <c r="A366" t="s">
        <v>72</v>
      </c>
      <c r="B366" t="s">
        <v>7418</v>
      </c>
      <c r="C366" t="s">
        <v>74</v>
      </c>
      <c r="D366" t="s">
        <v>74</v>
      </c>
      <c r="E366" t="s">
        <v>74</v>
      </c>
      <c r="F366" t="s">
        <v>7419</v>
      </c>
      <c r="G366" t="s">
        <v>74</v>
      </c>
      <c r="H366" t="s">
        <v>74</v>
      </c>
      <c r="I366" t="s">
        <v>7420</v>
      </c>
      <c r="J366" t="s">
        <v>7421</v>
      </c>
      <c r="K366" t="s">
        <v>74</v>
      </c>
      <c r="L366" t="s">
        <v>74</v>
      </c>
      <c r="M366" t="s">
        <v>78</v>
      </c>
      <c r="N366" t="s">
        <v>79</v>
      </c>
      <c r="O366" t="s">
        <v>74</v>
      </c>
      <c r="P366" t="s">
        <v>74</v>
      </c>
      <c r="Q366" t="s">
        <v>74</v>
      </c>
      <c r="R366" t="s">
        <v>74</v>
      </c>
      <c r="S366" t="s">
        <v>74</v>
      </c>
      <c r="T366" t="s">
        <v>7422</v>
      </c>
      <c r="U366" t="s">
        <v>7423</v>
      </c>
      <c r="V366" t="s">
        <v>7424</v>
      </c>
      <c r="W366" t="s">
        <v>7425</v>
      </c>
      <c r="X366" t="s">
        <v>7426</v>
      </c>
      <c r="Y366" t="s">
        <v>7427</v>
      </c>
      <c r="Z366" t="s">
        <v>7428</v>
      </c>
      <c r="AA366" t="s">
        <v>7429</v>
      </c>
      <c r="AB366" t="s">
        <v>7430</v>
      </c>
      <c r="AC366" t="s">
        <v>7431</v>
      </c>
      <c r="AD366" t="s">
        <v>7432</v>
      </c>
      <c r="AE366" t="s">
        <v>7433</v>
      </c>
      <c r="AF366" t="s">
        <v>74</v>
      </c>
      <c r="AG366">
        <v>336</v>
      </c>
      <c r="AH366">
        <v>187</v>
      </c>
      <c r="AI366">
        <v>205</v>
      </c>
      <c r="AJ366">
        <v>4</v>
      </c>
      <c r="AK366">
        <v>94</v>
      </c>
      <c r="AL366" t="s">
        <v>1039</v>
      </c>
      <c r="AM366" t="s">
        <v>816</v>
      </c>
      <c r="AN366" t="s">
        <v>1040</v>
      </c>
      <c r="AO366" t="s">
        <v>7434</v>
      </c>
      <c r="AP366" t="s">
        <v>7435</v>
      </c>
      <c r="AQ366" t="s">
        <v>74</v>
      </c>
      <c r="AR366" t="s">
        <v>7436</v>
      </c>
      <c r="AS366" t="s">
        <v>7437</v>
      </c>
      <c r="AT366" t="s">
        <v>5327</v>
      </c>
      <c r="AU366">
        <v>2015</v>
      </c>
      <c r="AV366">
        <v>143</v>
      </c>
      <c r="AW366" t="s">
        <v>74</v>
      </c>
      <c r="AX366" t="s">
        <v>74</v>
      </c>
      <c r="AY366" t="s">
        <v>74</v>
      </c>
      <c r="AZ366" t="s">
        <v>74</v>
      </c>
      <c r="BA366" t="s">
        <v>74</v>
      </c>
      <c r="BB366">
        <v>117</v>
      </c>
      <c r="BC366">
        <v>146</v>
      </c>
      <c r="BD366" t="s">
        <v>74</v>
      </c>
      <c r="BE366" t="s">
        <v>7438</v>
      </c>
      <c r="BF366" t="str">
        <f>HYPERLINK("http://dx.doi.org/10.1016/j.earscirev.2015.01.011","http://dx.doi.org/10.1016/j.earscirev.2015.01.011")</f>
        <v>http://dx.doi.org/10.1016/j.earscirev.2015.01.011</v>
      </c>
      <c r="BG366" t="s">
        <v>74</v>
      </c>
      <c r="BH366" t="s">
        <v>74</v>
      </c>
      <c r="BI366">
        <v>30</v>
      </c>
      <c r="BJ366" t="s">
        <v>219</v>
      </c>
      <c r="BK366" t="s">
        <v>100</v>
      </c>
      <c r="BL366" t="s">
        <v>220</v>
      </c>
      <c r="BM366" t="s">
        <v>7439</v>
      </c>
      <c r="BN366" t="s">
        <v>74</v>
      </c>
      <c r="BO366" t="s">
        <v>3070</v>
      </c>
      <c r="BP366" t="s">
        <v>74</v>
      </c>
      <c r="BQ366" t="s">
        <v>74</v>
      </c>
      <c r="BR366" t="s">
        <v>104</v>
      </c>
      <c r="BS366" t="s">
        <v>7440</v>
      </c>
      <c r="BT366" t="str">
        <f>HYPERLINK("https%3A%2F%2Fwww.webofscience.com%2Fwos%2Fwoscc%2Ffull-record%2FWOS:000351977300005","View Full Record in Web of Science")</f>
        <v>View Full Record in Web of Science</v>
      </c>
    </row>
    <row r="367" spans="1:72" x14ac:dyDescent="0.15">
      <c r="A367" t="s">
        <v>72</v>
      </c>
      <c r="B367" t="s">
        <v>7441</v>
      </c>
      <c r="C367" t="s">
        <v>74</v>
      </c>
      <c r="D367" t="s">
        <v>74</v>
      </c>
      <c r="E367" t="s">
        <v>74</v>
      </c>
      <c r="F367" t="s">
        <v>7442</v>
      </c>
      <c r="G367" t="s">
        <v>74</v>
      </c>
      <c r="H367" t="s">
        <v>74</v>
      </c>
      <c r="I367" t="s">
        <v>7443</v>
      </c>
      <c r="J367" t="s">
        <v>7444</v>
      </c>
      <c r="K367" t="s">
        <v>74</v>
      </c>
      <c r="L367" t="s">
        <v>74</v>
      </c>
      <c r="M367" t="s">
        <v>78</v>
      </c>
      <c r="N367" t="s">
        <v>79</v>
      </c>
      <c r="O367" t="s">
        <v>74</v>
      </c>
      <c r="P367" t="s">
        <v>74</v>
      </c>
      <c r="Q367" t="s">
        <v>74</v>
      </c>
      <c r="R367" t="s">
        <v>74</v>
      </c>
      <c r="S367" t="s">
        <v>74</v>
      </c>
      <c r="T367" t="s">
        <v>7445</v>
      </c>
      <c r="U367" t="s">
        <v>7446</v>
      </c>
      <c r="V367" t="s">
        <v>7447</v>
      </c>
      <c r="W367" t="s">
        <v>7448</v>
      </c>
      <c r="X367" t="s">
        <v>7449</v>
      </c>
      <c r="Y367" t="s">
        <v>7450</v>
      </c>
      <c r="Z367" t="s">
        <v>7451</v>
      </c>
      <c r="AA367" t="s">
        <v>7452</v>
      </c>
      <c r="AB367" t="s">
        <v>7453</v>
      </c>
      <c r="AC367" t="s">
        <v>7454</v>
      </c>
      <c r="AD367" t="s">
        <v>7455</v>
      </c>
      <c r="AE367" t="s">
        <v>7456</v>
      </c>
      <c r="AF367" t="s">
        <v>74</v>
      </c>
      <c r="AG367">
        <v>95</v>
      </c>
      <c r="AH367">
        <v>29</v>
      </c>
      <c r="AI367">
        <v>33</v>
      </c>
      <c r="AJ367">
        <v>1</v>
      </c>
      <c r="AK367">
        <v>80</v>
      </c>
      <c r="AL367" t="s">
        <v>239</v>
      </c>
      <c r="AM367" t="s">
        <v>240</v>
      </c>
      <c r="AN367" t="s">
        <v>241</v>
      </c>
      <c r="AO367" t="s">
        <v>7457</v>
      </c>
      <c r="AP367" t="s">
        <v>7458</v>
      </c>
      <c r="AQ367" t="s">
        <v>74</v>
      </c>
      <c r="AR367" t="s">
        <v>7459</v>
      </c>
      <c r="AS367" t="s">
        <v>7460</v>
      </c>
      <c r="AT367" t="s">
        <v>5327</v>
      </c>
      <c r="AU367">
        <v>2015</v>
      </c>
      <c r="AV367">
        <v>138</v>
      </c>
      <c r="AW367" t="s">
        <v>74</v>
      </c>
      <c r="AX367" t="s">
        <v>74</v>
      </c>
      <c r="AY367" t="s">
        <v>74</v>
      </c>
      <c r="AZ367" t="s">
        <v>74</v>
      </c>
      <c r="BA367" t="s">
        <v>74</v>
      </c>
      <c r="BB367">
        <v>49</v>
      </c>
      <c r="BC367">
        <v>57</v>
      </c>
      <c r="BD367" t="s">
        <v>74</v>
      </c>
      <c r="BE367" t="s">
        <v>7461</v>
      </c>
      <c r="BF367" t="str">
        <f>HYPERLINK("http://dx.doi.org/10.1016/j.envres.2015.02.007","http://dx.doi.org/10.1016/j.envres.2015.02.007")</f>
        <v>http://dx.doi.org/10.1016/j.envres.2015.02.007</v>
      </c>
      <c r="BG367" t="s">
        <v>74</v>
      </c>
      <c r="BH367" t="s">
        <v>74</v>
      </c>
      <c r="BI367">
        <v>9</v>
      </c>
      <c r="BJ367" t="s">
        <v>7462</v>
      </c>
      <c r="BK367" t="s">
        <v>100</v>
      </c>
      <c r="BL367" t="s">
        <v>7463</v>
      </c>
      <c r="BM367" t="s">
        <v>7464</v>
      </c>
      <c r="BN367">
        <v>25688003</v>
      </c>
      <c r="BO367" t="s">
        <v>74</v>
      </c>
      <c r="BP367" t="s">
        <v>74</v>
      </c>
      <c r="BQ367" t="s">
        <v>74</v>
      </c>
      <c r="BR367" t="s">
        <v>104</v>
      </c>
      <c r="BS367" t="s">
        <v>7465</v>
      </c>
      <c r="BT367" t="str">
        <f>HYPERLINK("https%3A%2F%2Fwww.webofscience.com%2Fwos%2Fwoscc%2Ffull-record%2FWOS:000353011300007","View Full Record in Web of Science")</f>
        <v>View Full Record in Web of Science</v>
      </c>
    </row>
    <row r="368" spans="1:72" x14ac:dyDescent="0.15">
      <c r="A368" t="s">
        <v>72</v>
      </c>
      <c r="B368" t="s">
        <v>7466</v>
      </c>
      <c r="C368" t="s">
        <v>74</v>
      </c>
      <c r="D368" t="s">
        <v>74</v>
      </c>
      <c r="E368" t="s">
        <v>74</v>
      </c>
      <c r="F368" t="s">
        <v>7467</v>
      </c>
      <c r="G368" t="s">
        <v>74</v>
      </c>
      <c r="H368" t="s">
        <v>74</v>
      </c>
      <c r="I368" t="s">
        <v>7468</v>
      </c>
      <c r="J368" t="s">
        <v>135</v>
      </c>
      <c r="K368" t="s">
        <v>74</v>
      </c>
      <c r="L368" t="s">
        <v>74</v>
      </c>
      <c r="M368" t="s">
        <v>78</v>
      </c>
      <c r="N368" t="s">
        <v>79</v>
      </c>
      <c r="O368" t="s">
        <v>74</v>
      </c>
      <c r="P368" t="s">
        <v>74</v>
      </c>
      <c r="Q368" t="s">
        <v>74</v>
      </c>
      <c r="R368" t="s">
        <v>74</v>
      </c>
      <c r="S368" t="s">
        <v>74</v>
      </c>
      <c r="T368" t="s">
        <v>7469</v>
      </c>
      <c r="U368" t="s">
        <v>7470</v>
      </c>
      <c r="V368" t="s">
        <v>7471</v>
      </c>
      <c r="W368" t="s">
        <v>7472</v>
      </c>
      <c r="X368" t="s">
        <v>7473</v>
      </c>
      <c r="Y368" t="s">
        <v>7474</v>
      </c>
      <c r="Z368" t="s">
        <v>7475</v>
      </c>
      <c r="AA368" t="s">
        <v>7476</v>
      </c>
      <c r="AB368" t="s">
        <v>7477</v>
      </c>
      <c r="AC368" t="s">
        <v>7478</v>
      </c>
      <c r="AD368" t="s">
        <v>7479</v>
      </c>
      <c r="AE368" t="s">
        <v>74</v>
      </c>
      <c r="AF368" t="s">
        <v>74</v>
      </c>
      <c r="AG368">
        <v>203</v>
      </c>
      <c r="AH368">
        <v>144</v>
      </c>
      <c r="AI368">
        <v>157</v>
      </c>
      <c r="AJ368">
        <v>4</v>
      </c>
      <c r="AK368">
        <v>168</v>
      </c>
      <c r="AL368" t="s">
        <v>91</v>
      </c>
      <c r="AM368" t="s">
        <v>92</v>
      </c>
      <c r="AN368" t="s">
        <v>93</v>
      </c>
      <c r="AO368" t="s">
        <v>148</v>
      </c>
      <c r="AP368" t="s">
        <v>149</v>
      </c>
      <c r="AQ368" t="s">
        <v>74</v>
      </c>
      <c r="AR368" t="s">
        <v>150</v>
      </c>
      <c r="AS368" t="s">
        <v>151</v>
      </c>
      <c r="AT368" t="s">
        <v>5327</v>
      </c>
      <c r="AU368">
        <v>2015</v>
      </c>
      <c r="AV368">
        <v>21</v>
      </c>
      <c r="AW368">
        <v>4</v>
      </c>
      <c r="AX368" t="s">
        <v>74</v>
      </c>
      <c r="AY368" t="s">
        <v>74</v>
      </c>
      <c r="AZ368" t="s">
        <v>74</v>
      </c>
      <c r="BA368" t="s">
        <v>74</v>
      </c>
      <c r="BB368">
        <v>1434</v>
      </c>
      <c r="BC368">
        <v>1453</v>
      </c>
      <c r="BD368" t="s">
        <v>74</v>
      </c>
      <c r="BE368" t="s">
        <v>7480</v>
      </c>
      <c r="BF368" t="str">
        <f>HYPERLINK("http://dx.doi.org/10.1111/gcb.12794","http://dx.doi.org/10.1111/gcb.12794")</f>
        <v>http://dx.doi.org/10.1111/gcb.12794</v>
      </c>
      <c r="BG368" t="s">
        <v>74</v>
      </c>
      <c r="BH368" t="s">
        <v>74</v>
      </c>
      <c r="BI368">
        <v>20</v>
      </c>
      <c r="BJ368" t="s">
        <v>153</v>
      </c>
      <c r="BK368" t="s">
        <v>100</v>
      </c>
      <c r="BL368" t="s">
        <v>154</v>
      </c>
      <c r="BM368" t="s">
        <v>7481</v>
      </c>
      <c r="BN368">
        <v>25369312</v>
      </c>
      <c r="BO368" t="s">
        <v>3094</v>
      </c>
      <c r="BP368" t="s">
        <v>74</v>
      </c>
      <c r="BQ368" t="s">
        <v>74</v>
      </c>
      <c r="BR368" t="s">
        <v>104</v>
      </c>
      <c r="BS368" t="s">
        <v>7482</v>
      </c>
      <c r="BT368" t="str">
        <f>HYPERLINK("https%3A%2F%2Fwww.webofscience.com%2Fwos%2Fwoscc%2Ffull-record%2FWOS:000351214100008","View Full Record in Web of Science")</f>
        <v>View Full Record in Web of Science</v>
      </c>
    </row>
    <row r="369" spans="1:72" x14ac:dyDescent="0.15">
      <c r="A369" t="s">
        <v>72</v>
      </c>
      <c r="B369" t="s">
        <v>7483</v>
      </c>
      <c r="C369" t="s">
        <v>74</v>
      </c>
      <c r="D369" t="s">
        <v>74</v>
      </c>
      <c r="E369" t="s">
        <v>74</v>
      </c>
      <c r="F369" t="s">
        <v>7484</v>
      </c>
      <c r="G369" t="s">
        <v>74</v>
      </c>
      <c r="H369" t="s">
        <v>74</v>
      </c>
      <c r="I369" t="s">
        <v>7485</v>
      </c>
      <c r="J369" t="s">
        <v>7486</v>
      </c>
      <c r="K369" t="s">
        <v>74</v>
      </c>
      <c r="L369" t="s">
        <v>74</v>
      </c>
      <c r="M369" t="s">
        <v>78</v>
      </c>
      <c r="N369" t="s">
        <v>79</v>
      </c>
      <c r="O369" t="s">
        <v>74</v>
      </c>
      <c r="P369" t="s">
        <v>74</v>
      </c>
      <c r="Q369" t="s">
        <v>74</v>
      </c>
      <c r="R369" t="s">
        <v>74</v>
      </c>
      <c r="S369" t="s">
        <v>74</v>
      </c>
      <c r="T369" t="s">
        <v>7487</v>
      </c>
      <c r="U369" t="s">
        <v>7488</v>
      </c>
      <c r="V369" t="s">
        <v>7489</v>
      </c>
      <c r="W369" t="s">
        <v>7490</v>
      </c>
      <c r="X369" t="s">
        <v>7491</v>
      </c>
      <c r="Y369" t="s">
        <v>7492</v>
      </c>
      <c r="Z369" t="s">
        <v>7493</v>
      </c>
      <c r="AA369" t="s">
        <v>7494</v>
      </c>
      <c r="AB369" t="s">
        <v>7495</v>
      </c>
      <c r="AC369" t="s">
        <v>7496</v>
      </c>
      <c r="AD369" t="s">
        <v>7497</v>
      </c>
      <c r="AE369" t="s">
        <v>7498</v>
      </c>
      <c r="AF369" t="s">
        <v>74</v>
      </c>
      <c r="AG369">
        <v>35</v>
      </c>
      <c r="AH369">
        <v>9</v>
      </c>
      <c r="AI369">
        <v>9</v>
      </c>
      <c r="AJ369">
        <v>0</v>
      </c>
      <c r="AK369">
        <v>25</v>
      </c>
      <c r="AL369" t="s">
        <v>91</v>
      </c>
      <c r="AM369" t="s">
        <v>92</v>
      </c>
      <c r="AN369" t="s">
        <v>93</v>
      </c>
      <c r="AO369" t="s">
        <v>7499</v>
      </c>
      <c r="AP369" t="s">
        <v>7500</v>
      </c>
      <c r="AQ369" t="s">
        <v>74</v>
      </c>
      <c r="AR369" t="s">
        <v>7501</v>
      </c>
      <c r="AS369" t="s">
        <v>7502</v>
      </c>
      <c r="AT369" t="s">
        <v>5327</v>
      </c>
      <c r="AU369">
        <v>2015</v>
      </c>
      <c r="AV369">
        <v>11</v>
      </c>
      <c r="AW369">
        <v>2</v>
      </c>
      <c r="AX369" t="s">
        <v>74</v>
      </c>
      <c r="AY369" t="s">
        <v>74</v>
      </c>
      <c r="AZ369" t="s">
        <v>74</v>
      </c>
      <c r="BA369" t="s">
        <v>74</v>
      </c>
      <c r="BB369">
        <v>235</v>
      </c>
      <c r="BC369">
        <v>241</v>
      </c>
      <c r="BD369" t="s">
        <v>74</v>
      </c>
      <c r="BE369" t="s">
        <v>7503</v>
      </c>
      <c r="BF369" t="str">
        <f>HYPERLINK("http://dx.doi.org/10.1002/ieam.1580","http://dx.doi.org/10.1002/ieam.1580")</f>
        <v>http://dx.doi.org/10.1002/ieam.1580</v>
      </c>
      <c r="BG369" t="s">
        <v>74</v>
      </c>
      <c r="BH369" t="s">
        <v>74</v>
      </c>
      <c r="BI369">
        <v>7</v>
      </c>
      <c r="BJ369" t="s">
        <v>2399</v>
      </c>
      <c r="BK369" t="s">
        <v>100</v>
      </c>
      <c r="BL369" t="s">
        <v>2400</v>
      </c>
      <c r="BM369" t="s">
        <v>7504</v>
      </c>
      <c r="BN369">
        <v>25209011</v>
      </c>
      <c r="BO369" t="s">
        <v>74</v>
      </c>
      <c r="BP369" t="s">
        <v>74</v>
      </c>
      <c r="BQ369" t="s">
        <v>74</v>
      </c>
      <c r="BR369" t="s">
        <v>104</v>
      </c>
      <c r="BS369" t="s">
        <v>7505</v>
      </c>
      <c r="BT369" t="str">
        <f>HYPERLINK("https%3A%2F%2Fwww.webofscience.com%2Fwos%2Fwoscc%2Ffull-record%2FWOS:000357020200007","View Full Record in Web of Science")</f>
        <v>View Full Record in Web of Science</v>
      </c>
    </row>
    <row r="370" spans="1:72" x14ac:dyDescent="0.15">
      <c r="A370" t="s">
        <v>72</v>
      </c>
      <c r="B370" t="s">
        <v>7506</v>
      </c>
      <c r="C370" t="s">
        <v>74</v>
      </c>
      <c r="D370" t="s">
        <v>74</v>
      </c>
      <c r="E370" t="s">
        <v>74</v>
      </c>
      <c r="F370" t="s">
        <v>7507</v>
      </c>
      <c r="G370" t="s">
        <v>74</v>
      </c>
      <c r="H370" t="s">
        <v>74</v>
      </c>
      <c r="I370" t="s">
        <v>7508</v>
      </c>
      <c r="J370" t="s">
        <v>6726</v>
      </c>
      <c r="K370" t="s">
        <v>74</v>
      </c>
      <c r="L370" t="s">
        <v>74</v>
      </c>
      <c r="M370" t="s">
        <v>78</v>
      </c>
      <c r="N370" t="s">
        <v>79</v>
      </c>
      <c r="O370" t="s">
        <v>74</v>
      </c>
      <c r="P370" t="s">
        <v>74</v>
      </c>
      <c r="Q370" t="s">
        <v>74</v>
      </c>
      <c r="R370" t="s">
        <v>74</v>
      </c>
      <c r="S370" t="s">
        <v>74</v>
      </c>
      <c r="T370" t="s">
        <v>7509</v>
      </c>
      <c r="U370" t="s">
        <v>7510</v>
      </c>
      <c r="V370" t="s">
        <v>7511</v>
      </c>
      <c r="W370" t="s">
        <v>7512</v>
      </c>
      <c r="X370" t="s">
        <v>7513</v>
      </c>
      <c r="Y370" t="s">
        <v>7514</v>
      </c>
      <c r="Z370" t="s">
        <v>7515</v>
      </c>
      <c r="AA370" t="s">
        <v>7516</v>
      </c>
      <c r="AB370" t="s">
        <v>7517</v>
      </c>
      <c r="AC370" t="s">
        <v>7518</v>
      </c>
      <c r="AD370" t="s">
        <v>7519</v>
      </c>
      <c r="AE370" t="s">
        <v>7520</v>
      </c>
      <c r="AF370" t="s">
        <v>74</v>
      </c>
      <c r="AG370">
        <v>84</v>
      </c>
      <c r="AH370">
        <v>5</v>
      </c>
      <c r="AI370">
        <v>5</v>
      </c>
      <c r="AJ370">
        <v>0</v>
      </c>
      <c r="AK370">
        <v>15</v>
      </c>
      <c r="AL370" t="s">
        <v>120</v>
      </c>
      <c r="AM370" t="s">
        <v>121</v>
      </c>
      <c r="AN370" t="s">
        <v>1304</v>
      </c>
      <c r="AO370" t="s">
        <v>6739</v>
      </c>
      <c r="AP370" t="s">
        <v>6740</v>
      </c>
      <c r="AQ370" t="s">
        <v>74</v>
      </c>
      <c r="AR370" t="s">
        <v>6741</v>
      </c>
      <c r="AS370" t="s">
        <v>6742</v>
      </c>
      <c r="AT370" t="s">
        <v>5327</v>
      </c>
      <c r="AU370">
        <v>2015</v>
      </c>
      <c r="AV370">
        <v>104</v>
      </c>
      <c r="AW370">
        <v>3</v>
      </c>
      <c r="AX370" t="s">
        <v>74</v>
      </c>
      <c r="AY370" t="s">
        <v>74</v>
      </c>
      <c r="AZ370" t="s">
        <v>74</v>
      </c>
      <c r="BA370" t="s">
        <v>74</v>
      </c>
      <c r="BB370">
        <v>833</v>
      </c>
      <c r="BC370">
        <v>851</v>
      </c>
      <c r="BD370" t="s">
        <v>74</v>
      </c>
      <c r="BE370" t="s">
        <v>7521</v>
      </c>
      <c r="BF370" t="str">
        <f>HYPERLINK("http://dx.doi.org/10.1007/s00531-014-1099-1","http://dx.doi.org/10.1007/s00531-014-1099-1")</f>
        <v>http://dx.doi.org/10.1007/s00531-014-1099-1</v>
      </c>
      <c r="BG370" t="s">
        <v>74</v>
      </c>
      <c r="BH370" t="s">
        <v>74</v>
      </c>
      <c r="BI370">
        <v>19</v>
      </c>
      <c r="BJ370" t="s">
        <v>219</v>
      </c>
      <c r="BK370" t="s">
        <v>100</v>
      </c>
      <c r="BL370" t="s">
        <v>220</v>
      </c>
      <c r="BM370" t="s">
        <v>6744</v>
      </c>
      <c r="BN370" t="s">
        <v>74</v>
      </c>
      <c r="BO370" t="s">
        <v>74</v>
      </c>
      <c r="BP370" t="s">
        <v>74</v>
      </c>
      <c r="BQ370" t="s">
        <v>74</v>
      </c>
      <c r="BR370" t="s">
        <v>104</v>
      </c>
      <c r="BS370" t="s">
        <v>7522</v>
      </c>
      <c r="BT370" t="str">
        <f>HYPERLINK("https%3A%2F%2Fwww.webofscience.com%2Fwos%2Fwoscc%2Ffull-record%2FWOS:000351519400018","View Full Record in Web of Science")</f>
        <v>View Full Record in Web of Science</v>
      </c>
    </row>
    <row r="371" spans="1:72" x14ac:dyDescent="0.15">
      <c r="A371" t="s">
        <v>72</v>
      </c>
      <c r="B371" t="s">
        <v>7523</v>
      </c>
      <c r="C371" t="s">
        <v>74</v>
      </c>
      <c r="D371" t="s">
        <v>74</v>
      </c>
      <c r="E371" t="s">
        <v>74</v>
      </c>
      <c r="F371" t="s">
        <v>7524</v>
      </c>
      <c r="G371" t="s">
        <v>74</v>
      </c>
      <c r="H371" t="s">
        <v>74</v>
      </c>
      <c r="I371" t="s">
        <v>7525</v>
      </c>
      <c r="J371" t="s">
        <v>2180</v>
      </c>
      <c r="K371" t="s">
        <v>74</v>
      </c>
      <c r="L371" t="s">
        <v>74</v>
      </c>
      <c r="M371" t="s">
        <v>78</v>
      </c>
      <c r="N371" t="s">
        <v>79</v>
      </c>
      <c r="O371" t="s">
        <v>74</v>
      </c>
      <c r="P371" t="s">
        <v>74</v>
      </c>
      <c r="Q371" t="s">
        <v>74</v>
      </c>
      <c r="R371" t="s">
        <v>74</v>
      </c>
      <c r="S371" t="s">
        <v>74</v>
      </c>
      <c r="T371" t="s">
        <v>74</v>
      </c>
      <c r="U371" t="s">
        <v>7526</v>
      </c>
      <c r="V371" t="s">
        <v>7527</v>
      </c>
      <c r="W371" t="s">
        <v>7528</v>
      </c>
      <c r="X371" t="s">
        <v>7529</v>
      </c>
      <c r="Y371" t="s">
        <v>7530</v>
      </c>
      <c r="Z371" t="s">
        <v>7531</v>
      </c>
      <c r="AA371" t="s">
        <v>7532</v>
      </c>
      <c r="AB371" t="s">
        <v>7533</v>
      </c>
      <c r="AC371" t="s">
        <v>7534</v>
      </c>
      <c r="AD371" t="s">
        <v>7535</v>
      </c>
      <c r="AE371" t="s">
        <v>7536</v>
      </c>
      <c r="AF371" t="s">
        <v>74</v>
      </c>
      <c r="AG371">
        <v>65</v>
      </c>
      <c r="AH371">
        <v>61</v>
      </c>
      <c r="AI371">
        <v>63</v>
      </c>
      <c r="AJ371">
        <v>0</v>
      </c>
      <c r="AK371">
        <v>31</v>
      </c>
      <c r="AL371" t="s">
        <v>2192</v>
      </c>
      <c r="AM371" t="s">
        <v>2193</v>
      </c>
      <c r="AN371" t="s">
        <v>6403</v>
      </c>
      <c r="AO371" t="s">
        <v>2195</v>
      </c>
      <c r="AP371" t="s">
        <v>2196</v>
      </c>
      <c r="AQ371" t="s">
        <v>74</v>
      </c>
      <c r="AR371" t="s">
        <v>2197</v>
      </c>
      <c r="AS371" t="s">
        <v>2198</v>
      </c>
      <c r="AT371" t="s">
        <v>5327</v>
      </c>
      <c r="AU371">
        <v>2015</v>
      </c>
      <c r="AV371">
        <v>28</v>
      </c>
      <c r="AW371">
        <v>8</v>
      </c>
      <c r="AX371" t="s">
        <v>74</v>
      </c>
      <c r="AY371" t="s">
        <v>74</v>
      </c>
      <c r="AZ371" t="s">
        <v>74</v>
      </c>
      <c r="BA371" t="s">
        <v>74</v>
      </c>
      <c r="BB371">
        <v>2917</v>
      </c>
      <c r="BC371">
        <v>2944</v>
      </c>
      <c r="BD371" t="s">
        <v>74</v>
      </c>
      <c r="BE371" t="s">
        <v>7537</v>
      </c>
      <c r="BF371" t="str">
        <f>HYPERLINK("http://dx.doi.org/10.1175/JCLI-D-14-00381.1","http://dx.doi.org/10.1175/JCLI-D-14-00381.1")</f>
        <v>http://dx.doi.org/10.1175/JCLI-D-14-00381.1</v>
      </c>
      <c r="BG371" t="s">
        <v>74</v>
      </c>
      <c r="BH371" t="s">
        <v>74</v>
      </c>
      <c r="BI371">
        <v>28</v>
      </c>
      <c r="BJ371" t="s">
        <v>406</v>
      </c>
      <c r="BK371" t="s">
        <v>100</v>
      </c>
      <c r="BL371" t="s">
        <v>406</v>
      </c>
      <c r="BM371" t="s">
        <v>7538</v>
      </c>
      <c r="BN371" t="s">
        <v>74</v>
      </c>
      <c r="BO371" t="s">
        <v>408</v>
      </c>
      <c r="BP371" t="s">
        <v>74</v>
      </c>
      <c r="BQ371" t="s">
        <v>74</v>
      </c>
      <c r="BR371" t="s">
        <v>104</v>
      </c>
      <c r="BS371" t="s">
        <v>7539</v>
      </c>
      <c r="BT371" t="str">
        <f>HYPERLINK("https%3A%2F%2Fwww.webofscience.com%2Fwos%2Fwoscc%2Ffull-record%2FWOS:000352487300001","View Full Record in Web of Science")</f>
        <v>View Full Record in Web of Science</v>
      </c>
    </row>
    <row r="372" spans="1:72" x14ac:dyDescent="0.15">
      <c r="A372" t="s">
        <v>72</v>
      </c>
      <c r="B372" t="s">
        <v>7540</v>
      </c>
      <c r="C372" t="s">
        <v>74</v>
      </c>
      <c r="D372" t="s">
        <v>74</v>
      </c>
      <c r="E372" t="s">
        <v>74</v>
      </c>
      <c r="F372" t="s">
        <v>7541</v>
      </c>
      <c r="G372" t="s">
        <v>74</v>
      </c>
      <c r="H372" t="s">
        <v>74</v>
      </c>
      <c r="I372" t="s">
        <v>7542</v>
      </c>
      <c r="J372" t="s">
        <v>2180</v>
      </c>
      <c r="K372" t="s">
        <v>74</v>
      </c>
      <c r="L372" t="s">
        <v>74</v>
      </c>
      <c r="M372" t="s">
        <v>78</v>
      </c>
      <c r="N372" t="s">
        <v>79</v>
      </c>
      <c r="O372" t="s">
        <v>74</v>
      </c>
      <c r="P372" t="s">
        <v>74</v>
      </c>
      <c r="Q372" t="s">
        <v>74</v>
      </c>
      <c r="R372" t="s">
        <v>74</v>
      </c>
      <c r="S372" t="s">
        <v>74</v>
      </c>
      <c r="T372" t="s">
        <v>74</v>
      </c>
      <c r="U372" t="s">
        <v>7543</v>
      </c>
      <c r="V372" t="s">
        <v>7544</v>
      </c>
      <c r="W372" t="s">
        <v>7545</v>
      </c>
      <c r="X372" t="s">
        <v>7546</v>
      </c>
      <c r="Y372" t="s">
        <v>7547</v>
      </c>
      <c r="Z372" t="s">
        <v>7548</v>
      </c>
      <c r="AA372" t="s">
        <v>74</v>
      </c>
      <c r="AB372" t="s">
        <v>7549</v>
      </c>
      <c r="AC372" t="s">
        <v>7550</v>
      </c>
      <c r="AD372" t="s">
        <v>7551</v>
      </c>
      <c r="AE372" t="s">
        <v>7552</v>
      </c>
      <c r="AF372" t="s">
        <v>74</v>
      </c>
      <c r="AG372">
        <v>55</v>
      </c>
      <c r="AH372">
        <v>73</v>
      </c>
      <c r="AI372">
        <v>76</v>
      </c>
      <c r="AJ372">
        <v>0</v>
      </c>
      <c r="AK372">
        <v>24</v>
      </c>
      <c r="AL372" t="s">
        <v>2192</v>
      </c>
      <c r="AM372" t="s">
        <v>2193</v>
      </c>
      <c r="AN372" t="s">
        <v>2194</v>
      </c>
      <c r="AO372" t="s">
        <v>2195</v>
      </c>
      <c r="AP372" t="s">
        <v>2196</v>
      </c>
      <c r="AQ372" t="s">
        <v>74</v>
      </c>
      <c r="AR372" t="s">
        <v>2197</v>
      </c>
      <c r="AS372" t="s">
        <v>2198</v>
      </c>
      <c r="AT372" t="s">
        <v>5327</v>
      </c>
      <c r="AU372">
        <v>2015</v>
      </c>
      <c r="AV372">
        <v>28</v>
      </c>
      <c r="AW372">
        <v>8</v>
      </c>
      <c r="AX372" t="s">
        <v>74</v>
      </c>
      <c r="AY372" t="s">
        <v>74</v>
      </c>
      <c r="AZ372" t="s">
        <v>74</v>
      </c>
      <c r="BA372" t="s">
        <v>74</v>
      </c>
      <c r="BB372">
        <v>3311</v>
      </c>
      <c r="BC372">
        <v>3330</v>
      </c>
      <c r="BD372" t="s">
        <v>74</v>
      </c>
      <c r="BE372" t="s">
        <v>7553</v>
      </c>
      <c r="BF372" t="str">
        <f>HYPERLINK("http://dx.doi.org/10.1175/JCLI-D-14-00458.1","http://dx.doi.org/10.1175/JCLI-D-14-00458.1")</f>
        <v>http://dx.doi.org/10.1175/JCLI-D-14-00458.1</v>
      </c>
      <c r="BG372" t="s">
        <v>74</v>
      </c>
      <c r="BH372" t="s">
        <v>74</v>
      </c>
      <c r="BI372">
        <v>20</v>
      </c>
      <c r="BJ372" t="s">
        <v>406</v>
      </c>
      <c r="BK372" t="s">
        <v>100</v>
      </c>
      <c r="BL372" t="s">
        <v>406</v>
      </c>
      <c r="BM372" t="s">
        <v>7538</v>
      </c>
      <c r="BN372" t="s">
        <v>74</v>
      </c>
      <c r="BO372" t="s">
        <v>3228</v>
      </c>
      <c r="BP372" t="s">
        <v>74</v>
      </c>
      <c r="BQ372" t="s">
        <v>74</v>
      </c>
      <c r="BR372" t="s">
        <v>104</v>
      </c>
      <c r="BS372" t="s">
        <v>7554</v>
      </c>
      <c r="BT372" t="str">
        <f>HYPERLINK("https%3A%2F%2Fwww.webofscience.com%2Fwos%2Fwoscc%2Ffull-record%2FWOS:000352487300022","View Full Record in Web of Science")</f>
        <v>View Full Record in Web of Science</v>
      </c>
    </row>
    <row r="373" spans="1:72" x14ac:dyDescent="0.15">
      <c r="A373" t="s">
        <v>72</v>
      </c>
      <c r="B373" t="s">
        <v>7555</v>
      </c>
      <c r="C373" t="s">
        <v>74</v>
      </c>
      <c r="D373" t="s">
        <v>74</v>
      </c>
      <c r="E373" t="s">
        <v>74</v>
      </c>
      <c r="F373" t="s">
        <v>7556</v>
      </c>
      <c r="G373" t="s">
        <v>74</v>
      </c>
      <c r="H373" t="s">
        <v>74</v>
      </c>
      <c r="I373" t="s">
        <v>7557</v>
      </c>
      <c r="J373" t="s">
        <v>7558</v>
      </c>
      <c r="K373" t="s">
        <v>74</v>
      </c>
      <c r="L373" t="s">
        <v>74</v>
      </c>
      <c r="M373" t="s">
        <v>78</v>
      </c>
      <c r="N373" t="s">
        <v>79</v>
      </c>
      <c r="O373" t="s">
        <v>74</v>
      </c>
      <c r="P373" t="s">
        <v>74</v>
      </c>
      <c r="Q373" t="s">
        <v>74</v>
      </c>
      <c r="R373" t="s">
        <v>74</v>
      </c>
      <c r="S373" t="s">
        <v>74</v>
      </c>
      <c r="T373" t="s">
        <v>7559</v>
      </c>
      <c r="U373" t="s">
        <v>7560</v>
      </c>
      <c r="V373" t="s">
        <v>7561</v>
      </c>
      <c r="W373" t="s">
        <v>7562</v>
      </c>
      <c r="X373" t="s">
        <v>7563</v>
      </c>
      <c r="Y373" t="s">
        <v>7564</v>
      </c>
      <c r="Z373" t="s">
        <v>7565</v>
      </c>
      <c r="AA373" t="s">
        <v>7566</v>
      </c>
      <c r="AB373" t="s">
        <v>7567</v>
      </c>
      <c r="AC373" t="s">
        <v>7568</v>
      </c>
      <c r="AD373" t="s">
        <v>7569</v>
      </c>
      <c r="AE373" t="s">
        <v>7570</v>
      </c>
      <c r="AF373" t="s">
        <v>74</v>
      </c>
      <c r="AG373">
        <v>67</v>
      </c>
      <c r="AH373">
        <v>38</v>
      </c>
      <c r="AI373">
        <v>42</v>
      </c>
      <c r="AJ373">
        <v>0</v>
      </c>
      <c r="AK373">
        <v>31</v>
      </c>
      <c r="AL373" t="s">
        <v>266</v>
      </c>
      <c r="AM373" t="s">
        <v>267</v>
      </c>
      <c r="AN373" t="s">
        <v>268</v>
      </c>
      <c r="AO373" t="s">
        <v>7571</v>
      </c>
      <c r="AP373" t="s">
        <v>7572</v>
      </c>
      <c r="AQ373" t="s">
        <v>74</v>
      </c>
      <c r="AR373" t="s">
        <v>7573</v>
      </c>
      <c r="AS373" t="s">
        <v>7574</v>
      </c>
      <c r="AT373" t="s">
        <v>5327</v>
      </c>
      <c r="AU373">
        <v>2015</v>
      </c>
      <c r="AV373">
        <v>120</v>
      </c>
      <c r="AW373">
        <v>4</v>
      </c>
      <c r="AX373" t="s">
        <v>74</v>
      </c>
      <c r="AY373" t="s">
        <v>74</v>
      </c>
      <c r="AZ373" t="s">
        <v>74</v>
      </c>
      <c r="BA373" t="s">
        <v>74</v>
      </c>
      <c r="BB373">
        <v>655</v>
      </c>
      <c r="BC373">
        <v>670</v>
      </c>
      <c r="BD373" t="s">
        <v>74</v>
      </c>
      <c r="BE373" t="s">
        <v>7575</v>
      </c>
      <c r="BF373" t="str">
        <f>HYPERLINK("http://dx.doi.org/10.1002/2014JF003291","http://dx.doi.org/10.1002/2014JF003291")</f>
        <v>http://dx.doi.org/10.1002/2014JF003291</v>
      </c>
      <c r="BG373" t="s">
        <v>74</v>
      </c>
      <c r="BH373" t="s">
        <v>74</v>
      </c>
      <c r="BI373">
        <v>16</v>
      </c>
      <c r="BJ373" t="s">
        <v>219</v>
      </c>
      <c r="BK373" t="s">
        <v>100</v>
      </c>
      <c r="BL373" t="s">
        <v>220</v>
      </c>
      <c r="BM373" t="s">
        <v>7576</v>
      </c>
      <c r="BN373" t="s">
        <v>74</v>
      </c>
      <c r="BO373" t="s">
        <v>733</v>
      </c>
      <c r="BP373" t="s">
        <v>74</v>
      </c>
      <c r="BQ373" t="s">
        <v>74</v>
      </c>
      <c r="BR373" t="s">
        <v>104</v>
      </c>
      <c r="BS373" t="s">
        <v>7577</v>
      </c>
      <c r="BT373" t="str">
        <f>HYPERLINK("https%3A%2F%2Fwww.webofscience.com%2Fwos%2Fwoscc%2Ffull-record%2FWOS:000354385200001","View Full Record in Web of Science")</f>
        <v>View Full Record in Web of Science</v>
      </c>
    </row>
    <row r="374" spans="1:72" x14ac:dyDescent="0.15">
      <c r="A374" t="s">
        <v>72</v>
      </c>
      <c r="B374" t="s">
        <v>7578</v>
      </c>
      <c r="C374" t="s">
        <v>74</v>
      </c>
      <c r="D374" t="s">
        <v>74</v>
      </c>
      <c r="E374" t="s">
        <v>74</v>
      </c>
      <c r="F374" t="s">
        <v>7579</v>
      </c>
      <c r="G374" t="s">
        <v>74</v>
      </c>
      <c r="H374" t="s">
        <v>74</v>
      </c>
      <c r="I374" t="s">
        <v>7580</v>
      </c>
      <c r="J374" t="s">
        <v>3338</v>
      </c>
      <c r="K374" t="s">
        <v>74</v>
      </c>
      <c r="L374" t="s">
        <v>74</v>
      </c>
      <c r="M374" t="s">
        <v>78</v>
      </c>
      <c r="N374" t="s">
        <v>79</v>
      </c>
      <c r="O374" t="s">
        <v>74</v>
      </c>
      <c r="P374" t="s">
        <v>74</v>
      </c>
      <c r="Q374" t="s">
        <v>74</v>
      </c>
      <c r="R374" t="s">
        <v>74</v>
      </c>
      <c r="S374" t="s">
        <v>74</v>
      </c>
      <c r="T374" t="s">
        <v>7581</v>
      </c>
      <c r="U374" t="s">
        <v>7582</v>
      </c>
      <c r="V374" t="s">
        <v>7583</v>
      </c>
      <c r="W374" t="s">
        <v>7584</v>
      </c>
      <c r="X374" t="s">
        <v>7585</v>
      </c>
      <c r="Y374" t="s">
        <v>7586</v>
      </c>
      <c r="Z374" t="s">
        <v>7587</v>
      </c>
      <c r="AA374" t="s">
        <v>7588</v>
      </c>
      <c r="AB374" t="s">
        <v>7589</v>
      </c>
      <c r="AC374" t="s">
        <v>7590</v>
      </c>
      <c r="AD374" t="s">
        <v>7591</v>
      </c>
      <c r="AE374" t="s">
        <v>7592</v>
      </c>
      <c r="AF374" t="s">
        <v>74</v>
      </c>
      <c r="AG374">
        <v>43</v>
      </c>
      <c r="AH374">
        <v>131</v>
      </c>
      <c r="AI374">
        <v>138</v>
      </c>
      <c r="AJ374">
        <v>2</v>
      </c>
      <c r="AK374">
        <v>17</v>
      </c>
      <c r="AL374" t="s">
        <v>266</v>
      </c>
      <c r="AM374" t="s">
        <v>267</v>
      </c>
      <c r="AN374" t="s">
        <v>268</v>
      </c>
      <c r="AO374" t="s">
        <v>3350</v>
      </c>
      <c r="AP374" t="s">
        <v>3351</v>
      </c>
      <c r="AQ374" t="s">
        <v>74</v>
      </c>
      <c r="AR374" t="s">
        <v>3352</v>
      </c>
      <c r="AS374" t="s">
        <v>3353</v>
      </c>
      <c r="AT374" t="s">
        <v>5327</v>
      </c>
      <c r="AU374">
        <v>2015</v>
      </c>
      <c r="AV374">
        <v>120</v>
      </c>
      <c r="AW374">
        <v>4</v>
      </c>
      <c r="AX374" t="s">
        <v>74</v>
      </c>
      <c r="AY374" t="s">
        <v>74</v>
      </c>
      <c r="AZ374" t="s">
        <v>74</v>
      </c>
      <c r="BA374" t="s">
        <v>74</v>
      </c>
      <c r="BB374">
        <v>2754</v>
      </c>
      <c r="BC374">
        <v>2766</v>
      </c>
      <c r="BD374" t="s">
        <v>74</v>
      </c>
      <c r="BE374" t="s">
        <v>7593</v>
      </c>
      <c r="BF374" t="str">
        <f>HYPERLINK("http://dx.doi.org/10.1002/2014JA020690","http://dx.doi.org/10.1002/2014JA020690")</f>
        <v>http://dx.doi.org/10.1002/2014JA020690</v>
      </c>
      <c r="BG374" t="s">
        <v>74</v>
      </c>
      <c r="BH374" t="s">
        <v>74</v>
      </c>
      <c r="BI374">
        <v>13</v>
      </c>
      <c r="BJ374" t="s">
        <v>246</v>
      </c>
      <c r="BK374" t="s">
        <v>100</v>
      </c>
      <c r="BL374" t="s">
        <v>246</v>
      </c>
      <c r="BM374" t="s">
        <v>5554</v>
      </c>
      <c r="BN374" t="s">
        <v>74</v>
      </c>
      <c r="BO374" t="s">
        <v>2376</v>
      </c>
      <c r="BP374" t="s">
        <v>74</v>
      </c>
      <c r="BQ374" t="s">
        <v>74</v>
      </c>
      <c r="BR374" t="s">
        <v>104</v>
      </c>
      <c r="BS374" t="s">
        <v>7594</v>
      </c>
      <c r="BT374" t="str">
        <f>HYPERLINK("https%3A%2F%2Fwww.webofscience.com%2Fwos%2Fwoscc%2Ffull-record%2FWOS:000354894800028","View Full Record in Web of Science")</f>
        <v>View Full Record in Web of Science</v>
      </c>
    </row>
    <row r="375" spans="1:72" x14ac:dyDescent="0.15">
      <c r="A375" t="s">
        <v>72</v>
      </c>
      <c r="B375" t="s">
        <v>7595</v>
      </c>
      <c r="C375" t="s">
        <v>74</v>
      </c>
      <c r="D375" t="s">
        <v>74</v>
      </c>
      <c r="E375" t="s">
        <v>74</v>
      </c>
      <c r="F375" t="s">
        <v>7596</v>
      </c>
      <c r="G375" t="s">
        <v>74</v>
      </c>
      <c r="H375" t="s">
        <v>74</v>
      </c>
      <c r="I375" t="s">
        <v>7597</v>
      </c>
      <c r="J375" t="s">
        <v>3338</v>
      </c>
      <c r="K375" t="s">
        <v>74</v>
      </c>
      <c r="L375" t="s">
        <v>74</v>
      </c>
      <c r="M375" t="s">
        <v>78</v>
      </c>
      <c r="N375" t="s">
        <v>79</v>
      </c>
      <c r="O375" t="s">
        <v>74</v>
      </c>
      <c r="P375" t="s">
        <v>74</v>
      </c>
      <c r="Q375" t="s">
        <v>74</v>
      </c>
      <c r="R375" t="s">
        <v>74</v>
      </c>
      <c r="S375" t="s">
        <v>74</v>
      </c>
      <c r="T375" t="s">
        <v>7598</v>
      </c>
      <c r="U375" t="s">
        <v>7599</v>
      </c>
      <c r="V375" t="s">
        <v>7600</v>
      </c>
      <c r="W375" t="s">
        <v>7601</v>
      </c>
      <c r="X375" t="s">
        <v>7602</v>
      </c>
      <c r="Y375" t="s">
        <v>7603</v>
      </c>
      <c r="Z375" t="s">
        <v>7604</v>
      </c>
      <c r="AA375" t="s">
        <v>3775</v>
      </c>
      <c r="AB375" t="s">
        <v>7605</v>
      </c>
      <c r="AC375" t="s">
        <v>7606</v>
      </c>
      <c r="AD375" t="s">
        <v>7607</v>
      </c>
      <c r="AE375" t="s">
        <v>7608</v>
      </c>
      <c r="AF375" t="s">
        <v>74</v>
      </c>
      <c r="AG375">
        <v>63</v>
      </c>
      <c r="AH375">
        <v>33</v>
      </c>
      <c r="AI375">
        <v>34</v>
      </c>
      <c r="AJ375">
        <v>0</v>
      </c>
      <c r="AK375">
        <v>4</v>
      </c>
      <c r="AL375" t="s">
        <v>266</v>
      </c>
      <c r="AM375" t="s">
        <v>267</v>
      </c>
      <c r="AN375" t="s">
        <v>268</v>
      </c>
      <c r="AO375" t="s">
        <v>3350</v>
      </c>
      <c r="AP375" t="s">
        <v>3351</v>
      </c>
      <c r="AQ375" t="s">
        <v>74</v>
      </c>
      <c r="AR375" t="s">
        <v>3352</v>
      </c>
      <c r="AS375" t="s">
        <v>3353</v>
      </c>
      <c r="AT375" t="s">
        <v>5327</v>
      </c>
      <c r="AU375">
        <v>2015</v>
      </c>
      <c r="AV375">
        <v>120</v>
      </c>
      <c r="AW375">
        <v>4</v>
      </c>
      <c r="AX375" t="s">
        <v>74</v>
      </c>
      <c r="AY375" t="s">
        <v>74</v>
      </c>
      <c r="AZ375" t="s">
        <v>74</v>
      </c>
      <c r="BA375" t="s">
        <v>74</v>
      </c>
      <c r="BB375">
        <v>2993</v>
      </c>
      <c r="BC375">
        <v>3008</v>
      </c>
      <c r="BD375" t="s">
        <v>74</v>
      </c>
      <c r="BE375" t="s">
        <v>7609</v>
      </c>
      <c r="BF375" t="str">
        <f>HYPERLINK("http://dx.doi.org/10.1002/2014JA020632","http://dx.doi.org/10.1002/2014JA020632")</f>
        <v>http://dx.doi.org/10.1002/2014JA020632</v>
      </c>
      <c r="BG375" t="s">
        <v>74</v>
      </c>
      <c r="BH375" t="s">
        <v>74</v>
      </c>
      <c r="BI375">
        <v>16</v>
      </c>
      <c r="BJ375" t="s">
        <v>246</v>
      </c>
      <c r="BK375" t="s">
        <v>100</v>
      </c>
      <c r="BL375" t="s">
        <v>246</v>
      </c>
      <c r="BM375" t="s">
        <v>5554</v>
      </c>
      <c r="BN375" t="s">
        <v>74</v>
      </c>
      <c r="BO375" t="s">
        <v>2897</v>
      </c>
      <c r="BP375" t="s">
        <v>74</v>
      </c>
      <c r="BQ375" t="s">
        <v>74</v>
      </c>
      <c r="BR375" t="s">
        <v>104</v>
      </c>
      <c r="BS375" t="s">
        <v>7610</v>
      </c>
      <c r="BT375" t="str">
        <f>HYPERLINK("https%3A%2F%2Fwww.webofscience.com%2Fwos%2Fwoscc%2Ffull-record%2FWOS:000354894800045","View Full Record in Web of Science")</f>
        <v>View Full Record in Web of Science</v>
      </c>
    </row>
    <row r="376" spans="1:72" x14ac:dyDescent="0.15">
      <c r="A376" t="s">
        <v>72</v>
      </c>
      <c r="B376" t="s">
        <v>7611</v>
      </c>
      <c r="C376" t="s">
        <v>74</v>
      </c>
      <c r="D376" t="s">
        <v>74</v>
      </c>
      <c r="E376" t="s">
        <v>74</v>
      </c>
      <c r="F376" t="s">
        <v>7612</v>
      </c>
      <c r="G376" t="s">
        <v>74</v>
      </c>
      <c r="H376" t="s">
        <v>74</v>
      </c>
      <c r="I376" t="s">
        <v>7613</v>
      </c>
      <c r="J376" t="s">
        <v>7614</v>
      </c>
      <c r="K376" t="s">
        <v>74</v>
      </c>
      <c r="L376" t="s">
        <v>74</v>
      </c>
      <c r="M376" t="s">
        <v>78</v>
      </c>
      <c r="N376" t="s">
        <v>79</v>
      </c>
      <c r="O376" t="s">
        <v>74</v>
      </c>
      <c r="P376" t="s">
        <v>74</v>
      </c>
      <c r="Q376" t="s">
        <v>74</v>
      </c>
      <c r="R376" t="s">
        <v>74</v>
      </c>
      <c r="S376" t="s">
        <v>74</v>
      </c>
      <c r="T376" t="s">
        <v>74</v>
      </c>
      <c r="U376" t="s">
        <v>7615</v>
      </c>
      <c r="V376" t="s">
        <v>7616</v>
      </c>
      <c r="W376" t="s">
        <v>7617</v>
      </c>
      <c r="X376" t="s">
        <v>7618</v>
      </c>
      <c r="Y376" t="s">
        <v>7619</v>
      </c>
      <c r="Z376" t="s">
        <v>7620</v>
      </c>
      <c r="AA376" t="s">
        <v>7621</v>
      </c>
      <c r="AB376" t="s">
        <v>7622</v>
      </c>
      <c r="AC376" t="s">
        <v>7623</v>
      </c>
      <c r="AD376" t="s">
        <v>7624</v>
      </c>
      <c r="AE376" t="s">
        <v>7625</v>
      </c>
      <c r="AF376" t="s">
        <v>74</v>
      </c>
      <c r="AG376">
        <v>27</v>
      </c>
      <c r="AH376">
        <v>40</v>
      </c>
      <c r="AI376">
        <v>41</v>
      </c>
      <c r="AJ376">
        <v>1</v>
      </c>
      <c r="AK376">
        <v>70</v>
      </c>
      <c r="AL376" t="s">
        <v>646</v>
      </c>
      <c r="AM376" t="s">
        <v>267</v>
      </c>
      <c r="AN376" t="s">
        <v>647</v>
      </c>
      <c r="AO376" t="s">
        <v>7626</v>
      </c>
      <c r="AP376" t="s">
        <v>7627</v>
      </c>
      <c r="AQ376" t="s">
        <v>74</v>
      </c>
      <c r="AR376" t="s">
        <v>7628</v>
      </c>
      <c r="AS376" t="s">
        <v>7629</v>
      </c>
      <c r="AT376" t="s">
        <v>5327</v>
      </c>
      <c r="AU376">
        <v>2015</v>
      </c>
      <c r="AV376">
        <v>78</v>
      </c>
      <c r="AW376">
        <v>4</v>
      </c>
      <c r="AX376" t="s">
        <v>74</v>
      </c>
      <c r="AY376" t="s">
        <v>74</v>
      </c>
      <c r="AZ376" t="s">
        <v>74</v>
      </c>
      <c r="BA376" t="s">
        <v>74</v>
      </c>
      <c r="BB376">
        <v>919</v>
      </c>
      <c r="BC376">
        <v>923</v>
      </c>
      <c r="BD376" t="s">
        <v>74</v>
      </c>
      <c r="BE376" t="s">
        <v>7630</v>
      </c>
      <c r="BF376" t="str">
        <f>HYPERLINK("http://dx.doi.org/10.1021/np500906k","http://dx.doi.org/10.1021/np500906k")</f>
        <v>http://dx.doi.org/10.1021/np500906k</v>
      </c>
      <c r="BG376" t="s">
        <v>74</v>
      </c>
      <c r="BH376" t="s">
        <v>74</v>
      </c>
      <c r="BI376">
        <v>5</v>
      </c>
      <c r="BJ376" t="s">
        <v>7631</v>
      </c>
      <c r="BK376" t="s">
        <v>7632</v>
      </c>
      <c r="BL376" t="s">
        <v>7633</v>
      </c>
      <c r="BM376" t="s">
        <v>7634</v>
      </c>
      <c r="BN376">
        <v>25732560</v>
      </c>
      <c r="BO376" t="s">
        <v>74</v>
      </c>
      <c r="BP376" t="s">
        <v>74</v>
      </c>
      <c r="BQ376" t="s">
        <v>74</v>
      </c>
      <c r="BR376" t="s">
        <v>104</v>
      </c>
      <c r="BS376" t="s">
        <v>7635</v>
      </c>
      <c r="BT376" t="str">
        <f>HYPERLINK("https%3A%2F%2Fwww.webofscience.com%2Fwos%2Fwoscc%2Ffull-record%2FWOS:000353665100042","View Full Record in Web of Science")</f>
        <v>View Full Record in Web of Science</v>
      </c>
    </row>
    <row r="377" spans="1:72" x14ac:dyDescent="0.15">
      <c r="A377" t="s">
        <v>72</v>
      </c>
      <c r="B377" t="s">
        <v>7636</v>
      </c>
      <c r="C377" t="s">
        <v>74</v>
      </c>
      <c r="D377" t="s">
        <v>74</v>
      </c>
      <c r="E377" t="s">
        <v>74</v>
      </c>
      <c r="F377" t="s">
        <v>7637</v>
      </c>
      <c r="G377" t="s">
        <v>74</v>
      </c>
      <c r="H377" t="s">
        <v>74</v>
      </c>
      <c r="I377" t="s">
        <v>7638</v>
      </c>
      <c r="J377" t="s">
        <v>7639</v>
      </c>
      <c r="K377" t="s">
        <v>74</v>
      </c>
      <c r="L377" t="s">
        <v>74</v>
      </c>
      <c r="M377" t="s">
        <v>78</v>
      </c>
      <c r="N377" t="s">
        <v>79</v>
      </c>
      <c r="O377" t="s">
        <v>74</v>
      </c>
      <c r="P377" t="s">
        <v>74</v>
      </c>
      <c r="Q377" t="s">
        <v>74</v>
      </c>
      <c r="R377" t="s">
        <v>74</v>
      </c>
      <c r="S377" t="s">
        <v>74</v>
      </c>
      <c r="T377" t="s">
        <v>7640</v>
      </c>
      <c r="U377" t="s">
        <v>7641</v>
      </c>
      <c r="V377" t="s">
        <v>7642</v>
      </c>
      <c r="W377" t="s">
        <v>7643</v>
      </c>
      <c r="X377" t="s">
        <v>7644</v>
      </c>
      <c r="Y377" t="s">
        <v>7645</v>
      </c>
      <c r="Z377" t="s">
        <v>7646</v>
      </c>
      <c r="AA377" t="s">
        <v>7647</v>
      </c>
      <c r="AB377" t="s">
        <v>7648</v>
      </c>
      <c r="AC377" t="s">
        <v>7649</v>
      </c>
      <c r="AD377" t="s">
        <v>7650</v>
      </c>
      <c r="AE377" t="s">
        <v>7651</v>
      </c>
      <c r="AF377" t="s">
        <v>74</v>
      </c>
      <c r="AG377">
        <v>59</v>
      </c>
      <c r="AH377">
        <v>22</v>
      </c>
      <c r="AI377">
        <v>30</v>
      </c>
      <c r="AJ377">
        <v>0</v>
      </c>
      <c r="AK377">
        <v>55</v>
      </c>
      <c r="AL377" t="s">
        <v>91</v>
      </c>
      <c r="AM377" t="s">
        <v>92</v>
      </c>
      <c r="AN377" t="s">
        <v>93</v>
      </c>
      <c r="AO377" t="s">
        <v>7652</v>
      </c>
      <c r="AP377" t="s">
        <v>7653</v>
      </c>
      <c r="AQ377" t="s">
        <v>74</v>
      </c>
      <c r="AR377" t="s">
        <v>7654</v>
      </c>
      <c r="AS377" t="s">
        <v>7655</v>
      </c>
      <c r="AT377" t="s">
        <v>5327</v>
      </c>
      <c r="AU377">
        <v>2015</v>
      </c>
      <c r="AV377">
        <v>51</v>
      </c>
      <c r="AW377">
        <v>2</v>
      </c>
      <c r="AX377" t="s">
        <v>74</v>
      </c>
      <c r="AY377" t="s">
        <v>74</v>
      </c>
      <c r="AZ377" t="s">
        <v>74</v>
      </c>
      <c r="BA377" t="s">
        <v>74</v>
      </c>
      <c r="BB377">
        <v>277</v>
      </c>
      <c r="BC377">
        <v>287</v>
      </c>
      <c r="BD377" t="s">
        <v>74</v>
      </c>
      <c r="BE377" t="s">
        <v>7656</v>
      </c>
      <c r="BF377" t="str">
        <f>HYPERLINK("http://dx.doi.org/10.1111/jpy.12272","http://dx.doi.org/10.1111/jpy.12272")</f>
        <v>http://dx.doi.org/10.1111/jpy.12272</v>
      </c>
      <c r="BG377" t="s">
        <v>74</v>
      </c>
      <c r="BH377" t="s">
        <v>74</v>
      </c>
      <c r="BI377">
        <v>11</v>
      </c>
      <c r="BJ377" t="s">
        <v>7657</v>
      </c>
      <c r="BK377" t="s">
        <v>100</v>
      </c>
      <c r="BL377" t="s">
        <v>7657</v>
      </c>
      <c r="BM377" t="s">
        <v>7658</v>
      </c>
      <c r="BN377">
        <v>26986523</v>
      </c>
      <c r="BO377" t="s">
        <v>74</v>
      </c>
      <c r="BP377" t="s">
        <v>74</v>
      </c>
      <c r="BQ377" t="s">
        <v>74</v>
      </c>
      <c r="BR377" t="s">
        <v>104</v>
      </c>
      <c r="BS377" t="s">
        <v>7659</v>
      </c>
      <c r="BT377" t="str">
        <f>HYPERLINK("https%3A%2F%2Fwww.webofscience.com%2Fwos%2Fwoscc%2Ffull-record%2FWOS:000352617500008","View Full Record in Web of Science")</f>
        <v>View Full Record in Web of Science</v>
      </c>
    </row>
    <row r="378" spans="1:72" x14ac:dyDescent="0.15">
      <c r="A378" t="s">
        <v>72</v>
      </c>
      <c r="B378" t="s">
        <v>7660</v>
      </c>
      <c r="C378" t="s">
        <v>74</v>
      </c>
      <c r="D378" t="s">
        <v>74</v>
      </c>
      <c r="E378" t="s">
        <v>74</v>
      </c>
      <c r="F378" t="s">
        <v>7661</v>
      </c>
      <c r="G378" t="s">
        <v>74</v>
      </c>
      <c r="H378" t="s">
        <v>74</v>
      </c>
      <c r="I378" t="s">
        <v>7662</v>
      </c>
      <c r="J378" t="s">
        <v>2358</v>
      </c>
      <c r="K378" t="s">
        <v>74</v>
      </c>
      <c r="L378" t="s">
        <v>74</v>
      </c>
      <c r="M378" t="s">
        <v>78</v>
      </c>
      <c r="N378" t="s">
        <v>79</v>
      </c>
      <c r="O378" t="s">
        <v>74</v>
      </c>
      <c r="P378" t="s">
        <v>74</v>
      </c>
      <c r="Q378" t="s">
        <v>74</v>
      </c>
      <c r="R378" t="s">
        <v>74</v>
      </c>
      <c r="S378" t="s">
        <v>74</v>
      </c>
      <c r="T378" t="s">
        <v>74</v>
      </c>
      <c r="U378" t="s">
        <v>7663</v>
      </c>
      <c r="V378" t="s">
        <v>7664</v>
      </c>
      <c r="W378" t="s">
        <v>7665</v>
      </c>
      <c r="X378" t="s">
        <v>7666</v>
      </c>
      <c r="Y378" t="s">
        <v>7667</v>
      </c>
      <c r="Z378" t="s">
        <v>7668</v>
      </c>
      <c r="AA378" t="s">
        <v>7669</v>
      </c>
      <c r="AB378" t="s">
        <v>7670</v>
      </c>
      <c r="AC378" t="s">
        <v>7671</v>
      </c>
      <c r="AD378" t="s">
        <v>7672</v>
      </c>
      <c r="AE378" t="s">
        <v>7673</v>
      </c>
      <c r="AF378" t="s">
        <v>74</v>
      </c>
      <c r="AG378">
        <v>100</v>
      </c>
      <c r="AH378">
        <v>36</v>
      </c>
      <c r="AI378">
        <v>41</v>
      </c>
      <c r="AJ378">
        <v>0</v>
      </c>
      <c r="AK378">
        <v>17</v>
      </c>
      <c r="AL378" t="s">
        <v>2192</v>
      </c>
      <c r="AM378" t="s">
        <v>2193</v>
      </c>
      <c r="AN378" t="s">
        <v>2194</v>
      </c>
      <c r="AO378" t="s">
        <v>2370</v>
      </c>
      <c r="AP378" t="s">
        <v>2371</v>
      </c>
      <c r="AQ378" t="s">
        <v>74</v>
      </c>
      <c r="AR378" t="s">
        <v>2372</v>
      </c>
      <c r="AS378" t="s">
        <v>2373</v>
      </c>
      <c r="AT378" t="s">
        <v>5327</v>
      </c>
      <c r="AU378">
        <v>2015</v>
      </c>
      <c r="AV378">
        <v>45</v>
      </c>
      <c r="AW378">
        <v>4</v>
      </c>
      <c r="AX378" t="s">
        <v>74</v>
      </c>
      <c r="AY378" t="s">
        <v>74</v>
      </c>
      <c r="AZ378" t="s">
        <v>74</v>
      </c>
      <c r="BA378" t="s">
        <v>74</v>
      </c>
      <c r="BB378">
        <v>966</v>
      </c>
      <c r="BC378">
        <v>987</v>
      </c>
      <c r="BD378" t="s">
        <v>74</v>
      </c>
      <c r="BE378" t="s">
        <v>7674</v>
      </c>
      <c r="BF378" t="str">
        <f>HYPERLINK("http://dx.doi.org/10.1175/JPO-D-14-0110.1","http://dx.doi.org/10.1175/JPO-D-14-0110.1")</f>
        <v>http://dx.doi.org/10.1175/JPO-D-14-0110.1</v>
      </c>
      <c r="BG378" t="s">
        <v>74</v>
      </c>
      <c r="BH378" t="s">
        <v>74</v>
      </c>
      <c r="BI378">
        <v>22</v>
      </c>
      <c r="BJ378" t="s">
        <v>1540</v>
      </c>
      <c r="BK378" t="s">
        <v>100</v>
      </c>
      <c r="BL378" t="s">
        <v>1540</v>
      </c>
      <c r="BM378" t="s">
        <v>7675</v>
      </c>
      <c r="BN378" t="s">
        <v>74</v>
      </c>
      <c r="BO378" t="s">
        <v>7676</v>
      </c>
      <c r="BP378" t="s">
        <v>74</v>
      </c>
      <c r="BQ378" t="s">
        <v>74</v>
      </c>
      <c r="BR378" t="s">
        <v>104</v>
      </c>
      <c r="BS378" t="s">
        <v>7677</v>
      </c>
      <c r="BT378" t="str">
        <f>HYPERLINK("https%3A%2F%2Fwww.webofscience.com%2Fwos%2Fwoscc%2Ffull-record%2FWOS:000352542800003","View Full Record in Web of Science")</f>
        <v>View Full Record in Web of Science</v>
      </c>
    </row>
    <row r="379" spans="1:72" x14ac:dyDescent="0.15">
      <c r="A379" t="s">
        <v>72</v>
      </c>
      <c r="B379" t="s">
        <v>7678</v>
      </c>
      <c r="C379" t="s">
        <v>74</v>
      </c>
      <c r="D379" t="s">
        <v>74</v>
      </c>
      <c r="E379" t="s">
        <v>74</v>
      </c>
      <c r="F379" t="s">
        <v>7679</v>
      </c>
      <c r="G379" t="s">
        <v>74</v>
      </c>
      <c r="H379" t="s">
        <v>74</v>
      </c>
      <c r="I379" t="s">
        <v>7680</v>
      </c>
      <c r="J379" t="s">
        <v>2358</v>
      </c>
      <c r="K379" t="s">
        <v>74</v>
      </c>
      <c r="L379" t="s">
        <v>74</v>
      </c>
      <c r="M379" t="s">
        <v>78</v>
      </c>
      <c r="N379" t="s">
        <v>79</v>
      </c>
      <c r="O379" t="s">
        <v>74</v>
      </c>
      <c r="P379" t="s">
        <v>74</v>
      </c>
      <c r="Q379" t="s">
        <v>74</v>
      </c>
      <c r="R379" t="s">
        <v>74</v>
      </c>
      <c r="S379" t="s">
        <v>74</v>
      </c>
      <c r="T379" t="s">
        <v>74</v>
      </c>
      <c r="U379" t="s">
        <v>7681</v>
      </c>
      <c r="V379" t="s">
        <v>7682</v>
      </c>
      <c r="W379" t="s">
        <v>7683</v>
      </c>
      <c r="X379" t="s">
        <v>7684</v>
      </c>
      <c r="Y379" t="s">
        <v>7685</v>
      </c>
      <c r="Z379" t="s">
        <v>7686</v>
      </c>
      <c r="AA379" t="s">
        <v>7687</v>
      </c>
      <c r="AB379" t="s">
        <v>7688</v>
      </c>
      <c r="AC379" t="s">
        <v>7689</v>
      </c>
      <c r="AD379" t="s">
        <v>7690</v>
      </c>
      <c r="AE379" t="s">
        <v>7691</v>
      </c>
      <c r="AF379" t="s">
        <v>74</v>
      </c>
      <c r="AG379">
        <v>60</v>
      </c>
      <c r="AH379">
        <v>43</v>
      </c>
      <c r="AI379">
        <v>49</v>
      </c>
      <c r="AJ379">
        <v>7</v>
      </c>
      <c r="AK379">
        <v>35</v>
      </c>
      <c r="AL379" t="s">
        <v>2192</v>
      </c>
      <c r="AM379" t="s">
        <v>2193</v>
      </c>
      <c r="AN379" t="s">
        <v>2194</v>
      </c>
      <c r="AO379" t="s">
        <v>2370</v>
      </c>
      <c r="AP379" t="s">
        <v>2371</v>
      </c>
      <c r="AQ379" t="s">
        <v>74</v>
      </c>
      <c r="AR379" t="s">
        <v>2372</v>
      </c>
      <c r="AS379" t="s">
        <v>2373</v>
      </c>
      <c r="AT379" t="s">
        <v>5327</v>
      </c>
      <c r="AU379">
        <v>2015</v>
      </c>
      <c r="AV379">
        <v>45</v>
      </c>
      <c r="AW379">
        <v>4</v>
      </c>
      <c r="AX379" t="s">
        <v>74</v>
      </c>
      <c r="AY379" t="s">
        <v>74</v>
      </c>
      <c r="AZ379" t="s">
        <v>74</v>
      </c>
      <c r="BA379" t="s">
        <v>74</v>
      </c>
      <c r="BB379">
        <v>1051</v>
      </c>
      <c r="BC379">
        <v>1067</v>
      </c>
      <c r="BD379" t="s">
        <v>74</v>
      </c>
      <c r="BE379" t="s">
        <v>7692</v>
      </c>
      <c r="BF379" t="str">
        <f>HYPERLINK("http://dx.doi.org/10.1175/JPO-D-14-0053.1","http://dx.doi.org/10.1175/JPO-D-14-0053.1")</f>
        <v>http://dx.doi.org/10.1175/JPO-D-14-0053.1</v>
      </c>
      <c r="BG379" t="s">
        <v>74</v>
      </c>
      <c r="BH379" t="s">
        <v>74</v>
      </c>
      <c r="BI379">
        <v>17</v>
      </c>
      <c r="BJ379" t="s">
        <v>1540</v>
      </c>
      <c r="BK379" t="s">
        <v>100</v>
      </c>
      <c r="BL379" t="s">
        <v>1540</v>
      </c>
      <c r="BM379" t="s">
        <v>7675</v>
      </c>
      <c r="BN379" t="s">
        <v>74</v>
      </c>
      <c r="BO379" t="s">
        <v>715</v>
      </c>
      <c r="BP379" t="s">
        <v>74</v>
      </c>
      <c r="BQ379" t="s">
        <v>74</v>
      </c>
      <c r="BR379" t="s">
        <v>104</v>
      </c>
      <c r="BS379" t="s">
        <v>7693</v>
      </c>
      <c r="BT379" t="str">
        <f>HYPERLINK("https%3A%2F%2Fwww.webofscience.com%2Fwos%2Fwoscc%2Ffull-record%2FWOS:000352542800007","View Full Record in Web of Science")</f>
        <v>View Full Record in Web of Science</v>
      </c>
    </row>
    <row r="380" spans="1:72" x14ac:dyDescent="0.15">
      <c r="A380" t="s">
        <v>72</v>
      </c>
      <c r="B380" t="s">
        <v>7694</v>
      </c>
      <c r="C380" t="s">
        <v>74</v>
      </c>
      <c r="D380" t="s">
        <v>74</v>
      </c>
      <c r="E380" t="s">
        <v>74</v>
      </c>
      <c r="F380" t="s">
        <v>7695</v>
      </c>
      <c r="G380" t="s">
        <v>74</v>
      </c>
      <c r="H380" t="s">
        <v>74</v>
      </c>
      <c r="I380" t="s">
        <v>7696</v>
      </c>
      <c r="J380" t="s">
        <v>2358</v>
      </c>
      <c r="K380" t="s">
        <v>74</v>
      </c>
      <c r="L380" t="s">
        <v>74</v>
      </c>
      <c r="M380" t="s">
        <v>78</v>
      </c>
      <c r="N380" t="s">
        <v>79</v>
      </c>
      <c r="O380" t="s">
        <v>74</v>
      </c>
      <c r="P380" t="s">
        <v>74</v>
      </c>
      <c r="Q380" t="s">
        <v>74</v>
      </c>
      <c r="R380" t="s">
        <v>74</v>
      </c>
      <c r="S380" t="s">
        <v>74</v>
      </c>
      <c r="T380" t="s">
        <v>74</v>
      </c>
      <c r="U380" t="s">
        <v>7697</v>
      </c>
      <c r="V380" t="s">
        <v>7698</v>
      </c>
      <c r="W380" t="s">
        <v>7699</v>
      </c>
      <c r="X380" t="s">
        <v>7700</v>
      </c>
      <c r="Y380" t="s">
        <v>7701</v>
      </c>
      <c r="Z380" t="s">
        <v>7702</v>
      </c>
      <c r="AA380" t="s">
        <v>7703</v>
      </c>
      <c r="AB380" t="s">
        <v>7704</v>
      </c>
      <c r="AC380" t="s">
        <v>7705</v>
      </c>
      <c r="AD380" t="s">
        <v>7706</v>
      </c>
      <c r="AE380" t="s">
        <v>7707</v>
      </c>
      <c r="AF380" t="s">
        <v>74</v>
      </c>
      <c r="AG380">
        <v>60</v>
      </c>
      <c r="AH380">
        <v>23</v>
      </c>
      <c r="AI380">
        <v>25</v>
      </c>
      <c r="AJ380">
        <v>3</v>
      </c>
      <c r="AK380">
        <v>31</v>
      </c>
      <c r="AL380" t="s">
        <v>2192</v>
      </c>
      <c r="AM380" t="s">
        <v>2193</v>
      </c>
      <c r="AN380" t="s">
        <v>2194</v>
      </c>
      <c r="AO380" t="s">
        <v>2370</v>
      </c>
      <c r="AP380" t="s">
        <v>2371</v>
      </c>
      <c r="AQ380" t="s">
        <v>74</v>
      </c>
      <c r="AR380" t="s">
        <v>2372</v>
      </c>
      <c r="AS380" t="s">
        <v>2373</v>
      </c>
      <c r="AT380" t="s">
        <v>5327</v>
      </c>
      <c r="AU380">
        <v>2015</v>
      </c>
      <c r="AV380">
        <v>45</v>
      </c>
      <c r="AW380">
        <v>4</v>
      </c>
      <c r="AX380" t="s">
        <v>74</v>
      </c>
      <c r="AY380" t="s">
        <v>74</v>
      </c>
      <c r="AZ380" t="s">
        <v>74</v>
      </c>
      <c r="BA380" t="s">
        <v>74</v>
      </c>
      <c r="BB380">
        <v>1068</v>
      </c>
      <c r="BC380">
        <v>1085</v>
      </c>
      <c r="BD380" t="s">
        <v>74</v>
      </c>
      <c r="BE380" t="s">
        <v>7708</v>
      </c>
      <c r="BF380" t="str">
        <f>HYPERLINK("http://dx.doi.org/10.1175/JPO-D-14-0103.1","http://dx.doi.org/10.1175/JPO-D-14-0103.1")</f>
        <v>http://dx.doi.org/10.1175/JPO-D-14-0103.1</v>
      </c>
      <c r="BG380" t="s">
        <v>74</v>
      </c>
      <c r="BH380" t="s">
        <v>74</v>
      </c>
      <c r="BI380">
        <v>18</v>
      </c>
      <c r="BJ380" t="s">
        <v>1540</v>
      </c>
      <c r="BK380" t="s">
        <v>100</v>
      </c>
      <c r="BL380" t="s">
        <v>1540</v>
      </c>
      <c r="BM380" t="s">
        <v>7675</v>
      </c>
      <c r="BN380" t="s">
        <v>74</v>
      </c>
      <c r="BO380" t="s">
        <v>408</v>
      </c>
      <c r="BP380" t="s">
        <v>74</v>
      </c>
      <c r="BQ380" t="s">
        <v>74</v>
      </c>
      <c r="BR380" t="s">
        <v>104</v>
      </c>
      <c r="BS380" t="s">
        <v>7709</v>
      </c>
      <c r="BT380" t="str">
        <f>HYPERLINK("https%3A%2F%2Fwww.webofscience.com%2Fwos%2Fwoscc%2Ffull-record%2FWOS:000352542800008","View Full Record in Web of Science")</f>
        <v>View Full Record in Web of Science</v>
      </c>
    </row>
    <row r="381" spans="1:72" x14ac:dyDescent="0.15">
      <c r="A381" t="s">
        <v>72</v>
      </c>
      <c r="B381" t="s">
        <v>7710</v>
      </c>
      <c r="C381" t="s">
        <v>74</v>
      </c>
      <c r="D381" t="s">
        <v>74</v>
      </c>
      <c r="E381" t="s">
        <v>74</v>
      </c>
      <c r="F381" t="s">
        <v>7711</v>
      </c>
      <c r="G381" t="s">
        <v>74</v>
      </c>
      <c r="H381" t="s">
        <v>74</v>
      </c>
      <c r="I381" t="s">
        <v>7712</v>
      </c>
      <c r="J381" t="s">
        <v>2358</v>
      </c>
      <c r="K381" t="s">
        <v>74</v>
      </c>
      <c r="L381" t="s">
        <v>74</v>
      </c>
      <c r="M381" t="s">
        <v>78</v>
      </c>
      <c r="N381" t="s">
        <v>79</v>
      </c>
      <c r="O381" t="s">
        <v>74</v>
      </c>
      <c r="P381" t="s">
        <v>74</v>
      </c>
      <c r="Q381" t="s">
        <v>74</v>
      </c>
      <c r="R381" t="s">
        <v>74</v>
      </c>
      <c r="S381" t="s">
        <v>74</v>
      </c>
      <c r="T381" t="s">
        <v>74</v>
      </c>
      <c r="U381" t="s">
        <v>7713</v>
      </c>
      <c r="V381" t="s">
        <v>7714</v>
      </c>
      <c r="W381" t="s">
        <v>7715</v>
      </c>
      <c r="X381" t="s">
        <v>7716</v>
      </c>
      <c r="Y381" t="s">
        <v>7717</v>
      </c>
      <c r="Z381" t="s">
        <v>7718</v>
      </c>
      <c r="AA381" t="s">
        <v>7719</v>
      </c>
      <c r="AB381" t="s">
        <v>7720</v>
      </c>
      <c r="AC381" t="s">
        <v>7721</v>
      </c>
      <c r="AD381" t="s">
        <v>713</v>
      </c>
      <c r="AE381" t="s">
        <v>74</v>
      </c>
      <c r="AF381" t="s">
        <v>74</v>
      </c>
      <c r="AG381">
        <v>33</v>
      </c>
      <c r="AH381">
        <v>11</v>
      </c>
      <c r="AI381">
        <v>11</v>
      </c>
      <c r="AJ381">
        <v>2</v>
      </c>
      <c r="AK381">
        <v>14</v>
      </c>
      <c r="AL381" t="s">
        <v>2192</v>
      </c>
      <c r="AM381" t="s">
        <v>2193</v>
      </c>
      <c r="AN381" t="s">
        <v>2194</v>
      </c>
      <c r="AO381" t="s">
        <v>2370</v>
      </c>
      <c r="AP381" t="s">
        <v>2371</v>
      </c>
      <c r="AQ381" t="s">
        <v>74</v>
      </c>
      <c r="AR381" t="s">
        <v>2372</v>
      </c>
      <c r="AS381" t="s">
        <v>2373</v>
      </c>
      <c r="AT381" t="s">
        <v>5327</v>
      </c>
      <c r="AU381">
        <v>2015</v>
      </c>
      <c r="AV381">
        <v>45</v>
      </c>
      <c r="AW381">
        <v>4</v>
      </c>
      <c r="AX381" t="s">
        <v>74</v>
      </c>
      <c r="AY381" t="s">
        <v>74</v>
      </c>
      <c r="AZ381" t="s">
        <v>74</v>
      </c>
      <c r="BA381" t="s">
        <v>74</v>
      </c>
      <c r="BB381">
        <v>1121</v>
      </c>
      <c r="BC381">
        <v>1138</v>
      </c>
      <c r="BD381" t="s">
        <v>74</v>
      </c>
      <c r="BE381" t="s">
        <v>7722</v>
      </c>
      <c r="BF381" t="str">
        <f>HYPERLINK("http://dx.doi.org/10.1175/JPO-D-14-0159.1","http://dx.doi.org/10.1175/JPO-D-14-0159.1")</f>
        <v>http://dx.doi.org/10.1175/JPO-D-14-0159.1</v>
      </c>
      <c r="BG381" t="s">
        <v>74</v>
      </c>
      <c r="BH381" t="s">
        <v>74</v>
      </c>
      <c r="BI381">
        <v>18</v>
      </c>
      <c r="BJ381" t="s">
        <v>1540</v>
      </c>
      <c r="BK381" t="s">
        <v>100</v>
      </c>
      <c r="BL381" t="s">
        <v>1540</v>
      </c>
      <c r="BM381" t="s">
        <v>7675</v>
      </c>
      <c r="BN381" t="s">
        <v>74</v>
      </c>
      <c r="BO381" t="s">
        <v>408</v>
      </c>
      <c r="BP381" t="s">
        <v>74</v>
      </c>
      <c r="BQ381" t="s">
        <v>74</v>
      </c>
      <c r="BR381" t="s">
        <v>104</v>
      </c>
      <c r="BS381" t="s">
        <v>7723</v>
      </c>
      <c r="BT381" t="str">
        <f>HYPERLINK("https%3A%2F%2Fwww.webofscience.com%2Fwos%2Fwoscc%2Ffull-record%2FWOS:000352542800011","View Full Record in Web of Science")</f>
        <v>View Full Record in Web of Science</v>
      </c>
    </row>
    <row r="382" spans="1:72" x14ac:dyDescent="0.15">
      <c r="A382" t="s">
        <v>72</v>
      </c>
      <c r="B382" t="s">
        <v>7724</v>
      </c>
      <c r="C382" t="s">
        <v>74</v>
      </c>
      <c r="D382" t="s">
        <v>74</v>
      </c>
      <c r="E382" t="s">
        <v>74</v>
      </c>
      <c r="F382" t="s">
        <v>7725</v>
      </c>
      <c r="G382" t="s">
        <v>74</v>
      </c>
      <c r="H382" t="s">
        <v>74</v>
      </c>
      <c r="I382" t="s">
        <v>7726</v>
      </c>
      <c r="J382" t="s">
        <v>6081</v>
      </c>
      <c r="K382" t="s">
        <v>74</v>
      </c>
      <c r="L382" t="s">
        <v>74</v>
      </c>
      <c r="M382" t="s">
        <v>78</v>
      </c>
      <c r="N382" t="s">
        <v>79</v>
      </c>
      <c r="O382" t="s">
        <v>74</v>
      </c>
      <c r="P382" t="s">
        <v>74</v>
      </c>
      <c r="Q382" t="s">
        <v>74</v>
      </c>
      <c r="R382" t="s">
        <v>74</v>
      </c>
      <c r="S382" t="s">
        <v>74</v>
      </c>
      <c r="T382" t="s">
        <v>7727</v>
      </c>
      <c r="U382" t="s">
        <v>7728</v>
      </c>
      <c r="V382" t="s">
        <v>7729</v>
      </c>
      <c r="W382" t="s">
        <v>7730</v>
      </c>
      <c r="X382" t="s">
        <v>4977</v>
      </c>
      <c r="Y382" t="s">
        <v>7731</v>
      </c>
      <c r="Z382" t="s">
        <v>7732</v>
      </c>
      <c r="AA382" t="s">
        <v>7733</v>
      </c>
      <c r="AB382" t="s">
        <v>7734</v>
      </c>
      <c r="AC382" t="s">
        <v>7735</v>
      </c>
      <c r="AD382" t="s">
        <v>7736</v>
      </c>
      <c r="AE382" t="s">
        <v>7737</v>
      </c>
      <c r="AF382" t="s">
        <v>74</v>
      </c>
      <c r="AG382">
        <v>66</v>
      </c>
      <c r="AH382">
        <v>30</v>
      </c>
      <c r="AI382">
        <v>32</v>
      </c>
      <c r="AJ382">
        <v>2</v>
      </c>
      <c r="AK382">
        <v>30</v>
      </c>
      <c r="AL382" t="s">
        <v>815</v>
      </c>
      <c r="AM382" t="s">
        <v>816</v>
      </c>
      <c r="AN382" t="s">
        <v>817</v>
      </c>
      <c r="AO382" t="s">
        <v>6093</v>
      </c>
      <c r="AP382" t="s">
        <v>6094</v>
      </c>
      <c r="AQ382" t="s">
        <v>74</v>
      </c>
      <c r="AR382" t="s">
        <v>6095</v>
      </c>
      <c r="AS382" t="s">
        <v>6096</v>
      </c>
      <c r="AT382" t="s">
        <v>5327</v>
      </c>
      <c r="AU382">
        <v>2015</v>
      </c>
      <c r="AV382">
        <v>20</v>
      </c>
      <c r="AW382" t="s">
        <v>74</v>
      </c>
      <c r="AX382" t="s">
        <v>74</v>
      </c>
      <c r="AY382" t="s">
        <v>74</v>
      </c>
      <c r="AZ382" t="s">
        <v>74</v>
      </c>
      <c r="BA382" t="s">
        <v>74</v>
      </c>
      <c r="BB382">
        <v>45</v>
      </c>
      <c r="BC382">
        <v>55</v>
      </c>
      <c r="BD382" t="s">
        <v>74</v>
      </c>
      <c r="BE382" t="s">
        <v>7738</v>
      </c>
      <c r="BF382" t="str">
        <f>HYPERLINK("http://dx.doi.org/10.1016/j.margen.2015.01.009","http://dx.doi.org/10.1016/j.margen.2015.01.009")</f>
        <v>http://dx.doi.org/10.1016/j.margen.2015.01.009</v>
      </c>
      <c r="BG382" t="s">
        <v>74</v>
      </c>
      <c r="BH382" t="s">
        <v>74</v>
      </c>
      <c r="BI382">
        <v>11</v>
      </c>
      <c r="BJ382" t="s">
        <v>6098</v>
      </c>
      <c r="BK382" t="s">
        <v>100</v>
      </c>
      <c r="BL382" t="s">
        <v>6098</v>
      </c>
      <c r="BM382" t="s">
        <v>6099</v>
      </c>
      <c r="BN382">
        <v>25677071</v>
      </c>
      <c r="BO382" t="s">
        <v>7739</v>
      </c>
      <c r="BP382" t="s">
        <v>74</v>
      </c>
      <c r="BQ382" t="s">
        <v>74</v>
      </c>
      <c r="BR382" t="s">
        <v>104</v>
      </c>
      <c r="BS382" t="s">
        <v>7740</v>
      </c>
      <c r="BT382" t="str">
        <f>HYPERLINK("https%3A%2F%2Fwww.webofscience.com%2Fwos%2Fwoscc%2Ffull-record%2FWOS:000352666200012","View Full Record in Web of Science")</f>
        <v>View Full Record in Web of Science</v>
      </c>
    </row>
    <row r="383" spans="1:72" x14ac:dyDescent="0.15">
      <c r="A383" t="s">
        <v>72</v>
      </c>
      <c r="B383" t="s">
        <v>7741</v>
      </c>
      <c r="C383" t="s">
        <v>74</v>
      </c>
      <c r="D383" t="s">
        <v>74</v>
      </c>
      <c r="E383" t="s">
        <v>74</v>
      </c>
      <c r="F383" t="s">
        <v>7742</v>
      </c>
      <c r="G383" t="s">
        <v>74</v>
      </c>
      <c r="H383" t="s">
        <v>74</v>
      </c>
      <c r="I383" t="s">
        <v>7743</v>
      </c>
      <c r="J383" t="s">
        <v>6121</v>
      </c>
      <c r="K383" t="s">
        <v>74</v>
      </c>
      <c r="L383" t="s">
        <v>74</v>
      </c>
      <c r="M383" t="s">
        <v>78</v>
      </c>
      <c r="N383" t="s">
        <v>79</v>
      </c>
      <c r="O383" t="s">
        <v>74</v>
      </c>
      <c r="P383" t="s">
        <v>74</v>
      </c>
      <c r="Q383" t="s">
        <v>74</v>
      </c>
      <c r="R383" t="s">
        <v>74</v>
      </c>
      <c r="S383" t="s">
        <v>74</v>
      </c>
      <c r="T383" t="s">
        <v>74</v>
      </c>
      <c r="U383" t="s">
        <v>7744</v>
      </c>
      <c r="V383" t="s">
        <v>7745</v>
      </c>
      <c r="W383" t="s">
        <v>7746</v>
      </c>
      <c r="X383" t="s">
        <v>7747</v>
      </c>
      <c r="Y383" t="s">
        <v>7748</v>
      </c>
      <c r="Z383" t="s">
        <v>7749</v>
      </c>
      <c r="AA383" t="s">
        <v>7750</v>
      </c>
      <c r="AB383" t="s">
        <v>7751</v>
      </c>
      <c r="AC383" t="s">
        <v>7752</v>
      </c>
      <c r="AD383" t="s">
        <v>7753</v>
      </c>
      <c r="AE383" t="s">
        <v>7754</v>
      </c>
      <c r="AF383" t="s">
        <v>74</v>
      </c>
      <c r="AG383">
        <v>104</v>
      </c>
      <c r="AH383">
        <v>54</v>
      </c>
      <c r="AI383">
        <v>62</v>
      </c>
      <c r="AJ383">
        <v>1</v>
      </c>
      <c r="AK383">
        <v>26</v>
      </c>
      <c r="AL383" t="s">
        <v>91</v>
      </c>
      <c r="AM383" t="s">
        <v>92</v>
      </c>
      <c r="AN383" t="s">
        <v>93</v>
      </c>
      <c r="AO383" t="s">
        <v>6133</v>
      </c>
      <c r="AP383" t="s">
        <v>6134</v>
      </c>
      <c r="AQ383" t="s">
        <v>74</v>
      </c>
      <c r="AR383" t="s">
        <v>6135</v>
      </c>
      <c r="AS383" t="s">
        <v>6136</v>
      </c>
      <c r="AT383" t="s">
        <v>5327</v>
      </c>
      <c r="AU383">
        <v>2015</v>
      </c>
      <c r="AV383">
        <v>50</v>
      </c>
      <c r="AW383">
        <v>4</v>
      </c>
      <c r="AX383" t="s">
        <v>74</v>
      </c>
      <c r="AY383" t="s">
        <v>74</v>
      </c>
      <c r="AZ383" t="s">
        <v>74</v>
      </c>
      <c r="BA383" t="s">
        <v>74</v>
      </c>
      <c r="BB383">
        <v>691</v>
      </c>
      <c r="BC383">
        <v>714</v>
      </c>
      <c r="BD383" t="s">
        <v>74</v>
      </c>
      <c r="BE383" t="s">
        <v>7755</v>
      </c>
      <c r="BF383" t="str">
        <f>HYPERLINK("http://dx.doi.org/10.1111/maps.12384","http://dx.doi.org/10.1111/maps.12384")</f>
        <v>http://dx.doi.org/10.1111/maps.12384</v>
      </c>
      <c r="BG383" t="s">
        <v>74</v>
      </c>
      <c r="BH383" t="s">
        <v>74</v>
      </c>
      <c r="BI383">
        <v>24</v>
      </c>
      <c r="BJ383" t="s">
        <v>863</v>
      </c>
      <c r="BK383" t="s">
        <v>100</v>
      </c>
      <c r="BL383" t="s">
        <v>863</v>
      </c>
      <c r="BM383" t="s">
        <v>6138</v>
      </c>
      <c r="BN383" t="s">
        <v>74</v>
      </c>
      <c r="BO383" t="s">
        <v>156</v>
      </c>
      <c r="BP383" t="s">
        <v>74</v>
      </c>
      <c r="BQ383" t="s">
        <v>74</v>
      </c>
      <c r="BR383" t="s">
        <v>104</v>
      </c>
      <c r="BS383" t="s">
        <v>7756</v>
      </c>
      <c r="BT383" t="str">
        <f>HYPERLINK("https%3A%2F%2Fwww.webofscience.com%2Fwos%2Fwoscc%2Ffull-record%2FWOS:000352625200012","View Full Record in Web of Science")</f>
        <v>View Full Record in Web of Science</v>
      </c>
    </row>
    <row r="384" spans="1:72" x14ac:dyDescent="0.15">
      <c r="A384" t="s">
        <v>72</v>
      </c>
      <c r="B384" t="s">
        <v>7757</v>
      </c>
      <c r="C384" t="s">
        <v>74</v>
      </c>
      <c r="D384" t="s">
        <v>74</v>
      </c>
      <c r="E384" t="s">
        <v>74</v>
      </c>
      <c r="F384" t="s">
        <v>7758</v>
      </c>
      <c r="G384" t="s">
        <v>74</v>
      </c>
      <c r="H384" t="s">
        <v>74</v>
      </c>
      <c r="I384" t="s">
        <v>7759</v>
      </c>
      <c r="J384" t="s">
        <v>3505</v>
      </c>
      <c r="K384" t="s">
        <v>74</v>
      </c>
      <c r="L384" t="s">
        <v>74</v>
      </c>
      <c r="M384" t="s">
        <v>78</v>
      </c>
      <c r="N384" t="s">
        <v>79</v>
      </c>
      <c r="O384" t="s">
        <v>74</v>
      </c>
      <c r="P384" t="s">
        <v>74</v>
      </c>
      <c r="Q384" t="s">
        <v>74</v>
      </c>
      <c r="R384" t="s">
        <v>74</v>
      </c>
      <c r="S384" t="s">
        <v>74</v>
      </c>
      <c r="T384" t="s">
        <v>74</v>
      </c>
      <c r="U384" t="s">
        <v>7760</v>
      </c>
      <c r="V384" t="s">
        <v>7761</v>
      </c>
      <c r="W384" t="s">
        <v>7762</v>
      </c>
      <c r="X384" t="s">
        <v>7763</v>
      </c>
      <c r="Y384" t="s">
        <v>7764</v>
      </c>
      <c r="Z384" t="s">
        <v>7765</v>
      </c>
      <c r="AA384" t="s">
        <v>7766</v>
      </c>
      <c r="AB384" t="s">
        <v>7767</v>
      </c>
      <c r="AC384" t="s">
        <v>7768</v>
      </c>
      <c r="AD384" t="s">
        <v>7769</v>
      </c>
      <c r="AE384" t="s">
        <v>7770</v>
      </c>
      <c r="AF384" t="s">
        <v>74</v>
      </c>
      <c r="AG384">
        <v>30</v>
      </c>
      <c r="AH384">
        <v>123</v>
      </c>
      <c r="AI384">
        <v>132</v>
      </c>
      <c r="AJ384">
        <v>0</v>
      </c>
      <c r="AK384">
        <v>78</v>
      </c>
      <c r="AL384" t="s">
        <v>422</v>
      </c>
      <c r="AM384" t="s">
        <v>423</v>
      </c>
      <c r="AN384" t="s">
        <v>424</v>
      </c>
      <c r="AO384" t="s">
        <v>3518</v>
      </c>
      <c r="AP384" t="s">
        <v>3519</v>
      </c>
      <c r="AQ384" t="s">
        <v>74</v>
      </c>
      <c r="AR384" t="s">
        <v>3520</v>
      </c>
      <c r="AS384" t="s">
        <v>3521</v>
      </c>
      <c r="AT384" t="s">
        <v>5327</v>
      </c>
      <c r="AU384">
        <v>2015</v>
      </c>
      <c r="AV384">
        <v>5</v>
      </c>
      <c r="AW384">
        <v>4</v>
      </c>
      <c r="AX384" t="s">
        <v>74</v>
      </c>
      <c r="AY384" t="s">
        <v>74</v>
      </c>
      <c r="AZ384" t="s">
        <v>74</v>
      </c>
      <c r="BA384" t="s">
        <v>74</v>
      </c>
      <c r="BB384">
        <v>348</v>
      </c>
      <c r="BC384">
        <v>352</v>
      </c>
      <c r="BD384" t="s">
        <v>74</v>
      </c>
      <c r="BE384" t="s">
        <v>7771</v>
      </c>
      <c r="BF384" t="str">
        <f>HYPERLINK("http://dx.doi.org/10.1038/nclimate2574","http://dx.doi.org/10.1038/nclimate2574")</f>
        <v>http://dx.doi.org/10.1038/nclimate2574</v>
      </c>
      <c r="BG384" t="s">
        <v>74</v>
      </c>
      <c r="BH384" t="s">
        <v>74</v>
      </c>
      <c r="BI384">
        <v>5</v>
      </c>
      <c r="BJ384" t="s">
        <v>3523</v>
      </c>
      <c r="BK384" t="s">
        <v>1019</v>
      </c>
      <c r="BL384" t="s">
        <v>1742</v>
      </c>
      <c r="BM384" t="s">
        <v>7772</v>
      </c>
      <c r="BN384" t="s">
        <v>74</v>
      </c>
      <c r="BO384" t="s">
        <v>559</v>
      </c>
      <c r="BP384" t="s">
        <v>74</v>
      </c>
      <c r="BQ384" t="s">
        <v>74</v>
      </c>
      <c r="BR384" t="s">
        <v>104</v>
      </c>
      <c r="BS384" t="s">
        <v>7773</v>
      </c>
      <c r="BT384" t="str">
        <f>HYPERLINK("https%3A%2F%2Fwww.webofscience.com%2Fwos%2Fwoscc%2Ffull-record%2FWOS:000351842100019","View Full Record in Web of Science")</f>
        <v>View Full Record in Web of Science</v>
      </c>
    </row>
    <row r="385" spans="1:72" x14ac:dyDescent="0.15">
      <c r="A385" t="s">
        <v>72</v>
      </c>
      <c r="B385" t="s">
        <v>7774</v>
      </c>
      <c r="C385" t="s">
        <v>74</v>
      </c>
      <c r="D385" t="s">
        <v>74</v>
      </c>
      <c r="E385" t="s">
        <v>74</v>
      </c>
      <c r="F385" t="s">
        <v>7775</v>
      </c>
      <c r="G385" t="s">
        <v>74</v>
      </c>
      <c r="H385" t="s">
        <v>74</v>
      </c>
      <c r="I385" t="s">
        <v>7776</v>
      </c>
      <c r="J385" t="s">
        <v>3529</v>
      </c>
      <c r="K385" t="s">
        <v>74</v>
      </c>
      <c r="L385" t="s">
        <v>74</v>
      </c>
      <c r="M385" t="s">
        <v>78</v>
      </c>
      <c r="N385" t="s">
        <v>79</v>
      </c>
      <c r="O385" t="s">
        <v>74</v>
      </c>
      <c r="P385" t="s">
        <v>74</v>
      </c>
      <c r="Q385" t="s">
        <v>74</v>
      </c>
      <c r="R385" t="s">
        <v>74</v>
      </c>
      <c r="S385" t="s">
        <v>74</v>
      </c>
      <c r="T385" t="s">
        <v>74</v>
      </c>
      <c r="U385" t="s">
        <v>7777</v>
      </c>
      <c r="V385" t="s">
        <v>7778</v>
      </c>
      <c r="W385" t="s">
        <v>7779</v>
      </c>
      <c r="X385" t="s">
        <v>7780</v>
      </c>
      <c r="Y385" t="s">
        <v>7781</v>
      </c>
      <c r="Z385" t="s">
        <v>7782</v>
      </c>
      <c r="AA385" t="s">
        <v>7783</v>
      </c>
      <c r="AB385" t="s">
        <v>7784</v>
      </c>
      <c r="AC385" t="s">
        <v>7785</v>
      </c>
      <c r="AD385" t="s">
        <v>7786</v>
      </c>
      <c r="AE385" t="s">
        <v>7787</v>
      </c>
      <c r="AF385" t="s">
        <v>74</v>
      </c>
      <c r="AG385">
        <v>70</v>
      </c>
      <c r="AH385">
        <v>118</v>
      </c>
      <c r="AI385">
        <v>143</v>
      </c>
      <c r="AJ385">
        <v>1</v>
      </c>
      <c r="AK385">
        <v>62</v>
      </c>
      <c r="AL385" t="s">
        <v>2539</v>
      </c>
      <c r="AM385" t="s">
        <v>378</v>
      </c>
      <c r="AN385" t="s">
        <v>4315</v>
      </c>
      <c r="AO385" t="s">
        <v>3541</v>
      </c>
      <c r="AP385" t="s">
        <v>74</v>
      </c>
      <c r="AQ385" t="s">
        <v>74</v>
      </c>
      <c r="AR385" t="s">
        <v>3542</v>
      </c>
      <c r="AS385" t="s">
        <v>3543</v>
      </c>
      <c r="AT385" t="s">
        <v>5327</v>
      </c>
      <c r="AU385">
        <v>2015</v>
      </c>
      <c r="AV385">
        <v>6</v>
      </c>
      <c r="AW385" t="s">
        <v>74</v>
      </c>
      <c r="AX385" t="s">
        <v>74</v>
      </c>
      <c r="AY385" t="s">
        <v>74</v>
      </c>
      <c r="AZ385" t="s">
        <v>74</v>
      </c>
      <c r="BA385" t="s">
        <v>74</v>
      </c>
      <c r="BB385" t="s">
        <v>74</v>
      </c>
      <c r="BC385" t="s">
        <v>74</v>
      </c>
      <c r="BD385">
        <v>6831</v>
      </c>
      <c r="BE385" t="s">
        <v>7788</v>
      </c>
      <c r="BF385" t="str">
        <f>HYPERLINK("http://dx.doi.org/10.1038/ncomms7831","http://dx.doi.org/10.1038/ncomms7831")</f>
        <v>http://dx.doi.org/10.1038/ncomms7831</v>
      </c>
      <c r="BG385" t="s">
        <v>74</v>
      </c>
      <c r="BH385" t="s">
        <v>74</v>
      </c>
      <c r="BI385">
        <v>9</v>
      </c>
      <c r="BJ385" t="s">
        <v>429</v>
      </c>
      <c r="BK385" t="s">
        <v>100</v>
      </c>
      <c r="BL385" t="s">
        <v>430</v>
      </c>
      <c r="BM385" t="s">
        <v>7789</v>
      </c>
      <c r="BN385">
        <v>25919365</v>
      </c>
      <c r="BO385" t="s">
        <v>485</v>
      </c>
      <c r="BP385" t="s">
        <v>74</v>
      </c>
      <c r="BQ385" t="s">
        <v>74</v>
      </c>
      <c r="BR385" t="s">
        <v>104</v>
      </c>
      <c r="BS385" t="s">
        <v>7790</v>
      </c>
      <c r="BT385" t="str">
        <f>HYPERLINK("https%3A%2F%2Fwww.webofscience.com%2Fwos%2Fwoscc%2Ffull-record%2FWOS:000353703200010","View Full Record in Web of Science")</f>
        <v>View Full Record in Web of Science</v>
      </c>
    </row>
    <row r="386" spans="1:72" x14ac:dyDescent="0.15">
      <c r="A386" t="s">
        <v>72</v>
      </c>
      <c r="B386" t="s">
        <v>7791</v>
      </c>
      <c r="C386" t="s">
        <v>74</v>
      </c>
      <c r="D386" t="s">
        <v>74</v>
      </c>
      <c r="E386" t="s">
        <v>74</v>
      </c>
      <c r="F386" t="s">
        <v>7792</v>
      </c>
      <c r="G386" t="s">
        <v>74</v>
      </c>
      <c r="H386" t="s">
        <v>74</v>
      </c>
      <c r="I386" t="s">
        <v>7793</v>
      </c>
      <c r="J386" t="s">
        <v>3529</v>
      </c>
      <c r="K386" t="s">
        <v>74</v>
      </c>
      <c r="L386" t="s">
        <v>74</v>
      </c>
      <c r="M386" t="s">
        <v>78</v>
      </c>
      <c r="N386" t="s">
        <v>79</v>
      </c>
      <c r="O386" t="s">
        <v>74</v>
      </c>
      <c r="P386" t="s">
        <v>74</v>
      </c>
      <c r="Q386" t="s">
        <v>74</v>
      </c>
      <c r="R386" t="s">
        <v>74</v>
      </c>
      <c r="S386" t="s">
        <v>74</v>
      </c>
      <c r="T386" t="s">
        <v>74</v>
      </c>
      <c r="U386" t="s">
        <v>7794</v>
      </c>
      <c r="V386" t="s">
        <v>7795</v>
      </c>
      <c r="W386" t="s">
        <v>7796</v>
      </c>
      <c r="X386" t="s">
        <v>7797</v>
      </c>
      <c r="Y386" t="s">
        <v>7798</v>
      </c>
      <c r="Z386" t="s">
        <v>7799</v>
      </c>
      <c r="AA386" t="s">
        <v>7800</v>
      </c>
      <c r="AB386" t="s">
        <v>7801</v>
      </c>
      <c r="AC386" t="s">
        <v>7802</v>
      </c>
      <c r="AD386" t="s">
        <v>7803</v>
      </c>
      <c r="AE386" t="s">
        <v>7804</v>
      </c>
      <c r="AF386" t="s">
        <v>74</v>
      </c>
      <c r="AG386">
        <v>70</v>
      </c>
      <c r="AH386">
        <v>38</v>
      </c>
      <c r="AI386">
        <v>45</v>
      </c>
      <c r="AJ386">
        <v>0</v>
      </c>
      <c r="AK386">
        <v>34</v>
      </c>
      <c r="AL386" t="s">
        <v>422</v>
      </c>
      <c r="AM386" t="s">
        <v>423</v>
      </c>
      <c r="AN386" t="s">
        <v>424</v>
      </c>
      <c r="AO386" t="s">
        <v>74</v>
      </c>
      <c r="AP386" t="s">
        <v>3541</v>
      </c>
      <c r="AQ386" t="s">
        <v>74</v>
      </c>
      <c r="AR386" t="s">
        <v>3542</v>
      </c>
      <c r="AS386" t="s">
        <v>3543</v>
      </c>
      <c r="AT386" t="s">
        <v>5327</v>
      </c>
      <c r="AU386">
        <v>2015</v>
      </c>
      <c r="AV386">
        <v>6</v>
      </c>
      <c r="AW386" t="s">
        <v>74</v>
      </c>
      <c r="AX386" t="s">
        <v>74</v>
      </c>
      <c r="AY386" t="s">
        <v>74</v>
      </c>
      <c r="AZ386" t="s">
        <v>74</v>
      </c>
      <c r="BA386" t="s">
        <v>74</v>
      </c>
      <c r="BB386" t="s">
        <v>74</v>
      </c>
      <c r="BC386" t="s">
        <v>74</v>
      </c>
      <c r="BD386">
        <v>7016</v>
      </c>
      <c r="BE386" t="s">
        <v>7805</v>
      </c>
      <c r="BF386" t="str">
        <f>HYPERLINK("http://dx.doi.org/10.1038/ncomms8016","http://dx.doi.org/10.1038/ncomms8016")</f>
        <v>http://dx.doi.org/10.1038/ncomms8016</v>
      </c>
      <c r="BG386" t="s">
        <v>74</v>
      </c>
      <c r="BH386" t="s">
        <v>74</v>
      </c>
      <c r="BI386">
        <v>8</v>
      </c>
      <c r="BJ386" t="s">
        <v>429</v>
      </c>
      <c r="BK386" t="s">
        <v>100</v>
      </c>
      <c r="BL386" t="s">
        <v>430</v>
      </c>
      <c r="BM386" t="s">
        <v>7806</v>
      </c>
      <c r="BN386">
        <v>25908601</v>
      </c>
      <c r="BO386" t="s">
        <v>485</v>
      </c>
      <c r="BP386" t="s">
        <v>74</v>
      </c>
      <c r="BQ386" t="s">
        <v>74</v>
      </c>
      <c r="BR386" t="s">
        <v>104</v>
      </c>
      <c r="BS386" t="s">
        <v>7807</v>
      </c>
      <c r="BT386" t="str">
        <f>HYPERLINK("https%3A%2F%2Fwww.webofscience.com%2Fwos%2Fwoscc%2Ffull-record%2FWOS:000353706300003","View Full Record in Web of Science")</f>
        <v>View Full Record in Web of Science</v>
      </c>
    </row>
    <row r="387" spans="1:72" x14ac:dyDescent="0.15">
      <c r="A387" t="s">
        <v>72</v>
      </c>
      <c r="B387" t="s">
        <v>7808</v>
      </c>
      <c r="C387" t="s">
        <v>74</v>
      </c>
      <c r="D387" t="s">
        <v>74</v>
      </c>
      <c r="E387" t="s">
        <v>74</v>
      </c>
      <c r="F387" t="s">
        <v>7809</v>
      </c>
      <c r="G387" t="s">
        <v>74</v>
      </c>
      <c r="H387" t="s">
        <v>74</v>
      </c>
      <c r="I387" t="s">
        <v>7810</v>
      </c>
      <c r="J387" t="s">
        <v>2529</v>
      </c>
      <c r="K387" t="s">
        <v>74</v>
      </c>
      <c r="L387" t="s">
        <v>74</v>
      </c>
      <c r="M387" t="s">
        <v>78</v>
      </c>
      <c r="N387" t="s">
        <v>1277</v>
      </c>
      <c r="O387" t="s">
        <v>74</v>
      </c>
      <c r="P387" t="s">
        <v>74</v>
      </c>
      <c r="Q387" t="s">
        <v>74</v>
      </c>
      <c r="R387" t="s">
        <v>74</v>
      </c>
      <c r="S387" t="s">
        <v>74</v>
      </c>
      <c r="T387" t="s">
        <v>74</v>
      </c>
      <c r="U387" t="s">
        <v>74</v>
      </c>
      <c r="V387" t="s">
        <v>74</v>
      </c>
      <c r="W387" t="s">
        <v>7811</v>
      </c>
      <c r="X387" t="s">
        <v>4977</v>
      </c>
      <c r="Y387" t="s">
        <v>7812</v>
      </c>
      <c r="Z387" t="s">
        <v>7813</v>
      </c>
      <c r="AA387" t="s">
        <v>74</v>
      </c>
      <c r="AB387" t="s">
        <v>74</v>
      </c>
      <c r="AC387" t="s">
        <v>7814</v>
      </c>
      <c r="AD387" t="s">
        <v>3309</v>
      </c>
      <c r="AE387" t="s">
        <v>74</v>
      </c>
      <c r="AF387" t="s">
        <v>74</v>
      </c>
      <c r="AG387">
        <v>3</v>
      </c>
      <c r="AH387">
        <v>2</v>
      </c>
      <c r="AI387">
        <v>2</v>
      </c>
      <c r="AJ387">
        <v>0</v>
      </c>
      <c r="AK387">
        <v>5</v>
      </c>
      <c r="AL387" t="s">
        <v>2539</v>
      </c>
      <c r="AM387" t="s">
        <v>121</v>
      </c>
      <c r="AN387" t="s">
        <v>2540</v>
      </c>
      <c r="AO387" t="s">
        <v>2541</v>
      </c>
      <c r="AP387" t="s">
        <v>2542</v>
      </c>
      <c r="AQ387" t="s">
        <v>74</v>
      </c>
      <c r="AR387" t="s">
        <v>2543</v>
      </c>
      <c r="AS387" t="s">
        <v>2544</v>
      </c>
      <c r="AT387" t="s">
        <v>5327</v>
      </c>
      <c r="AU387">
        <v>2015</v>
      </c>
      <c r="AV387">
        <v>8</v>
      </c>
      <c r="AW387">
        <v>4</v>
      </c>
      <c r="AX387" t="s">
        <v>74</v>
      </c>
      <c r="AY387" t="s">
        <v>74</v>
      </c>
      <c r="AZ387" t="s">
        <v>74</v>
      </c>
      <c r="BA387" t="s">
        <v>74</v>
      </c>
      <c r="BB387">
        <v>253</v>
      </c>
      <c r="BC387">
        <v>254</v>
      </c>
      <c r="BD387" t="s">
        <v>74</v>
      </c>
      <c r="BE387" t="s">
        <v>7815</v>
      </c>
      <c r="BF387" t="str">
        <f>HYPERLINK("http://dx.doi.org/10.1038/ngeo2396","http://dx.doi.org/10.1038/ngeo2396")</f>
        <v>http://dx.doi.org/10.1038/ngeo2396</v>
      </c>
      <c r="BG387" t="s">
        <v>74</v>
      </c>
      <c r="BH387" t="s">
        <v>74</v>
      </c>
      <c r="BI387">
        <v>2</v>
      </c>
      <c r="BJ387" t="s">
        <v>219</v>
      </c>
      <c r="BK387" t="s">
        <v>100</v>
      </c>
      <c r="BL387" t="s">
        <v>220</v>
      </c>
      <c r="BM387" t="s">
        <v>7816</v>
      </c>
      <c r="BN387" t="s">
        <v>74</v>
      </c>
      <c r="BO387" t="s">
        <v>74</v>
      </c>
      <c r="BP387" t="s">
        <v>74</v>
      </c>
      <c r="BQ387" t="s">
        <v>74</v>
      </c>
      <c r="BR387" t="s">
        <v>104</v>
      </c>
      <c r="BS387" t="s">
        <v>7817</v>
      </c>
      <c r="BT387" t="str">
        <f>HYPERLINK("https%3A%2F%2Fwww.webofscience.com%2Fwos%2Fwoscc%2Ffull-record%2FWOS:000352082300008","View Full Record in Web of Science")</f>
        <v>View Full Record in Web of Science</v>
      </c>
    </row>
    <row r="388" spans="1:72" x14ac:dyDescent="0.15">
      <c r="A388" t="s">
        <v>72</v>
      </c>
      <c r="B388" t="s">
        <v>7818</v>
      </c>
      <c r="C388" t="s">
        <v>74</v>
      </c>
      <c r="D388" t="s">
        <v>74</v>
      </c>
      <c r="E388" t="s">
        <v>74</v>
      </c>
      <c r="F388" t="s">
        <v>7819</v>
      </c>
      <c r="G388" t="s">
        <v>74</v>
      </c>
      <c r="H388" t="s">
        <v>74</v>
      </c>
      <c r="I388" t="s">
        <v>7820</v>
      </c>
      <c r="J388" t="s">
        <v>2529</v>
      </c>
      <c r="K388" t="s">
        <v>74</v>
      </c>
      <c r="L388" t="s">
        <v>74</v>
      </c>
      <c r="M388" t="s">
        <v>78</v>
      </c>
      <c r="N388" t="s">
        <v>79</v>
      </c>
      <c r="O388" t="s">
        <v>74</v>
      </c>
      <c r="P388" t="s">
        <v>74</v>
      </c>
      <c r="Q388" t="s">
        <v>74</v>
      </c>
      <c r="R388" t="s">
        <v>74</v>
      </c>
      <c r="S388" t="s">
        <v>74</v>
      </c>
      <c r="T388" t="s">
        <v>74</v>
      </c>
      <c r="U388" t="s">
        <v>7821</v>
      </c>
      <c r="V388" t="s">
        <v>7822</v>
      </c>
      <c r="W388" t="s">
        <v>7823</v>
      </c>
      <c r="X388" t="s">
        <v>7824</v>
      </c>
      <c r="Y388" t="s">
        <v>7825</v>
      </c>
      <c r="Z388" t="s">
        <v>7826</v>
      </c>
      <c r="AA388" t="s">
        <v>7827</v>
      </c>
      <c r="AB388" t="s">
        <v>7828</v>
      </c>
      <c r="AC388" t="s">
        <v>7829</v>
      </c>
      <c r="AD388" t="s">
        <v>7830</v>
      </c>
      <c r="AE388" t="s">
        <v>7831</v>
      </c>
      <c r="AF388" t="s">
        <v>74</v>
      </c>
      <c r="AG388">
        <v>30</v>
      </c>
      <c r="AH388">
        <v>139</v>
      </c>
      <c r="AI388">
        <v>155</v>
      </c>
      <c r="AJ388">
        <v>3</v>
      </c>
      <c r="AK388">
        <v>46</v>
      </c>
      <c r="AL388" t="s">
        <v>2539</v>
      </c>
      <c r="AM388" t="s">
        <v>121</v>
      </c>
      <c r="AN388" t="s">
        <v>2540</v>
      </c>
      <c r="AO388" t="s">
        <v>2541</v>
      </c>
      <c r="AP388" t="s">
        <v>2542</v>
      </c>
      <c r="AQ388" t="s">
        <v>74</v>
      </c>
      <c r="AR388" t="s">
        <v>2543</v>
      </c>
      <c r="AS388" t="s">
        <v>2544</v>
      </c>
      <c r="AT388" t="s">
        <v>5327</v>
      </c>
      <c r="AU388">
        <v>2015</v>
      </c>
      <c r="AV388">
        <v>8</v>
      </c>
      <c r="AW388">
        <v>4</v>
      </c>
      <c r="AX388" t="s">
        <v>74</v>
      </c>
      <c r="AY388" t="s">
        <v>74</v>
      </c>
      <c r="AZ388" t="s">
        <v>74</v>
      </c>
      <c r="BA388" t="s">
        <v>74</v>
      </c>
      <c r="BB388">
        <v>294</v>
      </c>
      <c r="BC388">
        <v>298</v>
      </c>
      <c r="BD388" t="s">
        <v>74</v>
      </c>
      <c r="BE388" t="s">
        <v>7832</v>
      </c>
      <c r="BF388" t="str">
        <f>HYPERLINK("http://dx.doi.org/10.1038/NGEO2388","http://dx.doi.org/10.1038/NGEO2388")</f>
        <v>http://dx.doi.org/10.1038/NGEO2388</v>
      </c>
      <c r="BG388" t="s">
        <v>74</v>
      </c>
      <c r="BH388" t="s">
        <v>74</v>
      </c>
      <c r="BI388">
        <v>5</v>
      </c>
      <c r="BJ388" t="s">
        <v>219</v>
      </c>
      <c r="BK388" t="s">
        <v>100</v>
      </c>
      <c r="BL388" t="s">
        <v>220</v>
      </c>
      <c r="BM388" t="s">
        <v>7816</v>
      </c>
      <c r="BN388" t="s">
        <v>74</v>
      </c>
      <c r="BO388" t="s">
        <v>74</v>
      </c>
      <c r="BP388" t="s">
        <v>74</v>
      </c>
      <c r="BQ388" t="s">
        <v>74</v>
      </c>
      <c r="BR388" t="s">
        <v>104</v>
      </c>
      <c r="BS388" t="s">
        <v>7833</v>
      </c>
      <c r="BT388" t="str">
        <f>HYPERLINK("https%3A%2F%2Fwww.webofscience.com%2Fwos%2Fwoscc%2Ffull-record%2FWOS:000352082300020","View Full Record in Web of Science")</f>
        <v>View Full Record in Web of Science</v>
      </c>
    </row>
    <row r="389" spans="1:72" x14ac:dyDescent="0.15">
      <c r="A389" t="s">
        <v>72</v>
      </c>
      <c r="B389" t="s">
        <v>7834</v>
      </c>
      <c r="C389" t="s">
        <v>74</v>
      </c>
      <c r="D389" t="s">
        <v>74</v>
      </c>
      <c r="E389" t="s">
        <v>74</v>
      </c>
      <c r="F389" t="s">
        <v>7835</v>
      </c>
      <c r="G389" t="s">
        <v>74</v>
      </c>
      <c r="H389" t="s">
        <v>74</v>
      </c>
      <c r="I389" t="s">
        <v>7836</v>
      </c>
      <c r="J389" t="s">
        <v>7837</v>
      </c>
      <c r="K389" t="s">
        <v>74</v>
      </c>
      <c r="L389" t="s">
        <v>74</v>
      </c>
      <c r="M389" t="s">
        <v>78</v>
      </c>
      <c r="N389" t="s">
        <v>79</v>
      </c>
      <c r="O389" t="s">
        <v>74</v>
      </c>
      <c r="P389" t="s">
        <v>74</v>
      </c>
      <c r="Q389" t="s">
        <v>74</v>
      </c>
      <c r="R389" t="s">
        <v>74</v>
      </c>
      <c r="S389" t="s">
        <v>74</v>
      </c>
      <c r="T389" t="s">
        <v>7838</v>
      </c>
      <c r="U389" t="s">
        <v>7839</v>
      </c>
      <c r="V389" t="s">
        <v>7840</v>
      </c>
      <c r="W389" t="s">
        <v>7841</v>
      </c>
      <c r="X389" t="s">
        <v>7842</v>
      </c>
      <c r="Y389" t="s">
        <v>7843</v>
      </c>
      <c r="Z389" t="s">
        <v>7844</v>
      </c>
      <c r="AA389" t="s">
        <v>74</v>
      </c>
      <c r="AB389" t="s">
        <v>7845</v>
      </c>
      <c r="AC389" t="s">
        <v>7846</v>
      </c>
      <c r="AD389" t="s">
        <v>7847</v>
      </c>
      <c r="AE389" t="s">
        <v>7848</v>
      </c>
      <c r="AF389" t="s">
        <v>74</v>
      </c>
      <c r="AG389">
        <v>87</v>
      </c>
      <c r="AH389">
        <v>43</v>
      </c>
      <c r="AI389">
        <v>49</v>
      </c>
      <c r="AJ389">
        <v>1</v>
      </c>
      <c r="AK389">
        <v>40</v>
      </c>
      <c r="AL389" t="s">
        <v>266</v>
      </c>
      <c r="AM389" t="s">
        <v>267</v>
      </c>
      <c r="AN389" t="s">
        <v>268</v>
      </c>
      <c r="AO389" t="s">
        <v>7849</v>
      </c>
      <c r="AP389" t="s">
        <v>7850</v>
      </c>
      <c r="AQ389" t="s">
        <v>74</v>
      </c>
      <c r="AR389" t="s">
        <v>7837</v>
      </c>
      <c r="AS389" t="s">
        <v>7851</v>
      </c>
      <c r="AT389" t="s">
        <v>5327</v>
      </c>
      <c r="AU389">
        <v>2015</v>
      </c>
      <c r="AV389">
        <v>30</v>
      </c>
      <c r="AW389">
        <v>4</v>
      </c>
      <c r="AX389" t="s">
        <v>74</v>
      </c>
      <c r="AY389" t="s">
        <v>74</v>
      </c>
      <c r="AZ389" t="s">
        <v>74</v>
      </c>
      <c r="BA389" t="s">
        <v>74</v>
      </c>
      <c r="BB389">
        <v>353</v>
      </c>
      <c r="BC389">
        <v>368</v>
      </c>
      <c r="BD389" t="s">
        <v>74</v>
      </c>
      <c r="BE389" t="s">
        <v>7852</v>
      </c>
      <c r="BF389" t="str">
        <f>HYPERLINK("http://dx.doi.org/10.1002/2014PA002667","http://dx.doi.org/10.1002/2014PA002667")</f>
        <v>http://dx.doi.org/10.1002/2014PA002667</v>
      </c>
      <c r="BG389" t="s">
        <v>74</v>
      </c>
      <c r="BH389" t="s">
        <v>74</v>
      </c>
      <c r="BI389">
        <v>16</v>
      </c>
      <c r="BJ389" t="s">
        <v>7853</v>
      </c>
      <c r="BK389" t="s">
        <v>100</v>
      </c>
      <c r="BL389" t="s">
        <v>7854</v>
      </c>
      <c r="BM389" t="s">
        <v>7855</v>
      </c>
      <c r="BN389" t="s">
        <v>74</v>
      </c>
      <c r="BO389" t="s">
        <v>1123</v>
      </c>
      <c r="BP389" t="s">
        <v>74</v>
      </c>
      <c r="BQ389" t="s">
        <v>74</v>
      </c>
      <c r="BR389" t="s">
        <v>104</v>
      </c>
      <c r="BS389" t="s">
        <v>7856</v>
      </c>
      <c r="BT389" t="str">
        <f>HYPERLINK("https%3A%2F%2Fwww.webofscience.com%2Fwos%2Fwoscc%2Ffull-record%2FWOS:000354479900003","View Full Record in Web of Science")</f>
        <v>View Full Record in Web of Science</v>
      </c>
    </row>
    <row r="390" spans="1:72" x14ac:dyDescent="0.15">
      <c r="A390" t="s">
        <v>72</v>
      </c>
      <c r="B390" t="s">
        <v>7857</v>
      </c>
      <c r="C390" t="s">
        <v>74</v>
      </c>
      <c r="D390" t="s">
        <v>74</v>
      </c>
      <c r="E390" t="s">
        <v>74</v>
      </c>
      <c r="F390" t="s">
        <v>7858</v>
      </c>
      <c r="G390" t="s">
        <v>74</v>
      </c>
      <c r="H390" t="s">
        <v>74</v>
      </c>
      <c r="I390" t="s">
        <v>7859</v>
      </c>
      <c r="J390" t="s">
        <v>1290</v>
      </c>
      <c r="K390" t="s">
        <v>74</v>
      </c>
      <c r="L390" t="s">
        <v>74</v>
      </c>
      <c r="M390" t="s">
        <v>78</v>
      </c>
      <c r="N390" t="s">
        <v>79</v>
      </c>
      <c r="O390" t="s">
        <v>74</v>
      </c>
      <c r="P390" t="s">
        <v>74</v>
      </c>
      <c r="Q390" t="s">
        <v>74</v>
      </c>
      <c r="R390" t="s">
        <v>74</v>
      </c>
      <c r="S390" t="s">
        <v>74</v>
      </c>
      <c r="T390" t="s">
        <v>7860</v>
      </c>
      <c r="U390" t="s">
        <v>7861</v>
      </c>
      <c r="V390" t="s">
        <v>7862</v>
      </c>
      <c r="W390" t="s">
        <v>7863</v>
      </c>
      <c r="X390" t="s">
        <v>7864</v>
      </c>
      <c r="Y390" t="s">
        <v>7865</v>
      </c>
      <c r="Z390" t="s">
        <v>6971</v>
      </c>
      <c r="AA390" t="s">
        <v>7866</v>
      </c>
      <c r="AB390" t="s">
        <v>7867</v>
      </c>
      <c r="AC390" t="s">
        <v>7868</v>
      </c>
      <c r="AD390" t="s">
        <v>7869</v>
      </c>
      <c r="AE390" t="s">
        <v>7870</v>
      </c>
      <c r="AF390" t="s">
        <v>74</v>
      </c>
      <c r="AG390">
        <v>38</v>
      </c>
      <c r="AH390">
        <v>14</v>
      </c>
      <c r="AI390">
        <v>14</v>
      </c>
      <c r="AJ390">
        <v>0</v>
      </c>
      <c r="AK390">
        <v>35</v>
      </c>
      <c r="AL390" t="s">
        <v>120</v>
      </c>
      <c r="AM390" t="s">
        <v>121</v>
      </c>
      <c r="AN390" t="s">
        <v>122</v>
      </c>
      <c r="AO390" t="s">
        <v>1305</v>
      </c>
      <c r="AP390" t="s">
        <v>1306</v>
      </c>
      <c r="AQ390" t="s">
        <v>74</v>
      </c>
      <c r="AR390" t="s">
        <v>1307</v>
      </c>
      <c r="AS390" t="s">
        <v>1308</v>
      </c>
      <c r="AT390" t="s">
        <v>5327</v>
      </c>
      <c r="AU390">
        <v>2015</v>
      </c>
      <c r="AV390">
        <v>38</v>
      </c>
      <c r="AW390">
        <v>4</v>
      </c>
      <c r="AX390" t="s">
        <v>74</v>
      </c>
      <c r="AY390" t="s">
        <v>74</v>
      </c>
      <c r="AZ390" t="s">
        <v>74</v>
      </c>
      <c r="BA390" t="s">
        <v>74</v>
      </c>
      <c r="BB390">
        <v>433</v>
      </c>
      <c r="BC390">
        <v>443</v>
      </c>
      <c r="BD390" t="s">
        <v>74</v>
      </c>
      <c r="BE390" t="s">
        <v>7871</v>
      </c>
      <c r="BF390" t="str">
        <f>HYPERLINK("http://dx.doi.org/10.1007/s00300-014-1598-3","http://dx.doi.org/10.1007/s00300-014-1598-3")</f>
        <v>http://dx.doi.org/10.1007/s00300-014-1598-3</v>
      </c>
      <c r="BG390" t="s">
        <v>74</v>
      </c>
      <c r="BH390" t="s">
        <v>74</v>
      </c>
      <c r="BI390">
        <v>11</v>
      </c>
      <c r="BJ390" t="s">
        <v>1311</v>
      </c>
      <c r="BK390" t="s">
        <v>100</v>
      </c>
      <c r="BL390" t="s">
        <v>154</v>
      </c>
      <c r="BM390" t="s">
        <v>6912</v>
      </c>
      <c r="BN390" t="s">
        <v>74</v>
      </c>
      <c r="BO390" t="s">
        <v>74</v>
      </c>
      <c r="BP390" t="s">
        <v>74</v>
      </c>
      <c r="BQ390" t="s">
        <v>74</v>
      </c>
      <c r="BR390" t="s">
        <v>104</v>
      </c>
      <c r="BS390" t="s">
        <v>7872</v>
      </c>
      <c r="BT390" t="str">
        <f>HYPERLINK("https%3A%2F%2Fwww.webofscience.com%2Fwos%2Fwoscc%2Ffull-record%2FWOS:000351179000001","View Full Record in Web of Science")</f>
        <v>View Full Record in Web of Science</v>
      </c>
    </row>
    <row r="391" spans="1:72" x14ac:dyDescent="0.15">
      <c r="A391" t="s">
        <v>72</v>
      </c>
      <c r="B391" t="s">
        <v>7873</v>
      </c>
      <c r="C391" t="s">
        <v>74</v>
      </c>
      <c r="D391" t="s">
        <v>74</v>
      </c>
      <c r="E391" t="s">
        <v>74</v>
      </c>
      <c r="F391" t="s">
        <v>7874</v>
      </c>
      <c r="G391" t="s">
        <v>74</v>
      </c>
      <c r="H391" t="s">
        <v>74</v>
      </c>
      <c r="I391" t="s">
        <v>7875</v>
      </c>
      <c r="J391" t="s">
        <v>1290</v>
      </c>
      <c r="K391" t="s">
        <v>74</v>
      </c>
      <c r="L391" t="s">
        <v>74</v>
      </c>
      <c r="M391" t="s">
        <v>78</v>
      </c>
      <c r="N391" t="s">
        <v>79</v>
      </c>
      <c r="O391" t="s">
        <v>74</v>
      </c>
      <c r="P391" t="s">
        <v>74</v>
      </c>
      <c r="Q391" t="s">
        <v>74</v>
      </c>
      <c r="R391" t="s">
        <v>74</v>
      </c>
      <c r="S391" t="s">
        <v>74</v>
      </c>
      <c r="T391" t="s">
        <v>7876</v>
      </c>
      <c r="U391" t="s">
        <v>7877</v>
      </c>
      <c r="V391" t="s">
        <v>7878</v>
      </c>
      <c r="W391" t="s">
        <v>7879</v>
      </c>
      <c r="X391" t="s">
        <v>7880</v>
      </c>
      <c r="Y391" t="s">
        <v>7881</v>
      </c>
      <c r="Z391" t="s">
        <v>7882</v>
      </c>
      <c r="AA391" t="s">
        <v>7883</v>
      </c>
      <c r="AB391" t="s">
        <v>7884</v>
      </c>
      <c r="AC391" t="s">
        <v>7885</v>
      </c>
      <c r="AD391" t="s">
        <v>7886</v>
      </c>
      <c r="AE391" t="s">
        <v>7887</v>
      </c>
      <c r="AF391" t="s">
        <v>74</v>
      </c>
      <c r="AG391">
        <v>40</v>
      </c>
      <c r="AH391">
        <v>16</v>
      </c>
      <c r="AI391">
        <v>18</v>
      </c>
      <c r="AJ391">
        <v>1</v>
      </c>
      <c r="AK391">
        <v>35</v>
      </c>
      <c r="AL391" t="s">
        <v>120</v>
      </c>
      <c r="AM391" t="s">
        <v>121</v>
      </c>
      <c r="AN391" t="s">
        <v>122</v>
      </c>
      <c r="AO391" t="s">
        <v>1305</v>
      </c>
      <c r="AP391" t="s">
        <v>1306</v>
      </c>
      <c r="AQ391" t="s">
        <v>74</v>
      </c>
      <c r="AR391" t="s">
        <v>1307</v>
      </c>
      <c r="AS391" t="s">
        <v>1308</v>
      </c>
      <c r="AT391" t="s">
        <v>5327</v>
      </c>
      <c r="AU391">
        <v>2015</v>
      </c>
      <c r="AV391">
        <v>38</v>
      </c>
      <c r="AW391">
        <v>4</v>
      </c>
      <c r="AX391" t="s">
        <v>74</v>
      </c>
      <c r="AY391" t="s">
        <v>74</v>
      </c>
      <c r="AZ391" t="s">
        <v>74</v>
      </c>
      <c r="BA391" t="s">
        <v>74</v>
      </c>
      <c r="BB391">
        <v>445</v>
      </c>
      <c r="BC391">
        <v>461</v>
      </c>
      <c r="BD391" t="s">
        <v>74</v>
      </c>
      <c r="BE391" t="s">
        <v>7888</v>
      </c>
      <c r="BF391" t="str">
        <f>HYPERLINK("http://dx.doi.org/10.1007/s00300-014-1602-y","http://dx.doi.org/10.1007/s00300-014-1602-y")</f>
        <v>http://dx.doi.org/10.1007/s00300-014-1602-y</v>
      </c>
      <c r="BG391" t="s">
        <v>74</v>
      </c>
      <c r="BH391" t="s">
        <v>74</v>
      </c>
      <c r="BI391">
        <v>17</v>
      </c>
      <c r="BJ391" t="s">
        <v>1311</v>
      </c>
      <c r="BK391" t="s">
        <v>100</v>
      </c>
      <c r="BL391" t="s">
        <v>154</v>
      </c>
      <c r="BM391" t="s">
        <v>6912</v>
      </c>
      <c r="BN391" t="s">
        <v>74</v>
      </c>
      <c r="BO391" t="s">
        <v>74</v>
      </c>
      <c r="BP391" t="s">
        <v>74</v>
      </c>
      <c r="BQ391" t="s">
        <v>74</v>
      </c>
      <c r="BR391" t="s">
        <v>104</v>
      </c>
      <c r="BS391" t="s">
        <v>7889</v>
      </c>
      <c r="BT391" t="str">
        <f>HYPERLINK("https%3A%2F%2Fwww.webofscience.com%2Fwos%2Fwoscc%2Ffull-record%2FWOS:000351179000002","View Full Record in Web of Science")</f>
        <v>View Full Record in Web of Science</v>
      </c>
    </row>
    <row r="392" spans="1:72" x14ac:dyDescent="0.15">
      <c r="A392" t="s">
        <v>72</v>
      </c>
      <c r="B392" t="s">
        <v>7890</v>
      </c>
      <c r="C392" t="s">
        <v>74</v>
      </c>
      <c r="D392" t="s">
        <v>74</v>
      </c>
      <c r="E392" t="s">
        <v>74</v>
      </c>
      <c r="F392" t="s">
        <v>7891</v>
      </c>
      <c r="G392" t="s">
        <v>74</v>
      </c>
      <c r="H392" t="s">
        <v>74</v>
      </c>
      <c r="I392" t="s">
        <v>7892</v>
      </c>
      <c r="J392" t="s">
        <v>7893</v>
      </c>
      <c r="K392" t="s">
        <v>74</v>
      </c>
      <c r="L392" t="s">
        <v>74</v>
      </c>
      <c r="M392" t="s">
        <v>78</v>
      </c>
      <c r="N392" t="s">
        <v>79</v>
      </c>
      <c r="O392" t="s">
        <v>74</v>
      </c>
      <c r="P392" t="s">
        <v>74</v>
      </c>
      <c r="Q392" t="s">
        <v>74</v>
      </c>
      <c r="R392" t="s">
        <v>74</v>
      </c>
      <c r="S392" t="s">
        <v>74</v>
      </c>
      <c r="T392" t="s">
        <v>7894</v>
      </c>
      <c r="U392" t="s">
        <v>7895</v>
      </c>
      <c r="V392" t="s">
        <v>7896</v>
      </c>
      <c r="W392" t="s">
        <v>7897</v>
      </c>
      <c r="X392" t="s">
        <v>7264</v>
      </c>
      <c r="Y392" t="s">
        <v>7898</v>
      </c>
      <c r="Z392" t="s">
        <v>7899</v>
      </c>
      <c r="AA392" t="s">
        <v>74</v>
      </c>
      <c r="AB392" t="s">
        <v>74</v>
      </c>
      <c r="AC392" t="s">
        <v>7900</v>
      </c>
      <c r="AD392" t="s">
        <v>3309</v>
      </c>
      <c r="AE392" t="s">
        <v>74</v>
      </c>
      <c r="AF392" t="s">
        <v>74</v>
      </c>
      <c r="AG392">
        <v>110</v>
      </c>
      <c r="AH392">
        <v>8</v>
      </c>
      <c r="AI392">
        <v>8</v>
      </c>
      <c r="AJ392">
        <v>0</v>
      </c>
      <c r="AK392">
        <v>7</v>
      </c>
      <c r="AL392" t="s">
        <v>1158</v>
      </c>
      <c r="AM392" t="s">
        <v>787</v>
      </c>
      <c r="AN392" t="s">
        <v>1159</v>
      </c>
      <c r="AO392" t="s">
        <v>7901</v>
      </c>
      <c r="AP392" t="s">
        <v>74</v>
      </c>
      <c r="AQ392" t="s">
        <v>74</v>
      </c>
      <c r="AR392" t="s">
        <v>7902</v>
      </c>
      <c r="AS392" t="s">
        <v>7903</v>
      </c>
      <c r="AT392" t="s">
        <v>5327</v>
      </c>
      <c r="AU392">
        <v>2015</v>
      </c>
      <c r="AV392">
        <v>126</v>
      </c>
      <c r="AW392">
        <v>2</v>
      </c>
      <c r="AX392" t="s">
        <v>74</v>
      </c>
      <c r="AY392" t="s">
        <v>74</v>
      </c>
      <c r="AZ392" t="s">
        <v>74</v>
      </c>
      <c r="BA392" t="s">
        <v>74</v>
      </c>
      <c r="BB392">
        <v>266</v>
      </c>
      <c r="BC392">
        <v>281</v>
      </c>
      <c r="BD392" t="s">
        <v>74</v>
      </c>
      <c r="BE392" t="s">
        <v>7904</v>
      </c>
      <c r="BF392" t="str">
        <f>HYPERLINK("http://dx.doi.org/10.1016/j.pgeola.2015.01.001","http://dx.doi.org/10.1016/j.pgeola.2015.01.001")</f>
        <v>http://dx.doi.org/10.1016/j.pgeola.2015.01.001</v>
      </c>
      <c r="BG392" t="s">
        <v>74</v>
      </c>
      <c r="BH392" t="s">
        <v>74</v>
      </c>
      <c r="BI392">
        <v>16</v>
      </c>
      <c r="BJ392" t="s">
        <v>7905</v>
      </c>
      <c r="BK392" t="s">
        <v>100</v>
      </c>
      <c r="BL392" t="s">
        <v>7905</v>
      </c>
      <c r="BM392" t="s">
        <v>7906</v>
      </c>
      <c r="BN392" t="s">
        <v>74</v>
      </c>
      <c r="BO392" t="s">
        <v>408</v>
      </c>
      <c r="BP392" t="s">
        <v>74</v>
      </c>
      <c r="BQ392" t="s">
        <v>74</v>
      </c>
      <c r="BR392" t="s">
        <v>104</v>
      </c>
      <c r="BS392" t="s">
        <v>7907</v>
      </c>
      <c r="BT392" t="str">
        <f>HYPERLINK("https%3A%2F%2Fwww.webofscience.com%2Fwos%2Fwoscc%2Ffull-record%2FWOS:000355030800011","View Full Record in Web of Science")</f>
        <v>View Full Record in Web of Science</v>
      </c>
    </row>
    <row r="393" spans="1:72" x14ac:dyDescent="0.15">
      <c r="A393" t="s">
        <v>72</v>
      </c>
      <c r="B393" t="s">
        <v>7908</v>
      </c>
      <c r="C393" t="s">
        <v>74</v>
      </c>
      <c r="D393" t="s">
        <v>74</v>
      </c>
      <c r="E393" t="s">
        <v>74</v>
      </c>
      <c r="F393" t="s">
        <v>7909</v>
      </c>
      <c r="G393" t="s">
        <v>74</v>
      </c>
      <c r="H393" t="s">
        <v>74</v>
      </c>
      <c r="I393" t="s">
        <v>7910</v>
      </c>
      <c r="J393" t="s">
        <v>7911</v>
      </c>
      <c r="K393" t="s">
        <v>74</v>
      </c>
      <c r="L393" t="s">
        <v>74</v>
      </c>
      <c r="M393" t="s">
        <v>78</v>
      </c>
      <c r="N393" t="s">
        <v>79</v>
      </c>
      <c r="O393" t="s">
        <v>74</v>
      </c>
      <c r="P393" t="s">
        <v>74</v>
      </c>
      <c r="Q393" t="s">
        <v>74</v>
      </c>
      <c r="R393" t="s">
        <v>74</v>
      </c>
      <c r="S393" t="s">
        <v>74</v>
      </c>
      <c r="T393" t="s">
        <v>7912</v>
      </c>
      <c r="U393" t="s">
        <v>7913</v>
      </c>
      <c r="V393" t="s">
        <v>7914</v>
      </c>
      <c r="W393" t="s">
        <v>7915</v>
      </c>
      <c r="X393" t="s">
        <v>7916</v>
      </c>
      <c r="Y393" t="s">
        <v>7917</v>
      </c>
      <c r="Z393" t="s">
        <v>7918</v>
      </c>
      <c r="AA393" t="s">
        <v>7919</v>
      </c>
      <c r="AB393" t="s">
        <v>7920</v>
      </c>
      <c r="AC393" t="s">
        <v>7921</v>
      </c>
      <c r="AD393" t="s">
        <v>2889</v>
      </c>
      <c r="AE393" t="s">
        <v>7922</v>
      </c>
      <c r="AF393" t="s">
        <v>74</v>
      </c>
      <c r="AG393">
        <v>51</v>
      </c>
      <c r="AH393">
        <v>79</v>
      </c>
      <c r="AI393">
        <v>87</v>
      </c>
      <c r="AJ393">
        <v>1</v>
      </c>
      <c r="AK393">
        <v>30</v>
      </c>
      <c r="AL393" t="s">
        <v>1508</v>
      </c>
      <c r="AM393" t="s">
        <v>92</v>
      </c>
      <c r="AN393" t="s">
        <v>93</v>
      </c>
      <c r="AO393" t="s">
        <v>7923</v>
      </c>
      <c r="AP393" t="s">
        <v>7924</v>
      </c>
      <c r="AQ393" t="s">
        <v>74</v>
      </c>
      <c r="AR393" t="s">
        <v>7925</v>
      </c>
      <c r="AS393" t="s">
        <v>7926</v>
      </c>
      <c r="AT393" t="s">
        <v>5327</v>
      </c>
      <c r="AU393">
        <v>2015</v>
      </c>
      <c r="AV393">
        <v>141</v>
      </c>
      <c r="AW393">
        <v>688</v>
      </c>
      <c r="AX393" t="s">
        <v>7927</v>
      </c>
      <c r="AY393" t="s">
        <v>74</v>
      </c>
      <c r="AZ393" t="s">
        <v>74</v>
      </c>
      <c r="BA393" t="s">
        <v>74</v>
      </c>
      <c r="BB393">
        <v>698</v>
      </c>
      <c r="BC393">
        <v>713</v>
      </c>
      <c r="BD393" t="s">
        <v>74</v>
      </c>
      <c r="BE393" t="s">
        <v>7928</v>
      </c>
      <c r="BF393" t="str">
        <f>HYPERLINK("http://dx.doi.org/10.1002/qj.2382","http://dx.doi.org/10.1002/qj.2382")</f>
        <v>http://dx.doi.org/10.1002/qj.2382</v>
      </c>
      <c r="BG393" t="s">
        <v>74</v>
      </c>
      <c r="BH393" t="s">
        <v>74</v>
      </c>
      <c r="BI393">
        <v>16</v>
      </c>
      <c r="BJ393" t="s">
        <v>406</v>
      </c>
      <c r="BK393" t="s">
        <v>100</v>
      </c>
      <c r="BL393" t="s">
        <v>406</v>
      </c>
      <c r="BM393" t="s">
        <v>7929</v>
      </c>
      <c r="BN393" t="s">
        <v>74</v>
      </c>
      <c r="BO393" t="s">
        <v>7739</v>
      </c>
      <c r="BP393" t="s">
        <v>74</v>
      </c>
      <c r="BQ393" t="s">
        <v>74</v>
      </c>
      <c r="BR393" t="s">
        <v>104</v>
      </c>
      <c r="BS393" t="s">
        <v>7930</v>
      </c>
      <c r="BT393" t="str">
        <f>HYPERLINK("https%3A%2F%2Fwww.webofscience.com%2Fwos%2Fwoscc%2Ffull-record%2FWOS:000353412600003","View Full Record in Web of Science")</f>
        <v>View Full Record in Web of Science</v>
      </c>
    </row>
    <row r="394" spans="1:72" x14ac:dyDescent="0.15">
      <c r="A394" t="s">
        <v>72</v>
      </c>
      <c r="B394" t="s">
        <v>7931</v>
      </c>
      <c r="C394" t="s">
        <v>74</v>
      </c>
      <c r="D394" t="s">
        <v>74</v>
      </c>
      <c r="E394" t="s">
        <v>74</v>
      </c>
      <c r="F394" t="s">
        <v>7932</v>
      </c>
      <c r="G394" t="s">
        <v>74</v>
      </c>
      <c r="H394" t="s">
        <v>74</v>
      </c>
      <c r="I394" t="s">
        <v>7933</v>
      </c>
      <c r="J394" t="s">
        <v>7934</v>
      </c>
      <c r="K394" t="s">
        <v>74</v>
      </c>
      <c r="L394" t="s">
        <v>74</v>
      </c>
      <c r="M394" t="s">
        <v>78</v>
      </c>
      <c r="N394" t="s">
        <v>79</v>
      </c>
      <c r="O394" t="s">
        <v>74</v>
      </c>
      <c r="P394" t="s">
        <v>74</v>
      </c>
      <c r="Q394" t="s">
        <v>74</v>
      </c>
      <c r="R394" t="s">
        <v>74</v>
      </c>
      <c r="S394" t="s">
        <v>74</v>
      </c>
      <c r="T394" t="s">
        <v>7935</v>
      </c>
      <c r="U394" t="s">
        <v>7936</v>
      </c>
      <c r="V394" t="s">
        <v>7937</v>
      </c>
      <c r="W394" t="s">
        <v>7938</v>
      </c>
      <c r="X394" t="s">
        <v>7939</v>
      </c>
      <c r="Y394" t="s">
        <v>7940</v>
      </c>
      <c r="Z394" t="s">
        <v>7941</v>
      </c>
      <c r="AA394" t="s">
        <v>7942</v>
      </c>
      <c r="AB394" t="s">
        <v>74</v>
      </c>
      <c r="AC394" t="s">
        <v>7943</v>
      </c>
      <c r="AD394" t="s">
        <v>7944</v>
      </c>
      <c r="AE394" t="s">
        <v>7945</v>
      </c>
      <c r="AF394" t="s">
        <v>74</v>
      </c>
      <c r="AG394">
        <v>24</v>
      </c>
      <c r="AH394">
        <v>21</v>
      </c>
      <c r="AI394">
        <v>27</v>
      </c>
      <c r="AJ394">
        <v>8</v>
      </c>
      <c r="AK394">
        <v>49</v>
      </c>
      <c r="AL394" t="s">
        <v>786</v>
      </c>
      <c r="AM394" t="s">
        <v>787</v>
      </c>
      <c r="AN394" t="s">
        <v>788</v>
      </c>
      <c r="AO394" t="s">
        <v>7946</v>
      </c>
      <c r="AP394" t="s">
        <v>74</v>
      </c>
      <c r="AQ394" t="s">
        <v>74</v>
      </c>
      <c r="AR394" t="s">
        <v>7947</v>
      </c>
      <c r="AS394" t="s">
        <v>7948</v>
      </c>
      <c r="AT394" t="s">
        <v>5327</v>
      </c>
      <c r="AU394">
        <v>2015</v>
      </c>
      <c r="AV394">
        <v>109</v>
      </c>
      <c r="AW394" t="s">
        <v>74</v>
      </c>
      <c r="AX394" t="s">
        <v>74</v>
      </c>
      <c r="AY394" t="s">
        <v>74</v>
      </c>
      <c r="AZ394" t="s">
        <v>74</v>
      </c>
      <c r="BA394" t="s">
        <v>74</v>
      </c>
      <c r="BB394">
        <v>23</v>
      </c>
      <c r="BC394">
        <v>26</v>
      </c>
      <c r="BD394" t="s">
        <v>74</v>
      </c>
      <c r="BE394" t="s">
        <v>7949</v>
      </c>
      <c r="BF394" t="str">
        <f>HYPERLINK("http://dx.doi.org/10.1016/j.radphyschem.2014.12.008","http://dx.doi.org/10.1016/j.radphyschem.2014.12.008")</f>
        <v>http://dx.doi.org/10.1016/j.radphyschem.2014.12.008</v>
      </c>
      <c r="BG394" t="s">
        <v>74</v>
      </c>
      <c r="BH394" t="s">
        <v>74</v>
      </c>
      <c r="BI394">
        <v>4</v>
      </c>
      <c r="BJ394" t="s">
        <v>7950</v>
      </c>
      <c r="BK394" t="s">
        <v>100</v>
      </c>
      <c r="BL394" t="s">
        <v>7951</v>
      </c>
      <c r="BM394" t="s">
        <v>7952</v>
      </c>
      <c r="BN394" t="s">
        <v>74</v>
      </c>
      <c r="BO394" t="s">
        <v>74</v>
      </c>
      <c r="BP394" t="s">
        <v>74</v>
      </c>
      <c r="BQ394" t="s">
        <v>74</v>
      </c>
      <c r="BR394" t="s">
        <v>104</v>
      </c>
      <c r="BS394" t="s">
        <v>7953</v>
      </c>
      <c r="BT394" t="str">
        <f>HYPERLINK("https%3A%2F%2Fwww.webofscience.com%2Fwos%2Fwoscc%2Ffull-record%2FWOS:000349575400005","View Full Record in Web of Science")</f>
        <v>View Full Record in Web of Science</v>
      </c>
    </row>
    <row r="395" spans="1:72" x14ac:dyDescent="0.15">
      <c r="A395" t="s">
        <v>72</v>
      </c>
      <c r="B395" t="s">
        <v>7954</v>
      </c>
      <c r="C395" t="s">
        <v>74</v>
      </c>
      <c r="D395" t="s">
        <v>74</v>
      </c>
      <c r="E395" t="s">
        <v>74</v>
      </c>
      <c r="F395" t="s">
        <v>7955</v>
      </c>
      <c r="G395" t="s">
        <v>74</v>
      </c>
      <c r="H395" t="s">
        <v>74</v>
      </c>
      <c r="I395" t="s">
        <v>7956</v>
      </c>
      <c r="J395" t="s">
        <v>7957</v>
      </c>
      <c r="K395" t="s">
        <v>74</v>
      </c>
      <c r="L395" t="s">
        <v>74</v>
      </c>
      <c r="M395" t="s">
        <v>78</v>
      </c>
      <c r="N395" t="s">
        <v>79</v>
      </c>
      <c r="O395" t="s">
        <v>74</v>
      </c>
      <c r="P395" t="s">
        <v>74</v>
      </c>
      <c r="Q395" t="s">
        <v>74</v>
      </c>
      <c r="R395" t="s">
        <v>74</v>
      </c>
      <c r="S395" t="s">
        <v>74</v>
      </c>
      <c r="T395" t="s">
        <v>7958</v>
      </c>
      <c r="U395" t="s">
        <v>7959</v>
      </c>
      <c r="V395" t="s">
        <v>7960</v>
      </c>
      <c r="W395" t="s">
        <v>7961</v>
      </c>
      <c r="X395" t="s">
        <v>7962</v>
      </c>
      <c r="Y395" t="s">
        <v>7963</v>
      </c>
      <c r="Z395" t="s">
        <v>7964</v>
      </c>
      <c r="AA395" t="s">
        <v>7965</v>
      </c>
      <c r="AB395" t="s">
        <v>7966</v>
      </c>
      <c r="AC395" t="s">
        <v>7967</v>
      </c>
      <c r="AD395" t="s">
        <v>7968</v>
      </c>
      <c r="AE395" t="s">
        <v>7969</v>
      </c>
      <c r="AF395" t="s">
        <v>74</v>
      </c>
      <c r="AG395">
        <v>65</v>
      </c>
      <c r="AH395">
        <v>30</v>
      </c>
      <c r="AI395">
        <v>34</v>
      </c>
      <c r="AJ395">
        <v>2</v>
      </c>
      <c r="AK395">
        <v>57</v>
      </c>
      <c r="AL395" t="s">
        <v>2659</v>
      </c>
      <c r="AM395" t="s">
        <v>2660</v>
      </c>
      <c r="AN395" t="s">
        <v>2661</v>
      </c>
      <c r="AO395" t="s">
        <v>7970</v>
      </c>
      <c r="AP395" t="s">
        <v>7971</v>
      </c>
      <c r="AQ395" t="s">
        <v>74</v>
      </c>
      <c r="AR395" t="s">
        <v>7972</v>
      </c>
      <c r="AS395" t="s">
        <v>7973</v>
      </c>
      <c r="AT395" t="s">
        <v>5327</v>
      </c>
      <c r="AU395">
        <v>2015</v>
      </c>
      <c r="AV395">
        <v>15</v>
      </c>
      <c r="AW395">
        <v>4</v>
      </c>
      <c r="AX395" t="s">
        <v>74</v>
      </c>
      <c r="AY395" t="s">
        <v>74</v>
      </c>
      <c r="AZ395" t="s">
        <v>74</v>
      </c>
      <c r="BA395" t="s">
        <v>74</v>
      </c>
      <c r="BB395">
        <v>595</v>
      </c>
      <c r="BC395">
        <v>606</v>
      </c>
      <c r="BD395" t="s">
        <v>74</v>
      </c>
      <c r="BE395" t="s">
        <v>7974</v>
      </c>
      <c r="BF395" t="str">
        <f>HYPERLINK("http://dx.doi.org/10.1007/s10113-014-0670-4","http://dx.doi.org/10.1007/s10113-014-0670-4")</f>
        <v>http://dx.doi.org/10.1007/s10113-014-0670-4</v>
      </c>
      <c r="BG395" t="s">
        <v>74</v>
      </c>
      <c r="BH395" t="s">
        <v>74</v>
      </c>
      <c r="BI395">
        <v>12</v>
      </c>
      <c r="BJ395" t="s">
        <v>7975</v>
      </c>
      <c r="BK395" t="s">
        <v>1019</v>
      </c>
      <c r="BL395" t="s">
        <v>1048</v>
      </c>
      <c r="BM395" t="s">
        <v>7976</v>
      </c>
      <c r="BN395" t="s">
        <v>74</v>
      </c>
      <c r="BO395" t="s">
        <v>74</v>
      </c>
      <c r="BP395" t="s">
        <v>74</v>
      </c>
      <c r="BQ395" t="s">
        <v>74</v>
      </c>
      <c r="BR395" t="s">
        <v>104</v>
      </c>
      <c r="BS395" t="s">
        <v>7977</v>
      </c>
      <c r="BT395" t="str">
        <f>HYPERLINK("https%3A%2F%2Fwww.webofscience.com%2Fwos%2Fwoscc%2Ffull-record%2FWOS:000351374300003","View Full Record in Web of Science")</f>
        <v>View Full Record in Web of Science</v>
      </c>
    </row>
    <row r="396" spans="1:72" x14ac:dyDescent="0.15">
      <c r="A396" t="s">
        <v>72</v>
      </c>
      <c r="B396" t="s">
        <v>7978</v>
      </c>
      <c r="C396" t="s">
        <v>74</v>
      </c>
      <c r="D396" t="s">
        <v>74</v>
      </c>
      <c r="E396" t="s">
        <v>74</v>
      </c>
      <c r="F396" t="s">
        <v>7979</v>
      </c>
      <c r="G396" t="s">
        <v>74</v>
      </c>
      <c r="H396" t="s">
        <v>74</v>
      </c>
      <c r="I396" t="s">
        <v>7980</v>
      </c>
      <c r="J396" t="s">
        <v>3831</v>
      </c>
      <c r="K396" t="s">
        <v>74</v>
      </c>
      <c r="L396" t="s">
        <v>74</v>
      </c>
      <c r="M396" t="s">
        <v>78</v>
      </c>
      <c r="N396" t="s">
        <v>79</v>
      </c>
      <c r="O396" t="s">
        <v>74</v>
      </c>
      <c r="P396" t="s">
        <v>74</v>
      </c>
      <c r="Q396" t="s">
        <v>74</v>
      </c>
      <c r="R396" t="s">
        <v>74</v>
      </c>
      <c r="S396" t="s">
        <v>74</v>
      </c>
      <c r="T396" t="s">
        <v>7981</v>
      </c>
      <c r="U396" t="s">
        <v>7982</v>
      </c>
      <c r="V396" t="s">
        <v>7983</v>
      </c>
      <c r="W396" t="s">
        <v>7984</v>
      </c>
      <c r="X396" t="s">
        <v>7985</v>
      </c>
      <c r="Y396" t="s">
        <v>7986</v>
      </c>
      <c r="Z396" t="s">
        <v>7987</v>
      </c>
      <c r="AA396" t="s">
        <v>7988</v>
      </c>
      <c r="AB396" t="s">
        <v>7989</v>
      </c>
      <c r="AC396" t="s">
        <v>7990</v>
      </c>
      <c r="AD396" t="s">
        <v>7991</v>
      </c>
      <c r="AE396" t="s">
        <v>7992</v>
      </c>
      <c r="AF396" t="s">
        <v>74</v>
      </c>
      <c r="AG396">
        <v>105</v>
      </c>
      <c r="AH396">
        <v>172</v>
      </c>
      <c r="AI396">
        <v>189</v>
      </c>
      <c r="AJ396">
        <v>2</v>
      </c>
      <c r="AK396">
        <v>69</v>
      </c>
      <c r="AL396" t="s">
        <v>1113</v>
      </c>
      <c r="AM396" t="s">
        <v>378</v>
      </c>
      <c r="AN396" t="s">
        <v>1114</v>
      </c>
      <c r="AO396" t="s">
        <v>3844</v>
      </c>
      <c r="AP396" t="s">
        <v>74</v>
      </c>
      <c r="AQ396" t="s">
        <v>74</v>
      </c>
      <c r="AR396" t="s">
        <v>3845</v>
      </c>
      <c r="AS396" t="s">
        <v>3846</v>
      </c>
      <c r="AT396" t="s">
        <v>5327</v>
      </c>
      <c r="AU396">
        <v>2015</v>
      </c>
      <c r="AV396">
        <v>2</v>
      </c>
      <c r="AW396">
        <v>4</v>
      </c>
      <c r="AX396" t="s">
        <v>74</v>
      </c>
      <c r="AY396" t="s">
        <v>74</v>
      </c>
      <c r="AZ396" t="s">
        <v>74</v>
      </c>
      <c r="BA396" t="s">
        <v>74</v>
      </c>
      <c r="BB396" t="s">
        <v>74</v>
      </c>
      <c r="BC396" t="s">
        <v>74</v>
      </c>
      <c r="BD396">
        <v>140434</v>
      </c>
      <c r="BE396" t="s">
        <v>7993</v>
      </c>
      <c r="BF396" t="str">
        <f>HYPERLINK("http://dx.doi.org/10.1098/rsos.140434","http://dx.doi.org/10.1098/rsos.140434")</f>
        <v>http://dx.doi.org/10.1098/rsos.140434</v>
      </c>
      <c r="BG396" t="s">
        <v>74</v>
      </c>
      <c r="BH396" t="s">
        <v>74</v>
      </c>
      <c r="BI396">
        <v>14</v>
      </c>
      <c r="BJ396" t="s">
        <v>429</v>
      </c>
      <c r="BK396" t="s">
        <v>100</v>
      </c>
      <c r="BL396" t="s">
        <v>430</v>
      </c>
      <c r="BM396" t="s">
        <v>7994</v>
      </c>
      <c r="BN396">
        <v>26064636</v>
      </c>
      <c r="BO396" t="s">
        <v>485</v>
      </c>
      <c r="BP396" t="s">
        <v>74</v>
      </c>
      <c r="BQ396" t="s">
        <v>74</v>
      </c>
      <c r="BR396" t="s">
        <v>104</v>
      </c>
      <c r="BS396" t="s">
        <v>7995</v>
      </c>
      <c r="BT396" t="str">
        <f>HYPERLINK("https%3A%2F%2Fwww.webofscience.com%2Fwos%2Fwoscc%2Ffull-record%2FWOS:000377965400012","View Full Record in Web of Science")</f>
        <v>View Full Record in Web of Science</v>
      </c>
    </row>
    <row r="397" spans="1:72" x14ac:dyDescent="0.15">
      <c r="A397" t="s">
        <v>72</v>
      </c>
      <c r="B397" t="s">
        <v>7996</v>
      </c>
      <c r="C397" t="s">
        <v>74</v>
      </c>
      <c r="D397" t="s">
        <v>74</v>
      </c>
      <c r="E397" t="s">
        <v>74</v>
      </c>
      <c r="F397" t="s">
        <v>7997</v>
      </c>
      <c r="G397" t="s">
        <v>74</v>
      </c>
      <c r="H397" t="s">
        <v>74</v>
      </c>
      <c r="I397" t="s">
        <v>7998</v>
      </c>
      <c r="J397" t="s">
        <v>7999</v>
      </c>
      <c r="K397" t="s">
        <v>74</v>
      </c>
      <c r="L397" t="s">
        <v>74</v>
      </c>
      <c r="M397" t="s">
        <v>78</v>
      </c>
      <c r="N397" t="s">
        <v>79</v>
      </c>
      <c r="O397" t="s">
        <v>74</v>
      </c>
      <c r="P397" t="s">
        <v>74</v>
      </c>
      <c r="Q397" t="s">
        <v>74</v>
      </c>
      <c r="R397" t="s">
        <v>74</v>
      </c>
      <c r="S397" t="s">
        <v>74</v>
      </c>
      <c r="T397" t="s">
        <v>8000</v>
      </c>
      <c r="U397" t="s">
        <v>74</v>
      </c>
      <c r="V397" t="s">
        <v>8001</v>
      </c>
      <c r="W397" t="s">
        <v>8002</v>
      </c>
      <c r="X397" t="s">
        <v>8003</v>
      </c>
      <c r="Y397" t="s">
        <v>8004</v>
      </c>
      <c r="Z397" t="s">
        <v>8005</v>
      </c>
      <c r="AA397" t="s">
        <v>8006</v>
      </c>
      <c r="AB397" t="s">
        <v>8007</v>
      </c>
      <c r="AC397" t="s">
        <v>8008</v>
      </c>
      <c r="AD397" t="s">
        <v>8008</v>
      </c>
      <c r="AE397" t="s">
        <v>8009</v>
      </c>
      <c r="AF397" t="s">
        <v>74</v>
      </c>
      <c r="AG397">
        <v>13</v>
      </c>
      <c r="AH397">
        <v>1</v>
      </c>
      <c r="AI397">
        <v>1</v>
      </c>
      <c r="AJ397">
        <v>0</v>
      </c>
      <c r="AK397">
        <v>3</v>
      </c>
      <c r="AL397" t="s">
        <v>8010</v>
      </c>
      <c r="AM397" t="s">
        <v>2097</v>
      </c>
      <c r="AN397" t="s">
        <v>8011</v>
      </c>
      <c r="AO397" t="s">
        <v>8012</v>
      </c>
      <c r="AP397" t="s">
        <v>74</v>
      </c>
      <c r="AQ397" t="s">
        <v>74</v>
      </c>
      <c r="AR397" t="s">
        <v>8013</v>
      </c>
      <c r="AS397" t="s">
        <v>8014</v>
      </c>
      <c r="AT397" t="s">
        <v>5327</v>
      </c>
      <c r="AU397">
        <v>2015</v>
      </c>
      <c r="AV397">
        <v>15</v>
      </c>
      <c r="AW397">
        <v>2</v>
      </c>
      <c r="AX397" t="s">
        <v>74</v>
      </c>
      <c r="AY397" t="s">
        <v>74</v>
      </c>
      <c r="AZ397" t="s">
        <v>74</v>
      </c>
      <c r="BA397" t="s">
        <v>74</v>
      </c>
      <c r="BB397" t="s">
        <v>74</v>
      </c>
      <c r="BC397" t="s">
        <v>74</v>
      </c>
      <c r="BD397" t="s">
        <v>8015</v>
      </c>
      <c r="BE397" t="s">
        <v>8016</v>
      </c>
      <c r="BF397" t="str">
        <f>HYPERLINK("http://dx.doi.org/10.2205/2015ES000549","http://dx.doi.org/10.2205/2015ES000549")</f>
        <v>http://dx.doi.org/10.2205/2015ES000549</v>
      </c>
      <c r="BG397" t="s">
        <v>74</v>
      </c>
      <c r="BH397" t="s">
        <v>74</v>
      </c>
      <c r="BI397">
        <v>8</v>
      </c>
      <c r="BJ397" t="s">
        <v>219</v>
      </c>
      <c r="BK397" t="s">
        <v>888</v>
      </c>
      <c r="BL397" t="s">
        <v>220</v>
      </c>
      <c r="BM397" t="s">
        <v>8017</v>
      </c>
      <c r="BN397" t="s">
        <v>74</v>
      </c>
      <c r="BO397" t="s">
        <v>156</v>
      </c>
      <c r="BP397" t="s">
        <v>74</v>
      </c>
      <c r="BQ397" t="s">
        <v>74</v>
      </c>
      <c r="BR397" t="s">
        <v>104</v>
      </c>
      <c r="BS397" t="s">
        <v>8018</v>
      </c>
      <c r="BT397" t="str">
        <f>HYPERLINK("https%3A%2F%2Fwww.webofscience.com%2Fwos%2Fwoscc%2Ffull-record%2FWOS:000420829100002","View Full Record in Web of Science")</f>
        <v>View Full Record in Web of Science</v>
      </c>
    </row>
    <row r="398" spans="1:72" x14ac:dyDescent="0.15">
      <c r="A398" t="s">
        <v>72</v>
      </c>
      <c r="B398" t="s">
        <v>8019</v>
      </c>
      <c r="C398" t="s">
        <v>74</v>
      </c>
      <c r="D398" t="s">
        <v>74</v>
      </c>
      <c r="E398" t="s">
        <v>74</v>
      </c>
      <c r="F398" t="s">
        <v>8020</v>
      </c>
      <c r="G398" t="s">
        <v>74</v>
      </c>
      <c r="H398" t="s">
        <v>74</v>
      </c>
      <c r="I398" t="s">
        <v>8021</v>
      </c>
      <c r="J398" t="s">
        <v>7999</v>
      </c>
      <c r="K398" t="s">
        <v>74</v>
      </c>
      <c r="L398" t="s">
        <v>74</v>
      </c>
      <c r="M398" t="s">
        <v>78</v>
      </c>
      <c r="N398" t="s">
        <v>79</v>
      </c>
      <c r="O398" t="s">
        <v>74</v>
      </c>
      <c r="P398" t="s">
        <v>74</v>
      </c>
      <c r="Q398" t="s">
        <v>74</v>
      </c>
      <c r="R398" t="s">
        <v>74</v>
      </c>
      <c r="S398" t="s">
        <v>74</v>
      </c>
      <c r="T398" t="s">
        <v>8022</v>
      </c>
      <c r="U398" t="s">
        <v>74</v>
      </c>
      <c r="V398" t="s">
        <v>8023</v>
      </c>
      <c r="W398" t="s">
        <v>8024</v>
      </c>
      <c r="X398" t="s">
        <v>2432</v>
      </c>
      <c r="Y398" t="s">
        <v>8025</v>
      </c>
      <c r="Z398" t="s">
        <v>8026</v>
      </c>
      <c r="AA398" t="s">
        <v>8027</v>
      </c>
      <c r="AB398" t="s">
        <v>8028</v>
      </c>
      <c r="AC398" t="s">
        <v>8029</v>
      </c>
      <c r="AD398" t="s">
        <v>8030</v>
      </c>
      <c r="AE398" t="s">
        <v>8031</v>
      </c>
      <c r="AF398" t="s">
        <v>74</v>
      </c>
      <c r="AG398">
        <v>3</v>
      </c>
      <c r="AH398">
        <v>3</v>
      </c>
      <c r="AI398">
        <v>4</v>
      </c>
      <c r="AJ398">
        <v>2</v>
      </c>
      <c r="AK398">
        <v>3</v>
      </c>
      <c r="AL398" t="s">
        <v>8010</v>
      </c>
      <c r="AM398" t="s">
        <v>2097</v>
      </c>
      <c r="AN398" t="s">
        <v>8011</v>
      </c>
      <c r="AO398" t="s">
        <v>8012</v>
      </c>
      <c r="AP398" t="s">
        <v>74</v>
      </c>
      <c r="AQ398" t="s">
        <v>74</v>
      </c>
      <c r="AR398" t="s">
        <v>8013</v>
      </c>
      <c r="AS398" t="s">
        <v>8014</v>
      </c>
      <c r="AT398" t="s">
        <v>5327</v>
      </c>
      <c r="AU398">
        <v>2015</v>
      </c>
      <c r="AV398">
        <v>15</v>
      </c>
      <c r="AW398">
        <v>2</v>
      </c>
      <c r="AX398" t="s">
        <v>74</v>
      </c>
      <c r="AY398" t="s">
        <v>74</v>
      </c>
      <c r="AZ398" t="s">
        <v>74</v>
      </c>
      <c r="BA398" t="s">
        <v>74</v>
      </c>
      <c r="BB398" t="s">
        <v>74</v>
      </c>
      <c r="BC398" t="s">
        <v>74</v>
      </c>
      <c r="BD398" t="s">
        <v>8032</v>
      </c>
      <c r="BE398" t="s">
        <v>8033</v>
      </c>
      <c r="BF398" t="str">
        <f>HYPERLINK("http://dx.doi.org/10.2205/2015ES000548","http://dx.doi.org/10.2205/2015ES000548")</f>
        <v>http://dx.doi.org/10.2205/2015ES000548</v>
      </c>
      <c r="BG398" t="s">
        <v>74</v>
      </c>
      <c r="BH398" t="s">
        <v>74</v>
      </c>
      <c r="BI398">
        <v>7</v>
      </c>
      <c r="BJ398" t="s">
        <v>219</v>
      </c>
      <c r="BK398" t="s">
        <v>888</v>
      </c>
      <c r="BL398" t="s">
        <v>220</v>
      </c>
      <c r="BM398" t="s">
        <v>8017</v>
      </c>
      <c r="BN398" t="s">
        <v>74</v>
      </c>
      <c r="BO398" t="s">
        <v>156</v>
      </c>
      <c r="BP398" t="s">
        <v>74</v>
      </c>
      <c r="BQ398" t="s">
        <v>74</v>
      </c>
      <c r="BR398" t="s">
        <v>104</v>
      </c>
      <c r="BS398" t="s">
        <v>8034</v>
      </c>
      <c r="BT398" t="str">
        <f>HYPERLINK("https%3A%2F%2Fwww.webofscience.com%2Fwos%2Fwoscc%2Ffull-record%2FWOS:000420829100001","View Full Record in Web of Science")</f>
        <v>View Full Record in Web of Science</v>
      </c>
    </row>
    <row r="399" spans="1:72" x14ac:dyDescent="0.15">
      <c r="A399" t="s">
        <v>72</v>
      </c>
      <c r="B399" t="s">
        <v>8035</v>
      </c>
      <c r="C399" t="s">
        <v>74</v>
      </c>
      <c r="D399" t="s">
        <v>74</v>
      </c>
      <c r="E399" t="s">
        <v>74</v>
      </c>
      <c r="F399" t="s">
        <v>8036</v>
      </c>
      <c r="G399" t="s">
        <v>74</v>
      </c>
      <c r="H399" t="s">
        <v>74</v>
      </c>
      <c r="I399" t="s">
        <v>8037</v>
      </c>
      <c r="J399" t="s">
        <v>8038</v>
      </c>
      <c r="K399" t="s">
        <v>74</v>
      </c>
      <c r="L399" t="s">
        <v>74</v>
      </c>
      <c r="M399" t="s">
        <v>78</v>
      </c>
      <c r="N399" t="s">
        <v>2805</v>
      </c>
      <c r="O399" t="s">
        <v>74</v>
      </c>
      <c r="P399" t="s">
        <v>74</v>
      </c>
      <c r="Q399" t="s">
        <v>74</v>
      </c>
      <c r="R399" t="s">
        <v>74</v>
      </c>
      <c r="S399" t="s">
        <v>74</v>
      </c>
      <c r="T399" t="s">
        <v>8039</v>
      </c>
      <c r="U399" t="s">
        <v>74</v>
      </c>
      <c r="V399" t="s">
        <v>8040</v>
      </c>
      <c r="W399" t="s">
        <v>8041</v>
      </c>
      <c r="X399" t="s">
        <v>8042</v>
      </c>
      <c r="Y399" t="s">
        <v>8043</v>
      </c>
      <c r="Z399" t="s">
        <v>8044</v>
      </c>
      <c r="AA399" t="s">
        <v>74</v>
      </c>
      <c r="AB399" t="s">
        <v>8045</v>
      </c>
      <c r="AC399" t="s">
        <v>74</v>
      </c>
      <c r="AD399" t="s">
        <v>74</v>
      </c>
      <c r="AE399" t="s">
        <v>74</v>
      </c>
      <c r="AF399" t="s">
        <v>74</v>
      </c>
      <c r="AG399">
        <v>15</v>
      </c>
      <c r="AH399">
        <v>7</v>
      </c>
      <c r="AI399">
        <v>7</v>
      </c>
      <c r="AJ399">
        <v>1</v>
      </c>
      <c r="AK399">
        <v>29</v>
      </c>
      <c r="AL399" t="s">
        <v>2167</v>
      </c>
      <c r="AM399" t="s">
        <v>2168</v>
      </c>
      <c r="AN399" t="s">
        <v>2169</v>
      </c>
      <c r="AO399" t="s">
        <v>8046</v>
      </c>
      <c r="AP399" t="s">
        <v>8047</v>
      </c>
      <c r="AQ399" t="s">
        <v>74</v>
      </c>
      <c r="AR399" t="s">
        <v>8048</v>
      </c>
      <c r="AS399" t="s">
        <v>8049</v>
      </c>
      <c r="AT399" t="s">
        <v>5327</v>
      </c>
      <c r="AU399">
        <v>2015</v>
      </c>
      <c r="AV399">
        <v>4</v>
      </c>
      <c r="AW399">
        <v>1</v>
      </c>
      <c r="AX399" t="s">
        <v>74</v>
      </c>
      <c r="AY399" t="s">
        <v>74</v>
      </c>
      <c r="AZ399" t="s">
        <v>74</v>
      </c>
      <c r="BA399" t="s">
        <v>74</v>
      </c>
      <c r="BB399">
        <v>181</v>
      </c>
      <c r="BC399">
        <v>194</v>
      </c>
      <c r="BD399" t="s">
        <v>74</v>
      </c>
      <c r="BE399" t="s">
        <v>8050</v>
      </c>
      <c r="BF399" t="str">
        <f>HYPERLINK("http://dx.doi.org/10.1017/S2047102515000035","http://dx.doi.org/10.1017/S2047102515000035")</f>
        <v>http://dx.doi.org/10.1017/S2047102515000035</v>
      </c>
      <c r="BG399" t="s">
        <v>74</v>
      </c>
      <c r="BH399" t="s">
        <v>74</v>
      </c>
      <c r="BI399">
        <v>14</v>
      </c>
      <c r="BJ399" t="s">
        <v>8051</v>
      </c>
      <c r="BK399" t="s">
        <v>1189</v>
      </c>
      <c r="BL399" t="s">
        <v>8052</v>
      </c>
      <c r="BM399" t="s">
        <v>8053</v>
      </c>
      <c r="BN399" t="s">
        <v>74</v>
      </c>
      <c r="BO399" t="s">
        <v>74</v>
      </c>
      <c r="BP399" t="s">
        <v>74</v>
      </c>
      <c r="BQ399" t="s">
        <v>74</v>
      </c>
      <c r="BR399" t="s">
        <v>104</v>
      </c>
      <c r="BS399" t="s">
        <v>8054</v>
      </c>
      <c r="BT399" t="str">
        <f>HYPERLINK("https%3A%2F%2Fwww.webofscience.com%2Fwos%2Fwoscc%2Ffull-record%2FWOS:000352713500008","View Full Record in Web of Science")</f>
        <v>View Full Record in Web of Science</v>
      </c>
    </row>
    <row r="400" spans="1:72" x14ac:dyDescent="0.15">
      <c r="A400" t="s">
        <v>72</v>
      </c>
      <c r="B400" t="s">
        <v>8055</v>
      </c>
      <c r="C400" t="s">
        <v>74</v>
      </c>
      <c r="D400" t="s">
        <v>74</v>
      </c>
      <c r="E400" t="s">
        <v>74</v>
      </c>
      <c r="F400" t="s">
        <v>8056</v>
      </c>
      <c r="G400" t="s">
        <v>74</v>
      </c>
      <c r="H400" t="s">
        <v>74</v>
      </c>
      <c r="I400" t="s">
        <v>8057</v>
      </c>
      <c r="J400" t="s">
        <v>226</v>
      </c>
      <c r="K400" t="s">
        <v>74</v>
      </c>
      <c r="L400" t="s">
        <v>74</v>
      </c>
      <c r="M400" t="s">
        <v>78</v>
      </c>
      <c r="N400" t="s">
        <v>79</v>
      </c>
      <c r="O400" t="s">
        <v>74</v>
      </c>
      <c r="P400" t="s">
        <v>74</v>
      </c>
      <c r="Q400" t="s">
        <v>74</v>
      </c>
      <c r="R400" t="s">
        <v>74</v>
      </c>
      <c r="S400" t="s">
        <v>74</v>
      </c>
      <c r="T400" t="s">
        <v>8058</v>
      </c>
      <c r="U400" t="s">
        <v>8059</v>
      </c>
      <c r="V400" t="s">
        <v>8060</v>
      </c>
      <c r="W400" t="s">
        <v>8061</v>
      </c>
      <c r="X400" t="s">
        <v>8062</v>
      </c>
      <c r="Y400" t="s">
        <v>8063</v>
      </c>
      <c r="Z400" t="s">
        <v>8064</v>
      </c>
      <c r="AA400" t="s">
        <v>8065</v>
      </c>
      <c r="AB400" t="s">
        <v>8066</v>
      </c>
      <c r="AC400" t="s">
        <v>8067</v>
      </c>
      <c r="AD400" t="s">
        <v>8068</v>
      </c>
      <c r="AE400" t="s">
        <v>8069</v>
      </c>
      <c r="AF400" t="s">
        <v>74</v>
      </c>
      <c r="AG400">
        <v>54</v>
      </c>
      <c r="AH400">
        <v>25</v>
      </c>
      <c r="AI400">
        <v>25</v>
      </c>
      <c r="AJ400">
        <v>0</v>
      </c>
      <c r="AK400">
        <v>39</v>
      </c>
      <c r="AL400" t="s">
        <v>239</v>
      </c>
      <c r="AM400" t="s">
        <v>240</v>
      </c>
      <c r="AN400" t="s">
        <v>241</v>
      </c>
      <c r="AO400" t="s">
        <v>242</v>
      </c>
      <c r="AP400" t="s">
        <v>243</v>
      </c>
      <c r="AQ400" t="s">
        <v>74</v>
      </c>
      <c r="AR400" t="s">
        <v>226</v>
      </c>
      <c r="AS400" t="s">
        <v>244</v>
      </c>
      <c r="AT400" t="s">
        <v>5327</v>
      </c>
      <c r="AU400">
        <v>2015</v>
      </c>
      <c r="AV400">
        <v>250</v>
      </c>
      <c r="AW400" t="s">
        <v>74</v>
      </c>
      <c r="AX400" t="s">
        <v>74</v>
      </c>
      <c r="AY400" t="s">
        <v>74</v>
      </c>
      <c r="AZ400" t="s">
        <v>74</v>
      </c>
      <c r="BA400" t="s">
        <v>74</v>
      </c>
      <c r="BB400">
        <v>53</v>
      </c>
      <c r="BC400">
        <v>63</v>
      </c>
      <c r="BD400" t="s">
        <v>74</v>
      </c>
      <c r="BE400" t="s">
        <v>8070</v>
      </c>
      <c r="BF400" t="str">
        <f>HYPERLINK("http://dx.doi.org/10.1016/j.icarus.2014.11.006","http://dx.doi.org/10.1016/j.icarus.2014.11.006")</f>
        <v>http://dx.doi.org/10.1016/j.icarus.2014.11.006</v>
      </c>
      <c r="BG400" t="s">
        <v>74</v>
      </c>
      <c r="BH400" t="s">
        <v>74</v>
      </c>
      <c r="BI400">
        <v>11</v>
      </c>
      <c r="BJ400" t="s">
        <v>246</v>
      </c>
      <c r="BK400" t="s">
        <v>100</v>
      </c>
      <c r="BL400" t="s">
        <v>246</v>
      </c>
      <c r="BM400" t="s">
        <v>8071</v>
      </c>
      <c r="BN400" t="s">
        <v>74</v>
      </c>
      <c r="BO400" t="s">
        <v>74</v>
      </c>
      <c r="BP400" t="s">
        <v>74</v>
      </c>
      <c r="BQ400" t="s">
        <v>74</v>
      </c>
      <c r="BR400" t="s">
        <v>104</v>
      </c>
      <c r="BS400" t="s">
        <v>8072</v>
      </c>
      <c r="BT400" t="str">
        <f>HYPERLINK("https%3A%2F%2Fwww.webofscience.com%2Fwos%2Fwoscc%2Ffull-record%2FWOS:000349878200006","View Full Record in Web of Science")</f>
        <v>View Full Record in Web of Science</v>
      </c>
    </row>
    <row r="401" spans="1:72" x14ac:dyDescent="0.15">
      <c r="A401" t="s">
        <v>72</v>
      </c>
      <c r="B401" t="s">
        <v>8073</v>
      </c>
      <c r="C401" t="s">
        <v>74</v>
      </c>
      <c r="D401" t="s">
        <v>74</v>
      </c>
      <c r="E401" t="s">
        <v>74</v>
      </c>
      <c r="F401" t="s">
        <v>8074</v>
      </c>
      <c r="G401" t="s">
        <v>74</v>
      </c>
      <c r="H401" t="s">
        <v>74</v>
      </c>
      <c r="I401" t="s">
        <v>8075</v>
      </c>
      <c r="J401" t="s">
        <v>8076</v>
      </c>
      <c r="K401" t="s">
        <v>74</v>
      </c>
      <c r="L401" t="s">
        <v>74</v>
      </c>
      <c r="M401" t="s">
        <v>78</v>
      </c>
      <c r="N401" t="s">
        <v>79</v>
      </c>
      <c r="O401" t="s">
        <v>74</v>
      </c>
      <c r="P401" t="s">
        <v>74</v>
      </c>
      <c r="Q401" t="s">
        <v>74</v>
      </c>
      <c r="R401" t="s">
        <v>74</v>
      </c>
      <c r="S401" t="s">
        <v>74</v>
      </c>
      <c r="T401" t="s">
        <v>8077</v>
      </c>
      <c r="U401" t="s">
        <v>8078</v>
      </c>
      <c r="V401" t="s">
        <v>8079</v>
      </c>
      <c r="W401" t="s">
        <v>8080</v>
      </c>
      <c r="X401" t="s">
        <v>8081</v>
      </c>
      <c r="Y401" t="s">
        <v>8082</v>
      </c>
      <c r="Z401" t="s">
        <v>8083</v>
      </c>
      <c r="AA401" t="s">
        <v>8084</v>
      </c>
      <c r="AB401" t="s">
        <v>8085</v>
      </c>
      <c r="AC401" t="s">
        <v>8086</v>
      </c>
      <c r="AD401" t="s">
        <v>8086</v>
      </c>
      <c r="AE401" t="s">
        <v>8087</v>
      </c>
      <c r="AF401" t="s">
        <v>74</v>
      </c>
      <c r="AG401">
        <v>51</v>
      </c>
      <c r="AH401">
        <v>63</v>
      </c>
      <c r="AI401">
        <v>70</v>
      </c>
      <c r="AJ401">
        <v>2</v>
      </c>
      <c r="AK401">
        <v>78</v>
      </c>
      <c r="AL401" t="s">
        <v>8088</v>
      </c>
      <c r="AM401" t="s">
        <v>8089</v>
      </c>
      <c r="AN401" t="s">
        <v>8090</v>
      </c>
      <c r="AO401" t="s">
        <v>8091</v>
      </c>
      <c r="AP401" t="s">
        <v>8092</v>
      </c>
      <c r="AQ401" t="s">
        <v>74</v>
      </c>
      <c r="AR401" t="s">
        <v>8093</v>
      </c>
      <c r="AS401" t="s">
        <v>8094</v>
      </c>
      <c r="AT401" t="s">
        <v>5327</v>
      </c>
      <c r="AU401">
        <v>2015</v>
      </c>
      <c r="AV401">
        <v>53</v>
      </c>
      <c r="AW401">
        <v>4</v>
      </c>
      <c r="AX401" t="s">
        <v>74</v>
      </c>
      <c r="AY401" t="s">
        <v>74</v>
      </c>
      <c r="AZ401" t="s">
        <v>74</v>
      </c>
      <c r="BA401" t="s">
        <v>74</v>
      </c>
      <c r="BB401">
        <v>1782</v>
      </c>
      <c r="BC401">
        <v>1802</v>
      </c>
      <c r="BD401" t="s">
        <v>74</v>
      </c>
      <c r="BE401" t="s">
        <v>8095</v>
      </c>
      <c r="BF401" t="str">
        <f>HYPERLINK("http://dx.doi.org/10.1109/TGRS.2014.2348859","http://dx.doi.org/10.1109/TGRS.2014.2348859")</f>
        <v>http://dx.doi.org/10.1109/TGRS.2014.2348859</v>
      </c>
      <c r="BG401" t="s">
        <v>74</v>
      </c>
      <c r="BH401" t="s">
        <v>74</v>
      </c>
      <c r="BI401">
        <v>21</v>
      </c>
      <c r="BJ401" t="s">
        <v>8096</v>
      </c>
      <c r="BK401" t="s">
        <v>100</v>
      </c>
      <c r="BL401" t="s">
        <v>8097</v>
      </c>
      <c r="BM401" t="s">
        <v>8098</v>
      </c>
      <c r="BN401" t="s">
        <v>74</v>
      </c>
      <c r="BO401" t="s">
        <v>74</v>
      </c>
      <c r="BP401" t="s">
        <v>74</v>
      </c>
      <c r="BQ401" t="s">
        <v>74</v>
      </c>
      <c r="BR401" t="s">
        <v>104</v>
      </c>
      <c r="BS401" t="s">
        <v>8099</v>
      </c>
      <c r="BT401" t="str">
        <f>HYPERLINK("https%3A%2F%2Fwww.webofscience.com%2Fwos%2Fwoscc%2Ffull-record%2FWOS:000343902300011","View Full Record in Web of Science")</f>
        <v>View Full Record in Web of Science</v>
      </c>
    </row>
    <row r="402" spans="1:72" x14ac:dyDescent="0.15">
      <c r="A402" t="s">
        <v>72</v>
      </c>
      <c r="B402" t="s">
        <v>8100</v>
      </c>
      <c r="C402" t="s">
        <v>74</v>
      </c>
      <c r="D402" t="s">
        <v>74</v>
      </c>
      <c r="E402" t="s">
        <v>74</v>
      </c>
      <c r="F402" t="s">
        <v>8101</v>
      </c>
      <c r="G402" t="s">
        <v>74</v>
      </c>
      <c r="H402" t="s">
        <v>74</v>
      </c>
      <c r="I402" t="s">
        <v>8102</v>
      </c>
      <c r="J402" t="s">
        <v>8076</v>
      </c>
      <c r="K402" t="s">
        <v>74</v>
      </c>
      <c r="L402" t="s">
        <v>74</v>
      </c>
      <c r="M402" t="s">
        <v>78</v>
      </c>
      <c r="N402" t="s">
        <v>79</v>
      </c>
      <c r="O402" t="s">
        <v>74</v>
      </c>
      <c r="P402" t="s">
        <v>74</v>
      </c>
      <c r="Q402" t="s">
        <v>74</v>
      </c>
      <c r="R402" t="s">
        <v>74</v>
      </c>
      <c r="S402" t="s">
        <v>74</v>
      </c>
      <c r="T402" t="s">
        <v>8103</v>
      </c>
      <c r="U402" t="s">
        <v>8104</v>
      </c>
      <c r="V402" t="s">
        <v>8105</v>
      </c>
      <c r="W402" t="s">
        <v>8106</v>
      </c>
      <c r="X402" t="s">
        <v>8107</v>
      </c>
      <c r="Y402" t="s">
        <v>8108</v>
      </c>
      <c r="Z402" t="s">
        <v>8109</v>
      </c>
      <c r="AA402" t="s">
        <v>74</v>
      </c>
      <c r="AB402" t="s">
        <v>8110</v>
      </c>
      <c r="AC402" t="s">
        <v>8111</v>
      </c>
      <c r="AD402" t="s">
        <v>8111</v>
      </c>
      <c r="AE402" t="s">
        <v>8112</v>
      </c>
      <c r="AF402" t="s">
        <v>74</v>
      </c>
      <c r="AG402">
        <v>49</v>
      </c>
      <c r="AH402">
        <v>38</v>
      </c>
      <c r="AI402">
        <v>50</v>
      </c>
      <c r="AJ402">
        <v>0</v>
      </c>
      <c r="AK402">
        <v>64</v>
      </c>
      <c r="AL402" t="s">
        <v>8088</v>
      </c>
      <c r="AM402" t="s">
        <v>8089</v>
      </c>
      <c r="AN402" t="s">
        <v>8090</v>
      </c>
      <c r="AO402" t="s">
        <v>8091</v>
      </c>
      <c r="AP402" t="s">
        <v>8092</v>
      </c>
      <c r="AQ402" t="s">
        <v>74</v>
      </c>
      <c r="AR402" t="s">
        <v>8093</v>
      </c>
      <c r="AS402" t="s">
        <v>8094</v>
      </c>
      <c r="AT402" t="s">
        <v>5327</v>
      </c>
      <c r="AU402">
        <v>2015</v>
      </c>
      <c r="AV402">
        <v>53</v>
      </c>
      <c r="AW402">
        <v>4</v>
      </c>
      <c r="AX402" t="s">
        <v>74</v>
      </c>
      <c r="AY402" t="s">
        <v>74</v>
      </c>
      <c r="AZ402" t="s">
        <v>74</v>
      </c>
      <c r="BA402" t="s">
        <v>74</v>
      </c>
      <c r="BB402">
        <v>1985</v>
      </c>
      <c r="BC402">
        <v>1996</v>
      </c>
      <c r="BD402" t="s">
        <v>74</v>
      </c>
      <c r="BE402" t="s">
        <v>8113</v>
      </c>
      <c r="BF402" t="str">
        <f>HYPERLINK("http://dx.doi.org/10.1109/TGRS.2014.2351497","http://dx.doi.org/10.1109/TGRS.2014.2351497")</f>
        <v>http://dx.doi.org/10.1109/TGRS.2014.2351497</v>
      </c>
      <c r="BG402" t="s">
        <v>74</v>
      </c>
      <c r="BH402" t="s">
        <v>74</v>
      </c>
      <c r="BI402">
        <v>12</v>
      </c>
      <c r="BJ402" t="s">
        <v>8096</v>
      </c>
      <c r="BK402" t="s">
        <v>100</v>
      </c>
      <c r="BL402" t="s">
        <v>8097</v>
      </c>
      <c r="BM402" t="s">
        <v>8098</v>
      </c>
      <c r="BN402" t="s">
        <v>74</v>
      </c>
      <c r="BO402" t="s">
        <v>74</v>
      </c>
      <c r="BP402" t="s">
        <v>74</v>
      </c>
      <c r="BQ402" t="s">
        <v>74</v>
      </c>
      <c r="BR402" t="s">
        <v>104</v>
      </c>
      <c r="BS402" t="s">
        <v>8114</v>
      </c>
      <c r="BT402" t="str">
        <f>HYPERLINK("https%3A%2F%2Fwww.webofscience.com%2Fwos%2Fwoscc%2Ffull-record%2FWOS:000343902300026","View Full Record in Web of Science")</f>
        <v>View Full Record in Web of Science</v>
      </c>
    </row>
    <row r="403" spans="1:72" x14ac:dyDescent="0.15">
      <c r="A403" t="s">
        <v>72</v>
      </c>
      <c r="B403" t="s">
        <v>8115</v>
      </c>
      <c r="C403" t="s">
        <v>74</v>
      </c>
      <c r="D403" t="s">
        <v>74</v>
      </c>
      <c r="E403" t="s">
        <v>74</v>
      </c>
      <c r="F403" t="s">
        <v>8116</v>
      </c>
      <c r="G403" t="s">
        <v>74</v>
      </c>
      <c r="H403" t="s">
        <v>74</v>
      </c>
      <c r="I403" t="s">
        <v>8117</v>
      </c>
      <c r="J403" t="s">
        <v>8118</v>
      </c>
      <c r="K403" t="s">
        <v>74</v>
      </c>
      <c r="L403" t="s">
        <v>74</v>
      </c>
      <c r="M403" t="s">
        <v>78</v>
      </c>
      <c r="N403" t="s">
        <v>79</v>
      </c>
      <c r="O403" t="s">
        <v>74</v>
      </c>
      <c r="P403" t="s">
        <v>74</v>
      </c>
      <c r="Q403" t="s">
        <v>74</v>
      </c>
      <c r="R403" t="s">
        <v>74</v>
      </c>
      <c r="S403" t="s">
        <v>74</v>
      </c>
      <c r="T403" t="s">
        <v>8119</v>
      </c>
      <c r="U403" t="s">
        <v>8120</v>
      </c>
      <c r="V403" t="s">
        <v>8121</v>
      </c>
      <c r="W403" t="s">
        <v>8122</v>
      </c>
      <c r="X403" t="s">
        <v>1321</v>
      </c>
      <c r="Y403" t="s">
        <v>8123</v>
      </c>
      <c r="Z403" t="s">
        <v>8124</v>
      </c>
      <c r="AA403" t="s">
        <v>74</v>
      </c>
      <c r="AB403" t="s">
        <v>1324</v>
      </c>
      <c r="AC403" t="s">
        <v>8125</v>
      </c>
      <c r="AD403" t="s">
        <v>8126</v>
      </c>
      <c r="AE403" t="s">
        <v>8127</v>
      </c>
      <c r="AF403" t="s">
        <v>74</v>
      </c>
      <c r="AG403">
        <v>68</v>
      </c>
      <c r="AH403">
        <v>3</v>
      </c>
      <c r="AI403">
        <v>3</v>
      </c>
      <c r="AJ403">
        <v>0</v>
      </c>
      <c r="AK403">
        <v>7</v>
      </c>
      <c r="AL403" t="s">
        <v>8128</v>
      </c>
      <c r="AM403" t="s">
        <v>8129</v>
      </c>
      <c r="AN403" t="s">
        <v>8130</v>
      </c>
      <c r="AO403" t="s">
        <v>8131</v>
      </c>
      <c r="AP403" t="s">
        <v>8132</v>
      </c>
      <c r="AQ403" t="s">
        <v>74</v>
      </c>
      <c r="AR403" t="s">
        <v>8133</v>
      </c>
      <c r="AS403" t="s">
        <v>8134</v>
      </c>
      <c r="AT403" t="s">
        <v>8135</v>
      </c>
      <c r="AU403">
        <v>2015</v>
      </c>
      <c r="AV403">
        <v>105</v>
      </c>
      <c r="AW403">
        <v>1</v>
      </c>
      <c r="AX403" t="s">
        <v>74</v>
      </c>
      <c r="AY403" t="s">
        <v>74</v>
      </c>
      <c r="AZ403" t="s">
        <v>74</v>
      </c>
      <c r="BA403" t="s">
        <v>74</v>
      </c>
      <c r="BB403">
        <v>12</v>
      </c>
      <c r="BC403">
        <v>19</v>
      </c>
      <c r="BD403" t="s">
        <v>74</v>
      </c>
      <c r="BE403" t="s">
        <v>8136</v>
      </c>
      <c r="BF403" t="str">
        <f>HYPERLINK("http://dx.doi.org/10.1590/1678-4766201510511219","http://dx.doi.org/10.1590/1678-4766201510511219")</f>
        <v>http://dx.doi.org/10.1590/1678-4766201510511219</v>
      </c>
      <c r="BG403" t="s">
        <v>74</v>
      </c>
      <c r="BH403" t="s">
        <v>74</v>
      </c>
      <c r="BI403">
        <v>8</v>
      </c>
      <c r="BJ403" t="s">
        <v>509</v>
      </c>
      <c r="BK403" t="s">
        <v>100</v>
      </c>
      <c r="BL403" t="s">
        <v>509</v>
      </c>
      <c r="BM403" t="s">
        <v>8137</v>
      </c>
      <c r="BN403" t="s">
        <v>74</v>
      </c>
      <c r="BO403" t="s">
        <v>8138</v>
      </c>
      <c r="BP403" t="s">
        <v>74</v>
      </c>
      <c r="BQ403" t="s">
        <v>74</v>
      </c>
      <c r="BR403" t="s">
        <v>104</v>
      </c>
      <c r="BS403" t="s">
        <v>8139</v>
      </c>
      <c r="BT403" t="str">
        <f>HYPERLINK("https%3A%2F%2Fwww.webofscience.com%2Fwos%2Fwoscc%2Ffull-record%2FWOS:000357553400002","View Full Record in Web of Science")</f>
        <v>View Full Record in Web of Science</v>
      </c>
    </row>
    <row r="404" spans="1:72" x14ac:dyDescent="0.15">
      <c r="A404" t="s">
        <v>72</v>
      </c>
      <c r="B404" t="s">
        <v>8140</v>
      </c>
      <c r="C404" t="s">
        <v>74</v>
      </c>
      <c r="D404" t="s">
        <v>74</v>
      </c>
      <c r="E404" t="s">
        <v>74</v>
      </c>
      <c r="F404" t="s">
        <v>8141</v>
      </c>
      <c r="G404" t="s">
        <v>74</v>
      </c>
      <c r="H404" t="s">
        <v>74</v>
      </c>
      <c r="I404" t="s">
        <v>8142</v>
      </c>
      <c r="J404" t="s">
        <v>490</v>
      </c>
      <c r="K404" t="s">
        <v>74</v>
      </c>
      <c r="L404" t="s">
        <v>74</v>
      </c>
      <c r="M404" t="s">
        <v>78</v>
      </c>
      <c r="N404" t="s">
        <v>79</v>
      </c>
      <c r="O404" t="s">
        <v>74</v>
      </c>
      <c r="P404" t="s">
        <v>74</v>
      </c>
      <c r="Q404" t="s">
        <v>74</v>
      </c>
      <c r="R404" t="s">
        <v>74</v>
      </c>
      <c r="S404" t="s">
        <v>74</v>
      </c>
      <c r="T404" t="s">
        <v>8143</v>
      </c>
      <c r="U404" t="s">
        <v>8144</v>
      </c>
      <c r="V404" t="s">
        <v>8145</v>
      </c>
      <c r="W404" t="s">
        <v>8146</v>
      </c>
      <c r="X404" t="s">
        <v>8147</v>
      </c>
      <c r="Y404" t="s">
        <v>8148</v>
      </c>
      <c r="Z404" t="s">
        <v>8149</v>
      </c>
      <c r="AA404" t="s">
        <v>8150</v>
      </c>
      <c r="AB404" t="s">
        <v>74</v>
      </c>
      <c r="AC404" t="s">
        <v>8151</v>
      </c>
      <c r="AD404" t="s">
        <v>8152</v>
      </c>
      <c r="AE404" t="s">
        <v>8153</v>
      </c>
      <c r="AF404" t="s">
        <v>74</v>
      </c>
      <c r="AG404">
        <v>35</v>
      </c>
      <c r="AH404">
        <v>0</v>
      </c>
      <c r="AI404">
        <v>1</v>
      </c>
      <c r="AJ404">
        <v>0</v>
      </c>
      <c r="AK404">
        <v>2</v>
      </c>
      <c r="AL404" t="s">
        <v>502</v>
      </c>
      <c r="AM404" t="s">
        <v>503</v>
      </c>
      <c r="AN404" t="s">
        <v>674</v>
      </c>
      <c r="AO404" t="s">
        <v>505</v>
      </c>
      <c r="AP404" t="s">
        <v>506</v>
      </c>
      <c r="AQ404" t="s">
        <v>74</v>
      </c>
      <c r="AR404" t="s">
        <v>490</v>
      </c>
      <c r="AS404" t="s">
        <v>507</v>
      </c>
      <c r="AT404" t="s">
        <v>8135</v>
      </c>
      <c r="AU404">
        <v>2015</v>
      </c>
      <c r="AV404">
        <v>3941</v>
      </c>
      <c r="AW404">
        <v>2</v>
      </c>
      <c r="AX404" t="s">
        <v>74</v>
      </c>
      <c r="AY404" t="s">
        <v>74</v>
      </c>
      <c r="AZ404" t="s">
        <v>74</v>
      </c>
      <c r="BA404" t="s">
        <v>74</v>
      </c>
      <c r="BB404">
        <v>221</v>
      </c>
      <c r="BC404">
        <v>238</v>
      </c>
      <c r="BD404" t="s">
        <v>74</v>
      </c>
      <c r="BE404" t="s">
        <v>8154</v>
      </c>
      <c r="BF404" t="str">
        <f>HYPERLINK("http://dx.doi.org/10.11646/zootaxa.3941.2.3","http://dx.doi.org/10.11646/zootaxa.3941.2.3")</f>
        <v>http://dx.doi.org/10.11646/zootaxa.3941.2.3</v>
      </c>
      <c r="BG404" t="s">
        <v>74</v>
      </c>
      <c r="BH404" t="s">
        <v>74</v>
      </c>
      <c r="BI404">
        <v>18</v>
      </c>
      <c r="BJ404" t="s">
        <v>509</v>
      </c>
      <c r="BK404" t="s">
        <v>100</v>
      </c>
      <c r="BL404" t="s">
        <v>509</v>
      </c>
      <c r="BM404" t="s">
        <v>8155</v>
      </c>
      <c r="BN404">
        <v>25947505</v>
      </c>
      <c r="BO404" t="s">
        <v>74</v>
      </c>
      <c r="BP404" t="s">
        <v>74</v>
      </c>
      <c r="BQ404" t="s">
        <v>74</v>
      </c>
      <c r="BR404" t="s">
        <v>104</v>
      </c>
      <c r="BS404" t="s">
        <v>8156</v>
      </c>
      <c r="BT404" t="str">
        <f>HYPERLINK("https%3A%2F%2Fwww.webofscience.com%2Fwos%2Fwoscc%2Ffull-record%2FWOS:000352101200003","View Full Record in Web of Science")</f>
        <v>View Full Record in Web of Science</v>
      </c>
    </row>
    <row r="405" spans="1:72" x14ac:dyDescent="0.15">
      <c r="A405" t="s">
        <v>72</v>
      </c>
      <c r="B405" t="s">
        <v>8157</v>
      </c>
      <c r="C405" t="s">
        <v>74</v>
      </c>
      <c r="D405" t="s">
        <v>74</v>
      </c>
      <c r="E405" t="s">
        <v>74</v>
      </c>
      <c r="F405" t="s">
        <v>8158</v>
      </c>
      <c r="G405" t="s">
        <v>74</v>
      </c>
      <c r="H405" t="s">
        <v>74</v>
      </c>
      <c r="I405" t="s">
        <v>8159</v>
      </c>
      <c r="J405" t="s">
        <v>1072</v>
      </c>
      <c r="K405" t="s">
        <v>74</v>
      </c>
      <c r="L405" t="s">
        <v>74</v>
      </c>
      <c r="M405" t="s">
        <v>78</v>
      </c>
      <c r="N405" t="s">
        <v>79</v>
      </c>
      <c r="O405" t="s">
        <v>74</v>
      </c>
      <c r="P405" t="s">
        <v>74</v>
      </c>
      <c r="Q405" t="s">
        <v>74</v>
      </c>
      <c r="R405" t="s">
        <v>74</v>
      </c>
      <c r="S405" t="s">
        <v>74</v>
      </c>
      <c r="T405" t="s">
        <v>8160</v>
      </c>
      <c r="U405" t="s">
        <v>8161</v>
      </c>
      <c r="V405" t="s">
        <v>8162</v>
      </c>
      <c r="W405" t="s">
        <v>8163</v>
      </c>
      <c r="X405" t="s">
        <v>8164</v>
      </c>
      <c r="Y405" t="s">
        <v>8165</v>
      </c>
      <c r="Z405" t="s">
        <v>8166</v>
      </c>
      <c r="AA405" t="s">
        <v>74</v>
      </c>
      <c r="AB405" t="s">
        <v>8167</v>
      </c>
      <c r="AC405" t="s">
        <v>8168</v>
      </c>
      <c r="AD405" t="s">
        <v>8169</v>
      </c>
      <c r="AE405" t="s">
        <v>8170</v>
      </c>
      <c r="AF405" t="s">
        <v>74</v>
      </c>
      <c r="AG405">
        <v>95</v>
      </c>
      <c r="AH405">
        <v>5</v>
      </c>
      <c r="AI405">
        <v>6</v>
      </c>
      <c r="AJ405">
        <v>0</v>
      </c>
      <c r="AK405">
        <v>44</v>
      </c>
      <c r="AL405" t="s">
        <v>1085</v>
      </c>
      <c r="AM405" t="s">
        <v>1086</v>
      </c>
      <c r="AN405" t="s">
        <v>1087</v>
      </c>
      <c r="AO405" t="s">
        <v>1088</v>
      </c>
      <c r="AP405" t="s">
        <v>1089</v>
      </c>
      <c r="AQ405" t="s">
        <v>74</v>
      </c>
      <c r="AR405" t="s">
        <v>1090</v>
      </c>
      <c r="AS405" t="s">
        <v>1091</v>
      </c>
      <c r="AT405" t="s">
        <v>8171</v>
      </c>
      <c r="AU405">
        <v>2015</v>
      </c>
      <c r="AV405">
        <v>524</v>
      </c>
      <c r="AW405" t="s">
        <v>74</v>
      </c>
      <c r="AX405" t="s">
        <v>74</v>
      </c>
      <c r="AY405" t="s">
        <v>74</v>
      </c>
      <c r="AZ405" t="s">
        <v>74</v>
      </c>
      <c r="BA405" t="s">
        <v>74</v>
      </c>
      <c r="BB405">
        <v>55</v>
      </c>
      <c r="BC405">
        <v>69</v>
      </c>
      <c r="BD405" t="s">
        <v>74</v>
      </c>
      <c r="BE405" t="s">
        <v>8172</v>
      </c>
      <c r="BF405" t="str">
        <f>HYPERLINK("http://dx.doi.org/10.3354/meps11209","http://dx.doi.org/10.3354/meps11209")</f>
        <v>http://dx.doi.org/10.3354/meps11209</v>
      </c>
      <c r="BG405" t="s">
        <v>74</v>
      </c>
      <c r="BH405" t="s">
        <v>74</v>
      </c>
      <c r="BI405">
        <v>15</v>
      </c>
      <c r="BJ405" t="s">
        <v>1094</v>
      </c>
      <c r="BK405" t="s">
        <v>100</v>
      </c>
      <c r="BL405" t="s">
        <v>1095</v>
      </c>
      <c r="BM405" t="s">
        <v>8173</v>
      </c>
      <c r="BN405" t="s">
        <v>74</v>
      </c>
      <c r="BO405" t="s">
        <v>3228</v>
      </c>
      <c r="BP405" t="s">
        <v>74</v>
      </c>
      <c r="BQ405" t="s">
        <v>74</v>
      </c>
      <c r="BR405" t="s">
        <v>104</v>
      </c>
      <c r="BS405" t="s">
        <v>8174</v>
      </c>
      <c r="BT405" t="str">
        <f>HYPERLINK("https%3A%2F%2Fwww.webofscience.com%2Fwos%2Fwoscc%2Ffull-record%2FWOS:000352292900005","View Full Record in Web of Science")</f>
        <v>View Full Record in Web of Science</v>
      </c>
    </row>
    <row r="406" spans="1:72" x14ac:dyDescent="0.15">
      <c r="A406" t="s">
        <v>72</v>
      </c>
      <c r="B406" t="s">
        <v>8175</v>
      </c>
      <c r="C406" t="s">
        <v>74</v>
      </c>
      <c r="D406" t="s">
        <v>74</v>
      </c>
      <c r="E406" t="s">
        <v>74</v>
      </c>
      <c r="F406" t="s">
        <v>8176</v>
      </c>
      <c r="G406" t="s">
        <v>74</v>
      </c>
      <c r="H406" t="s">
        <v>74</v>
      </c>
      <c r="I406" t="s">
        <v>8177</v>
      </c>
      <c r="J406" t="s">
        <v>8178</v>
      </c>
      <c r="K406" t="s">
        <v>74</v>
      </c>
      <c r="L406" t="s">
        <v>74</v>
      </c>
      <c r="M406" t="s">
        <v>78</v>
      </c>
      <c r="N406" t="s">
        <v>79</v>
      </c>
      <c r="O406" t="s">
        <v>74</v>
      </c>
      <c r="P406" t="s">
        <v>74</v>
      </c>
      <c r="Q406" t="s">
        <v>74</v>
      </c>
      <c r="R406" t="s">
        <v>74</v>
      </c>
      <c r="S406" t="s">
        <v>74</v>
      </c>
      <c r="T406" t="s">
        <v>8179</v>
      </c>
      <c r="U406" t="s">
        <v>8180</v>
      </c>
      <c r="V406" t="s">
        <v>8181</v>
      </c>
      <c r="W406" t="s">
        <v>8182</v>
      </c>
      <c r="X406" t="s">
        <v>8183</v>
      </c>
      <c r="Y406" t="s">
        <v>8184</v>
      </c>
      <c r="Z406" t="s">
        <v>8185</v>
      </c>
      <c r="AA406" t="s">
        <v>8186</v>
      </c>
      <c r="AB406" t="s">
        <v>8187</v>
      </c>
      <c r="AC406" t="s">
        <v>8188</v>
      </c>
      <c r="AD406" t="s">
        <v>8188</v>
      </c>
      <c r="AE406" t="s">
        <v>8189</v>
      </c>
      <c r="AF406" t="s">
        <v>74</v>
      </c>
      <c r="AG406">
        <v>51</v>
      </c>
      <c r="AH406">
        <v>23</v>
      </c>
      <c r="AI406">
        <v>23</v>
      </c>
      <c r="AJ406">
        <v>2</v>
      </c>
      <c r="AK406">
        <v>15</v>
      </c>
      <c r="AL406" t="s">
        <v>91</v>
      </c>
      <c r="AM406" t="s">
        <v>92</v>
      </c>
      <c r="AN406" t="s">
        <v>93</v>
      </c>
      <c r="AO406" t="s">
        <v>8190</v>
      </c>
      <c r="AP406" t="s">
        <v>8191</v>
      </c>
      <c r="AQ406" t="s">
        <v>74</v>
      </c>
      <c r="AR406" t="s">
        <v>8192</v>
      </c>
      <c r="AS406" t="s">
        <v>8193</v>
      </c>
      <c r="AT406" t="s">
        <v>8171</v>
      </c>
      <c r="AU406">
        <v>2015</v>
      </c>
      <c r="AV406">
        <v>35</v>
      </c>
      <c r="AW406">
        <v>4</v>
      </c>
      <c r="AX406" t="s">
        <v>74</v>
      </c>
      <c r="AY406" t="s">
        <v>74</v>
      </c>
      <c r="AZ406" t="s">
        <v>74</v>
      </c>
      <c r="BA406" t="s">
        <v>74</v>
      </c>
      <c r="BB406">
        <v>613</v>
      </c>
      <c r="BC406">
        <v>623</v>
      </c>
      <c r="BD406" t="s">
        <v>74</v>
      </c>
      <c r="BE406" t="s">
        <v>8194</v>
      </c>
      <c r="BF406" t="str">
        <f>HYPERLINK("http://dx.doi.org/10.1002/joc.4007","http://dx.doi.org/10.1002/joc.4007")</f>
        <v>http://dx.doi.org/10.1002/joc.4007</v>
      </c>
      <c r="BG406" t="s">
        <v>74</v>
      </c>
      <c r="BH406" t="s">
        <v>74</v>
      </c>
      <c r="BI406">
        <v>11</v>
      </c>
      <c r="BJ406" t="s">
        <v>406</v>
      </c>
      <c r="BK406" t="s">
        <v>100</v>
      </c>
      <c r="BL406" t="s">
        <v>406</v>
      </c>
      <c r="BM406" t="s">
        <v>8195</v>
      </c>
      <c r="BN406" t="s">
        <v>74</v>
      </c>
      <c r="BO406" t="s">
        <v>74</v>
      </c>
      <c r="BP406" t="s">
        <v>74</v>
      </c>
      <c r="BQ406" t="s">
        <v>74</v>
      </c>
      <c r="BR406" t="s">
        <v>104</v>
      </c>
      <c r="BS406" t="s">
        <v>8196</v>
      </c>
      <c r="BT406" t="str">
        <f>HYPERLINK("https%3A%2F%2Fwww.webofscience.com%2Fwos%2Fwoscc%2Ffull-record%2FWOS:000351608900009","View Full Record in Web of Science")</f>
        <v>View Full Record in Web of Science</v>
      </c>
    </row>
    <row r="407" spans="1:72" x14ac:dyDescent="0.15">
      <c r="A407" t="s">
        <v>72</v>
      </c>
      <c r="B407" t="s">
        <v>8197</v>
      </c>
      <c r="C407" t="s">
        <v>74</v>
      </c>
      <c r="D407" t="s">
        <v>74</v>
      </c>
      <c r="E407" t="s">
        <v>74</v>
      </c>
      <c r="F407" t="s">
        <v>8198</v>
      </c>
      <c r="G407" t="s">
        <v>74</v>
      </c>
      <c r="H407" t="s">
        <v>74</v>
      </c>
      <c r="I407" t="s">
        <v>8199</v>
      </c>
      <c r="J407" t="s">
        <v>1072</v>
      </c>
      <c r="K407" t="s">
        <v>74</v>
      </c>
      <c r="L407" t="s">
        <v>74</v>
      </c>
      <c r="M407" t="s">
        <v>78</v>
      </c>
      <c r="N407" t="s">
        <v>79</v>
      </c>
      <c r="O407" t="s">
        <v>74</v>
      </c>
      <c r="P407" t="s">
        <v>74</v>
      </c>
      <c r="Q407" t="s">
        <v>74</v>
      </c>
      <c r="R407" t="s">
        <v>74</v>
      </c>
      <c r="S407" t="s">
        <v>74</v>
      </c>
      <c r="T407" t="s">
        <v>8200</v>
      </c>
      <c r="U407" t="s">
        <v>8201</v>
      </c>
      <c r="V407" t="s">
        <v>8202</v>
      </c>
      <c r="W407" t="s">
        <v>8203</v>
      </c>
      <c r="X407" t="s">
        <v>8204</v>
      </c>
      <c r="Y407" t="s">
        <v>8205</v>
      </c>
      <c r="Z407" t="s">
        <v>8206</v>
      </c>
      <c r="AA407" t="s">
        <v>8207</v>
      </c>
      <c r="AB407" t="s">
        <v>8208</v>
      </c>
      <c r="AC407" t="s">
        <v>8209</v>
      </c>
      <c r="AD407" t="s">
        <v>8210</v>
      </c>
      <c r="AE407" t="s">
        <v>8211</v>
      </c>
      <c r="AF407" t="s">
        <v>74</v>
      </c>
      <c r="AG407">
        <v>85</v>
      </c>
      <c r="AH407">
        <v>47</v>
      </c>
      <c r="AI407">
        <v>58</v>
      </c>
      <c r="AJ407">
        <v>1</v>
      </c>
      <c r="AK407">
        <v>53</v>
      </c>
      <c r="AL407" t="s">
        <v>1085</v>
      </c>
      <c r="AM407" t="s">
        <v>1086</v>
      </c>
      <c r="AN407" t="s">
        <v>1087</v>
      </c>
      <c r="AO407" t="s">
        <v>1088</v>
      </c>
      <c r="AP407" t="s">
        <v>1089</v>
      </c>
      <c r="AQ407" t="s">
        <v>74</v>
      </c>
      <c r="AR407" t="s">
        <v>1090</v>
      </c>
      <c r="AS407" t="s">
        <v>1091</v>
      </c>
      <c r="AT407" t="s">
        <v>8171</v>
      </c>
      <c r="AU407">
        <v>2015</v>
      </c>
      <c r="AV407">
        <v>524</v>
      </c>
      <c r="AW407" t="s">
        <v>74</v>
      </c>
      <c r="AX407" t="s">
        <v>74</v>
      </c>
      <c r="AY407" t="s">
        <v>74</v>
      </c>
      <c r="AZ407" t="s">
        <v>74</v>
      </c>
      <c r="BA407" t="s">
        <v>74</v>
      </c>
      <c r="BB407">
        <v>11</v>
      </c>
      <c r="BC407">
        <v>26</v>
      </c>
      <c r="BD407" t="s">
        <v>74</v>
      </c>
      <c r="BE407" t="s">
        <v>8212</v>
      </c>
      <c r="BF407" t="str">
        <f>HYPERLINK("http://dx.doi.org/10.3354/meps11189","http://dx.doi.org/10.3354/meps11189")</f>
        <v>http://dx.doi.org/10.3354/meps11189</v>
      </c>
      <c r="BG407" t="s">
        <v>74</v>
      </c>
      <c r="BH407" t="s">
        <v>74</v>
      </c>
      <c r="BI407">
        <v>16</v>
      </c>
      <c r="BJ407" t="s">
        <v>1094</v>
      </c>
      <c r="BK407" t="s">
        <v>100</v>
      </c>
      <c r="BL407" t="s">
        <v>1095</v>
      </c>
      <c r="BM407" t="s">
        <v>8173</v>
      </c>
      <c r="BN407" t="s">
        <v>74</v>
      </c>
      <c r="BO407" t="s">
        <v>3228</v>
      </c>
      <c r="BP407" t="s">
        <v>74</v>
      </c>
      <c r="BQ407" t="s">
        <v>74</v>
      </c>
      <c r="BR407" t="s">
        <v>104</v>
      </c>
      <c r="BS407" t="s">
        <v>8213</v>
      </c>
      <c r="BT407" t="str">
        <f>HYPERLINK("https%3A%2F%2Fwww.webofscience.com%2Fwos%2Fwoscc%2Ffull-record%2FWOS:000352292900002","View Full Record in Web of Science")</f>
        <v>View Full Record in Web of Science</v>
      </c>
    </row>
    <row r="408" spans="1:72" x14ac:dyDescent="0.15">
      <c r="A408" t="s">
        <v>72</v>
      </c>
      <c r="B408" t="s">
        <v>8214</v>
      </c>
      <c r="C408" t="s">
        <v>74</v>
      </c>
      <c r="D408" t="s">
        <v>74</v>
      </c>
      <c r="E408" t="s">
        <v>74</v>
      </c>
      <c r="F408" t="s">
        <v>8215</v>
      </c>
      <c r="G408" t="s">
        <v>74</v>
      </c>
      <c r="H408" t="s">
        <v>74</v>
      </c>
      <c r="I408" t="s">
        <v>8216</v>
      </c>
      <c r="J408" t="s">
        <v>253</v>
      </c>
      <c r="K408" t="s">
        <v>74</v>
      </c>
      <c r="L408" t="s">
        <v>74</v>
      </c>
      <c r="M408" t="s">
        <v>78</v>
      </c>
      <c r="N408" t="s">
        <v>79</v>
      </c>
      <c r="O408" t="s">
        <v>74</v>
      </c>
      <c r="P408" t="s">
        <v>74</v>
      </c>
      <c r="Q408" t="s">
        <v>74</v>
      </c>
      <c r="R408" t="s">
        <v>74</v>
      </c>
      <c r="S408" t="s">
        <v>74</v>
      </c>
      <c r="T408" t="s">
        <v>8217</v>
      </c>
      <c r="U408" t="s">
        <v>8218</v>
      </c>
      <c r="V408" t="s">
        <v>8219</v>
      </c>
      <c r="W408" t="s">
        <v>8220</v>
      </c>
      <c r="X408" t="s">
        <v>8221</v>
      </c>
      <c r="Y408" t="s">
        <v>8222</v>
      </c>
      <c r="Z408" t="s">
        <v>8223</v>
      </c>
      <c r="AA408" t="s">
        <v>8224</v>
      </c>
      <c r="AB408" t="s">
        <v>8225</v>
      </c>
      <c r="AC408" t="s">
        <v>8226</v>
      </c>
      <c r="AD408" t="s">
        <v>7847</v>
      </c>
      <c r="AE408" t="s">
        <v>8227</v>
      </c>
      <c r="AF408" t="s">
        <v>74</v>
      </c>
      <c r="AG408">
        <v>47</v>
      </c>
      <c r="AH408">
        <v>12</v>
      </c>
      <c r="AI408">
        <v>16</v>
      </c>
      <c r="AJ408">
        <v>5</v>
      </c>
      <c r="AK408">
        <v>38</v>
      </c>
      <c r="AL408" t="s">
        <v>266</v>
      </c>
      <c r="AM408" t="s">
        <v>267</v>
      </c>
      <c r="AN408" t="s">
        <v>268</v>
      </c>
      <c r="AO408" t="s">
        <v>269</v>
      </c>
      <c r="AP408" t="s">
        <v>270</v>
      </c>
      <c r="AQ408" t="s">
        <v>74</v>
      </c>
      <c r="AR408" t="s">
        <v>271</v>
      </c>
      <c r="AS408" t="s">
        <v>272</v>
      </c>
      <c r="AT408" t="s">
        <v>8228</v>
      </c>
      <c r="AU408">
        <v>2015</v>
      </c>
      <c r="AV408">
        <v>42</v>
      </c>
      <c r="AW408">
        <v>6</v>
      </c>
      <c r="AX408" t="s">
        <v>74</v>
      </c>
      <c r="AY408" t="s">
        <v>74</v>
      </c>
      <c r="AZ408" t="s">
        <v>74</v>
      </c>
      <c r="BA408" t="s">
        <v>74</v>
      </c>
      <c r="BB408">
        <v>1871</v>
      </c>
      <c r="BC408">
        <v>1879</v>
      </c>
      <c r="BD408" t="s">
        <v>74</v>
      </c>
      <c r="BE408" t="s">
        <v>8229</v>
      </c>
      <c r="BF408" t="str">
        <f>HYPERLINK("http://dx.doi.org/10.1002/2015GL063322","http://dx.doi.org/10.1002/2015GL063322")</f>
        <v>http://dx.doi.org/10.1002/2015GL063322</v>
      </c>
      <c r="BG408" t="s">
        <v>74</v>
      </c>
      <c r="BH408" t="s">
        <v>74</v>
      </c>
      <c r="BI408">
        <v>9</v>
      </c>
      <c r="BJ408" t="s">
        <v>219</v>
      </c>
      <c r="BK408" t="s">
        <v>100</v>
      </c>
      <c r="BL408" t="s">
        <v>220</v>
      </c>
      <c r="BM408" t="s">
        <v>8230</v>
      </c>
      <c r="BN408" t="s">
        <v>74</v>
      </c>
      <c r="BO408" t="s">
        <v>293</v>
      </c>
      <c r="BP408" t="s">
        <v>74</v>
      </c>
      <c r="BQ408" t="s">
        <v>74</v>
      </c>
      <c r="BR408" t="s">
        <v>104</v>
      </c>
      <c r="BS408" t="s">
        <v>8231</v>
      </c>
      <c r="BT408" t="str">
        <f>HYPERLINK("https%3A%2F%2Fwww.webofscience.com%2Fwos%2Fwoscc%2Ffull-record%2FWOS:000353170000033","View Full Record in Web of Science")</f>
        <v>View Full Record in Web of Science</v>
      </c>
    </row>
    <row r="409" spans="1:72" x14ac:dyDescent="0.15">
      <c r="A409" t="s">
        <v>72</v>
      </c>
      <c r="B409" t="s">
        <v>8232</v>
      </c>
      <c r="C409" t="s">
        <v>74</v>
      </c>
      <c r="D409" t="s">
        <v>74</v>
      </c>
      <c r="E409" t="s">
        <v>74</v>
      </c>
      <c r="F409" t="s">
        <v>8233</v>
      </c>
      <c r="G409" t="s">
        <v>74</v>
      </c>
      <c r="H409" t="s">
        <v>74</v>
      </c>
      <c r="I409" t="s">
        <v>8234</v>
      </c>
      <c r="J409" t="s">
        <v>253</v>
      </c>
      <c r="K409" t="s">
        <v>74</v>
      </c>
      <c r="L409" t="s">
        <v>74</v>
      </c>
      <c r="M409" t="s">
        <v>78</v>
      </c>
      <c r="N409" t="s">
        <v>79</v>
      </c>
      <c r="O409" t="s">
        <v>74</v>
      </c>
      <c r="P409" t="s">
        <v>74</v>
      </c>
      <c r="Q409" t="s">
        <v>74</v>
      </c>
      <c r="R409" t="s">
        <v>74</v>
      </c>
      <c r="S409" t="s">
        <v>74</v>
      </c>
      <c r="T409" t="s">
        <v>8235</v>
      </c>
      <c r="U409" t="s">
        <v>8236</v>
      </c>
      <c r="V409" t="s">
        <v>8237</v>
      </c>
      <c r="W409" t="s">
        <v>8238</v>
      </c>
      <c r="X409" t="s">
        <v>8239</v>
      </c>
      <c r="Y409" t="s">
        <v>8240</v>
      </c>
      <c r="Z409" t="s">
        <v>8241</v>
      </c>
      <c r="AA409" t="s">
        <v>8242</v>
      </c>
      <c r="AB409" t="s">
        <v>8243</v>
      </c>
      <c r="AC409" t="s">
        <v>8244</v>
      </c>
      <c r="AD409" t="s">
        <v>8245</v>
      </c>
      <c r="AE409" t="s">
        <v>8246</v>
      </c>
      <c r="AF409" t="s">
        <v>74</v>
      </c>
      <c r="AG409">
        <v>43</v>
      </c>
      <c r="AH409">
        <v>164</v>
      </c>
      <c r="AI409">
        <v>183</v>
      </c>
      <c r="AJ409">
        <v>2</v>
      </c>
      <c r="AK409">
        <v>62</v>
      </c>
      <c r="AL409" t="s">
        <v>266</v>
      </c>
      <c r="AM409" t="s">
        <v>267</v>
      </c>
      <c r="AN409" t="s">
        <v>268</v>
      </c>
      <c r="AO409" t="s">
        <v>269</v>
      </c>
      <c r="AP409" t="s">
        <v>270</v>
      </c>
      <c r="AQ409" t="s">
        <v>74</v>
      </c>
      <c r="AR409" t="s">
        <v>271</v>
      </c>
      <c r="AS409" t="s">
        <v>272</v>
      </c>
      <c r="AT409" t="s">
        <v>8228</v>
      </c>
      <c r="AU409">
        <v>2015</v>
      </c>
      <c r="AV409">
        <v>42</v>
      </c>
      <c r="AW409">
        <v>6</v>
      </c>
      <c r="AX409" t="s">
        <v>74</v>
      </c>
      <c r="AY409" t="s">
        <v>74</v>
      </c>
      <c r="AZ409" t="s">
        <v>74</v>
      </c>
      <c r="BA409" t="s">
        <v>74</v>
      </c>
      <c r="BB409">
        <v>1732</v>
      </c>
      <c r="BC409">
        <v>1740</v>
      </c>
      <c r="BD409" t="s">
        <v>74</v>
      </c>
      <c r="BE409" t="s">
        <v>8247</v>
      </c>
      <c r="BF409" t="str">
        <f>HYPERLINK("http://dx.doi.org/10.1002/2015GL063057","http://dx.doi.org/10.1002/2015GL063057")</f>
        <v>http://dx.doi.org/10.1002/2015GL063057</v>
      </c>
      <c r="BG409" t="s">
        <v>74</v>
      </c>
      <c r="BH409" t="s">
        <v>74</v>
      </c>
      <c r="BI409">
        <v>9</v>
      </c>
      <c r="BJ409" t="s">
        <v>219</v>
      </c>
      <c r="BK409" t="s">
        <v>100</v>
      </c>
      <c r="BL409" t="s">
        <v>220</v>
      </c>
      <c r="BM409" t="s">
        <v>8230</v>
      </c>
      <c r="BN409" t="s">
        <v>74</v>
      </c>
      <c r="BO409" t="s">
        <v>8248</v>
      </c>
      <c r="BP409" t="s">
        <v>74</v>
      </c>
      <c r="BQ409" t="s">
        <v>74</v>
      </c>
      <c r="BR409" t="s">
        <v>104</v>
      </c>
      <c r="BS409" t="s">
        <v>8249</v>
      </c>
      <c r="BT409" t="str">
        <f>HYPERLINK("https%3A%2F%2Fwww.webofscience.com%2Fwos%2Fwoscc%2Ffull-record%2FWOS:000353170000016","View Full Record in Web of Science")</f>
        <v>View Full Record in Web of Science</v>
      </c>
    </row>
    <row r="410" spans="1:72" x14ac:dyDescent="0.15">
      <c r="A410" t="s">
        <v>72</v>
      </c>
      <c r="B410" t="s">
        <v>8250</v>
      </c>
      <c r="C410" t="s">
        <v>74</v>
      </c>
      <c r="D410" t="s">
        <v>74</v>
      </c>
      <c r="E410" t="s">
        <v>74</v>
      </c>
      <c r="F410" t="s">
        <v>8251</v>
      </c>
      <c r="G410" t="s">
        <v>74</v>
      </c>
      <c r="H410" t="s">
        <v>74</v>
      </c>
      <c r="I410" t="s">
        <v>8252</v>
      </c>
      <c r="J410" t="s">
        <v>253</v>
      </c>
      <c r="K410" t="s">
        <v>74</v>
      </c>
      <c r="L410" t="s">
        <v>74</v>
      </c>
      <c r="M410" t="s">
        <v>78</v>
      </c>
      <c r="N410" t="s">
        <v>79</v>
      </c>
      <c r="O410" t="s">
        <v>74</v>
      </c>
      <c r="P410" t="s">
        <v>74</v>
      </c>
      <c r="Q410" t="s">
        <v>74</v>
      </c>
      <c r="R410" t="s">
        <v>74</v>
      </c>
      <c r="S410" t="s">
        <v>74</v>
      </c>
      <c r="T410" t="s">
        <v>8253</v>
      </c>
      <c r="U410" t="s">
        <v>8254</v>
      </c>
      <c r="V410" t="s">
        <v>8255</v>
      </c>
      <c r="W410" t="s">
        <v>8256</v>
      </c>
      <c r="X410" t="s">
        <v>8257</v>
      </c>
      <c r="Y410" t="s">
        <v>8258</v>
      </c>
      <c r="Z410" t="s">
        <v>8259</v>
      </c>
      <c r="AA410" t="s">
        <v>8260</v>
      </c>
      <c r="AB410" t="s">
        <v>8261</v>
      </c>
      <c r="AC410" t="s">
        <v>8262</v>
      </c>
      <c r="AD410" t="s">
        <v>8263</v>
      </c>
      <c r="AE410" t="s">
        <v>8264</v>
      </c>
      <c r="AF410" t="s">
        <v>74</v>
      </c>
      <c r="AG410">
        <v>31</v>
      </c>
      <c r="AH410">
        <v>28</v>
      </c>
      <c r="AI410">
        <v>34</v>
      </c>
      <c r="AJ410">
        <v>3</v>
      </c>
      <c r="AK410">
        <v>36</v>
      </c>
      <c r="AL410" t="s">
        <v>266</v>
      </c>
      <c r="AM410" t="s">
        <v>267</v>
      </c>
      <c r="AN410" t="s">
        <v>268</v>
      </c>
      <c r="AO410" t="s">
        <v>269</v>
      </c>
      <c r="AP410" t="s">
        <v>270</v>
      </c>
      <c r="AQ410" t="s">
        <v>74</v>
      </c>
      <c r="AR410" t="s">
        <v>271</v>
      </c>
      <c r="AS410" t="s">
        <v>272</v>
      </c>
      <c r="AT410" t="s">
        <v>8228</v>
      </c>
      <c r="AU410">
        <v>2015</v>
      </c>
      <c r="AV410">
        <v>42</v>
      </c>
      <c r="AW410">
        <v>6</v>
      </c>
      <c r="AX410" t="s">
        <v>74</v>
      </c>
      <c r="AY410" t="s">
        <v>74</v>
      </c>
      <c r="AZ410" t="s">
        <v>74</v>
      </c>
      <c r="BA410" t="s">
        <v>74</v>
      </c>
      <c r="BB410">
        <v>1834</v>
      </c>
      <c r="BC410">
        <v>1840</v>
      </c>
      <c r="BD410" t="s">
        <v>74</v>
      </c>
      <c r="BE410" t="s">
        <v>8265</v>
      </c>
      <c r="BF410" t="str">
        <f>HYPERLINK("http://dx.doi.org/10.1002/2014GL062769","http://dx.doi.org/10.1002/2014GL062769")</f>
        <v>http://dx.doi.org/10.1002/2014GL062769</v>
      </c>
      <c r="BG410" t="s">
        <v>74</v>
      </c>
      <c r="BH410" t="s">
        <v>74</v>
      </c>
      <c r="BI410">
        <v>7</v>
      </c>
      <c r="BJ410" t="s">
        <v>219</v>
      </c>
      <c r="BK410" t="s">
        <v>100</v>
      </c>
      <c r="BL410" t="s">
        <v>220</v>
      </c>
      <c r="BM410" t="s">
        <v>8230</v>
      </c>
      <c r="BN410" t="s">
        <v>74</v>
      </c>
      <c r="BO410" t="s">
        <v>8266</v>
      </c>
      <c r="BP410" t="s">
        <v>74</v>
      </c>
      <c r="BQ410" t="s">
        <v>74</v>
      </c>
      <c r="BR410" t="s">
        <v>104</v>
      </c>
      <c r="BS410" t="s">
        <v>8267</v>
      </c>
      <c r="BT410" t="str">
        <f>HYPERLINK("https%3A%2F%2Fwww.webofscience.com%2Fwos%2Fwoscc%2Ffull-record%2FWOS:000353170000028","View Full Record in Web of Science")</f>
        <v>View Full Record in Web of Science</v>
      </c>
    </row>
    <row r="411" spans="1:72" x14ac:dyDescent="0.15">
      <c r="A411" t="s">
        <v>72</v>
      </c>
      <c r="B411" t="s">
        <v>8268</v>
      </c>
      <c r="C411" t="s">
        <v>74</v>
      </c>
      <c r="D411" t="s">
        <v>74</v>
      </c>
      <c r="E411" t="s">
        <v>74</v>
      </c>
      <c r="F411" t="s">
        <v>8269</v>
      </c>
      <c r="G411" t="s">
        <v>74</v>
      </c>
      <c r="H411" t="s">
        <v>74</v>
      </c>
      <c r="I411" t="s">
        <v>8270</v>
      </c>
      <c r="J411" t="s">
        <v>390</v>
      </c>
      <c r="K411" t="s">
        <v>74</v>
      </c>
      <c r="L411" t="s">
        <v>74</v>
      </c>
      <c r="M411" t="s">
        <v>78</v>
      </c>
      <c r="N411" t="s">
        <v>79</v>
      </c>
      <c r="O411" t="s">
        <v>74</v>
      </c>
      <c r="P411" t="s">
        <v>74</v>
      </c>
      <c r="Q411" t="s">
        <v>74</v>
      </c>
      <c r="R411" t="s">
        <v>74</v>
      </c>
      <c r="S411" t="s">
        <v>74</v>
      </c>
      <c r="T411" t="s">
        <v>8271</v>
      </c>
      <c r="U411" t="s">
        <v>8272</v>
      </c>
      <c r="V411" t="s">
        <v>8273</v>
      </c>
      <c r="W411" t="s">
        <v>8274</v>
      </c>
      <c r="X411" t="s">
        <v>8275</v>
      </c>
      <c r="Y411" t="s">
        <v>8276</v>
      </c>
      <c r="Z411" t="s">
        <v>8277</v>
      </c>
      <c r="AA411" t="s">
        <v>74</v>
      </c>
      <c r="AB411" t="s">
        <v>8278</v>
      </c>
      <c r="AC411" t="s">
        <v>8279</v>
      </c>
      <c r="AD411" t="s">
        <v>8279</v>
      </c>
      <c r="AE411" t="s">
        <v>8280</v>
      </c>
      <c r="AF411" t="s">
        <v>74</v>
      </c>
      <c r="AG411">
        <v>56</v>
      </c>
      <c r="AH411">
        <v>35</v>
      </c>
      <c r="AI411">
        <v>39</v>
      </c>
      <c r="AJ411">
        <v>0</v>
      </c>
      <c r="AK411">
        <v>24</v>
      </c>
      <c r="AL411" t="s">
        <v>266</v>
      </c>
      <c r="AM411" t="s">
        <v>267</v>
      </c>
      <c r="AN411" t="s">
        <v>268</v>
      </c>
      <c r="AO411" t="s">
        <v>400</v>
      </c>
      <c r="AP411" t="s">
        <v>401</v>
      </c>
      <c r="AQ411" t="s">
        <v>74</v>
      </c>
      <c r="AR411" t="s">
        <v>402</v>
      </c>
      <c r="AS411" t="s">
        <v>403</v>
      </c>
      <c r="AT411" t="s">
        <v>8281</v>
      </c>
      <c r="AU411">
        <v>2015</v>
      </c>
      <c r="AV411">
        <v>120</v>
      </c>
      <c r="AW411">
        <v>6</v>
      </c>
      <c r="AX411" t="s">
        <v>74</v>
      </c>
      <c r="AY411" t="s">
        <v>74</v>
      </c>
      <c r="AZ411" t="s">
        <v>74</v>
      </c>
      <c r="BA411" t="s">
        <v>74</v>
      </c>
      <c r="BB411">
        <v>2167</v>
      </c>
      <c r="BC411">
        <v>2189</v>
      </c>
      <c r="BD411" t="s">
        <v>74</v>
      </c>
      <c r="BE411" t="s">
        <v>8282</v>
      </c>
      <c r="BF411" t="str">
        <f>HYPERLINK("http://dx.doi.org/10.1002/2014JD022830","http://dx.doi.org/10.1002/2014JD022830")</f>
        <v>http://dx.doi.org/10.1002/2014JD022830</v>
      </c>
      <c r="BG411" t="s">
        <v>74</v>
      </c>
      <c r="BH411" t="s">
        <v>74</v>
      </c>
      <c r="BI411">
        <v>23</v>
      </c>
      <c r="BJ411" t="s">
        <v>406</v>
      </c>
      <c r="BK411" t="s">
        <v>100</v>
      </c>
      <c r="BL411" t="s">
        <v>406</v>
      </c>
      <c r="BM411" t="s">
        <v>8283</v>
      </c>
      <c r="BN411" t="s">
        <v>74</v>
      </c>
      <c r="BO411" t="s">
        <v>156</v>
      </c>
      <c r="BP411" t="s">
        <v>74</v>
      </c>
      <c r="BQ411" t="s">
        <v>74</v>
      </c>
      <c r="BR411" t="s">
        <v>104</v>
      </c>
      <c r="BS411" t="s">
        <v>8284</v>
      </c>
      <c r="BT411" t="str">
        <f>HYPERLINK("https%3A%2F%2Fwww.webofscience.com%2Fwos%2Fwoscc%2Ffull-record%2FWOS:000353061800001","View Full Record in Web of Science")</f>
        <v>View Full Record in Web of Science</v>
      </c>
    </row>
    <row r="412" spans="1:72" x14ac:dyDescent="0.15">
      <c r="A412" t="s">
        <v>72</v>
      </c>
      <c r="B412" t="s">
        <v>8285</v>
      </c>
      <c r="C412" t="s">
        <v>74</v>
      </c>
      <c r="D412" t="s">
        <v>74</v>
      </c>
      <c r="E412" t="s">
        <v>74</v>
      </c>
      <c r="F412" t="s">
        <v>8286</v>
      </c>
      <c r="G412" t="s">
        <v>74</v>
      </c>
      <c r="H412" t="s">
        <v>74</v>
      </c>
      <c r="I412" t="s">
        <v>8287</v>
      </c>
      <c r="J412" t="s">
        <v>390</v>
      </c>
      <c r="K412" t="s">
        <v>74</v>
      </c>
      <c r="L412" t="s">
        <v>74</v>
      </c>
      <c r="M412" t="s">
        <v>78</v>
      </c>
      <c r="N412" t="s">
        <v>79</v>
      </c>
      <c r="O412" t="s">
        <v>74</v>
      </c>
      <c r="P412" t="s">
        <v>74</v>
      </c>
      <c r="Q412" t="s">
        <v>74</v>
      </c>
      <c r="R412" t="s">
        <v>74</v>
      </c>
      <c r="S412" t="s">
        <v>74</v>
      </c>
      <c r="T412" t="s">
        <v>8288</v>
      </c>
      <c r="U412" t="s">
        <v>8289</v>
      </c>
      <c r="V412" t="s">
        <v>8290</v>
      </c>
      <c r="W412" t="s">
        <v>8291</v>
      </c>
      <c r="X412" t="s">
        <v>8292</v>
      </c>
      <c r="Y412" t="s">
        <v>8293</v>
      </c>
      <c r="Z412" t="s">
        <v>8294</v>
      </c>
      <c r="AA412" t="s">
        <v>8295</v>
      </c>
      <c r="AB412" t="s">
        <v>8296</v>
      </c>
      <c r="AC412" t="s">
        <v>8297</v>
      </c>
      <c r="AD412" t="s">
        <v>8298</v>
      </c>
      <c r="AE412" t="s">
        <v>8299</v>
      </c>
      <c r="AF412" t="s">
        <v>74</v>
      </c>
      <c r="AG412">
        <v>54</v>
      </c>
      <c r="AH412">
        <v>37</v>
      </c>
      <c r="AI412">
        <v>41</v>
      </c>
      <c r="AJ412">
        <v>3</v>
      </c>
      <c r="AK412">
        <v>43</v>
      </c>
      <c r="AL412" t="s">
        <v>266</v>
      </c>
      <c r="AM412" t="s">
        <v>267</v>
      </c>
      <c r="AN412" t="s">
        <v>268</v>
      </c>
      <c r="AO412" t="s">
        <v>400</v>
      </c>
      <c r="AP412" t="s">
        <v>401</v>
      </c>
      <c r="AQ412" t="s">
        <v>74</v>
      </c>
      <c r="AR412" t="s">
        <v>402</v>
      </c>
      <c r="AS412" t="s">
        <v>403</v>
      </c>
      <c r="AT412" t="s">
        <v>8281</v>
      </c>
      <c r="AU412">
        <v>2015</v>
      </c>
      <c r="AV412">
        <v>120</v>
      </c>
      <c r="AW412">
        <v>6</v>
      </c>
      <c r="AX412" t="s">
        <v>74</v>
      </c>
      <c r="AY412" t="s">
        <v>74</v>
      </c>
      <c r="AZ412" t="s">
        <v>74</v>
      </c>
      <c r="BA412" t="s">
        <v>74</v>
      </c>
      <c r="BB412">
        <v>2558</v>
      </c>
      <c r="BC412">
        <v>2574</v>
      </c>
      <c r="BD412" t="s">
        <v>74</v>
      </c>
      <c r="BE412" t="s">
        <v>8300</v>
      </c>
      <c r="BF412" t="str">
        <f>HYPERLINK("http://dx.doi.org/10.1002/2014JD022766","http://dx.doi.org/10.1002/2014JD022766")</f>
        <v>http://dx.doi.org/10.1002/2014JD022766</v>
      </c>
      <c r="BG412" t="s">
        <v>74</v>
      </c>
      <c r="BH412" t="s">
        <v>74</v>
      </c>
      <c r="BI412">
        <v>17</v>
      </c>
      <c r="BJ412" t="s">
        <v>406</v>
      </c>
      <c r="BK412" t="s">
        <v>100</v>
      </c>
      <c r="BL412" t="s">
        <v>406</v>
      </c>
      <c r="BM412" t="s">
        <v>8283</v>
      </c>
      <c r="BN412" t="s">
        <v>74</v>
      </c>
      <c r="BO412" t="s">
        <v>8301</v>
      </c>
      <c r="BP412" t="s">
        <v>74</v>
      </c>
      <c r="BQ412" t="s">
        <v>74</v>
      </c>
      <c r="BR412" t="s">
        <v>104</v>
      </c>
      <c r="BS412" t="s">
        <v>8302</v>
      </c>
      <c r="BT412" t="str">
        <f>HYPERLINK("https%3A%2F%2Fwww.webofscience.com%2Fwos%2Fwoscc%2Ffull-record%2FWOS:000353061800026","View Full Record in Web of Science")</f>
        <v>View Full Record in Web of Science</v>
      </c>
    </row>
    <row r="413" spans="1:72" x14ac:dyDescent="0.15">
      <c r="A413" t="s">
        <v>72</v>
      </c>
      <c r="B413" t="s">
        <v>8303</v>
      </c>
      <c r="C413" t="s">
        <v>74</v>
      </c>
      <c r="D413" t="s">
        <v>74</v>
      </c>
      <c r="E413" t="s">
        <v>74</v>
      </c>
      <c r="F413" t="s">
        <v>8304</v>
      </c>
      <c r="G413" t="s">
        <v>74</v>
      </c>
      <c r="H413" t="s">
        <v>74</v>
      </c>
      <c r="I413" t="s">
        <v>8305</v>
      </c>
      <c r="J413" t="s">
        <v>936</v>
      </c>
      <c r="K413" t="s">
        <v>74</v>
      </c>
      <c r="L413" t="s">
        <v>74</v>
      </c>
      <c r="M413" t="s">
        <v>78</v>
      </c>
      <c r="N413" t="s">
        <v>79</v>
      </c>
      <c r="O413" t="s">
        <v>74</v>
      </c>
      <c r="P413" t="s">
        <v>74</v>
      </c>
      <c r="Q413" t="s">
        <v>74</v>
      </c>
      <c r="R413" t="s">
        <v>74</v>
      </c>
      <c r="S413" t="s">
        <v>74</v>
      </c>
      <c r="T413" t="s">
        <v>74</v>
      </c>
      <c r="U413" t="s">
        <v>8306</v>
      </c>
      <c r="V413" t="s">
        <v>8307</v>
      </c>
      <c r="W413" t="s">
        <v>8308</v>
      </c>
      <c r="X413" t="s">
        <v>8309</v>
      </c>
      <c r="Y413" t="s">
        <v>8310</v>
      </c>
      <c r="Z413" t="s">
        <v>8311</v>
      </c>
      <c r="AA413" t="s">
        <v>74</v>
      </c>
      <c r="AB413" t="s">
        <v>74</v>
      </c>
      <c r="AC413" t="s">
        <v>8312</v>
      </c>
      <c r="AD413" t="s">
        <v>7432</v>
      </c>
      <c r="AE413" t="s">
        <v>8313</v>
      </c>
      <c r="AF413" t="s">
        <v>74</v>
      </c>
      <c r="AG413">
        <v>54</v>
      </c>
      <c r="AH413">
        <v>29</v>
      </c>
      <c r="AI413">
        <v>30</v>
      </c>
      <c r="AJ413">
        <v>1</v>
      </c>
      <c r="AK413">
        <v>33</v>
      </c>
      <c r="AL413" t="s">
        <v>946</v>
      </c>
      <c r="AM413" t="s">
        <v>947</v>
      </c>
      <c r="AN413" t="s">
        <v>948</v>
      </c>
      <c r="AO413" t="s">
        <v>949</v>
      </c>
      <c r="AP413" t="s">
        <v>74</v>
      </c>
      <c r="AQ413" t="s">
        <v>74</v>
      </c>
      <c r="AR413" t="s">
        <v>936</v>
      </c>
      <c r="AS413" t="s">
        <v>950</v>
      </c>
      <c r="AT413" t="s">
        <v>8281</v>
      </c>
      <c r="AU413">
        <v>2015</v>
      </c>
      <c r="AV413">
        <v>10</v>
      </c>
      <c r="AW413">
        <v>3</v>
      </c>
      <c r="AX413" t="s">
        <v>74</v>
      </c>
      <c r="AY413" t="s">
        <v>74</v>
      </c>
      <c r="AZ413" t="s">
        <v>74</v>
      </c>
      <c r="BA413" t="s">
        <v>74</v>
      </c>
      <c r="BB413" t="s">
        <v>74</v>
      </c>
      <c r="BC413" t="s">
        <v>74</v>
      </c>
      <c r="BD413" t="s">
        <v>8314</v>
      </c>
      <c r="BE413" t="s">
        <v>8315</v>
      </c>
      <c r="BF413" t="str">
        <f>HYPERLINK("http://dx.doi.org/10.1371/journal.pone.0121688","http://dx.doi.org/10.1371/journal.pone.0121688")</f>
        <v>http://dx.doi.org/10.1371/journal.pone.0121688</v>
      </c>
      <c r="BG413" t="s">
        <v>74</v>
      </c>
      <c r="BH413" t="s">
        <v>74</v>
      </c>
      <c r="BI413">
        <v>14</v>
      </c>
      <c r="BJ413" t="s">
        <v>429</v>
      </c>
      <c r="BK413" t="s">
        <v>100</v>
      </c>
      <c r="BL413" t="s">
        <v>430</v>
      </c>
      <c r="BM413" t="s">
        <v>8316</v>
      </c>
      <c r="BN413">
        <v>25815478</v>
      </c>
      <c r="BO413" t="s">
        <v>8317</v>
      </c>
      <c r="BP413" t="s">
        <v>74</v>
      </c>
      <c r="BQ413" t="s">
        <v>74</v>
      </c>
      <c r="BR413" t="s">
        <v>104</v>
      </c>
      <c r="BS413" t="s">
        <v>8318</v>
      </c>
      <c r="BT413" t="str">
        <f>HYPERLINK("https%3A%2F%2Fwww.webofscience.com%2Fwos%2Fwoscc%2Ffull-record%2FWOS:000352133600112","View Full Record in Web of Science")</f>
        <v>View Full Record in Web of Science</v>
      </c>
    </row>
    <row r="414" spans="1:72" x14ac:dyDescent="0.15">
      <c r="A414" t="s">
        <v>72</v>
      </c>
      <c r="B414" t="s">
        <v>8319</v>
      </c>
      <c r="C414" t="s">
        <v>74</v>
      </c>
      <c r="D414" t="s">
        <v>74</v>
      </c>
      <c r="E414" t="s">
        <v>74</v>
      </c>
      <c r="F414" t="s">
        <v>8320</v>
      </c>
      <c r="G414" t="s">
        <v>74</v>
      </c>
      <c r="H414" t="s">
        <v>74</v>
      </c>
      <c r="I414" t="s">
        <v>8321</v>
      </c>
      <c r="J414" t="s">
        <v>936</v>
      </c>
      <c r="K414" t="s">
        <v>74</v>
      </c>
      <c r="L414" t="s">
        <v>74</v>
      </c>
      <c r="M414" t="s">
        <v>78</v>
      </c>
      <c r="N414" t="s">
        <v>79</v>
      </c>
      <c r="O414" t="s">
        <v>74</v>
      </c>
      <c r="P414" t="s">
        <v>74</v>
      </c>
      <c r="Q414" t="s">
        <v>74</v>
      </c>
      <c r="R414" t="s">
        <v>74</v>
      </c>
      <c r="S414" t="s">
        <v>74</v>
      </c>
      <c r="T414" t="s">
        <v>74</v>
      </c>
      <c r="U414" t="s">
        <v>8322</v>
      </c>
      <c r="V414" t="s">
        <v>8323</v>
      </c>
      <c r="W414" t="s">
        <v>8324</v>
      </c>
      <c r="X414" t="s">
        <v>8325</v>
      </c>
      <c r="Y414" t="s">
        <v>4539</v>
      </c>
      <c r="Z414" t="s">
        <v>4540</v>
      </c>
      <c r="AA414" t="s">
        <v>74</v>
      </c>
      <c r="AB414" t="s">
        <v>74</v>
      </c>
      <c r="AC414" t="s">
        <v>8326</v>
      </c>
      <c r="AD414" t="s">
        <v>8327</v>
      </c>
      <c r="AE414" t="s">
        <v>8328</v>
      </c>
      <c r="AF414" t="s">
        <v>74</v>
      </c>
      <c r="AG414">
        <v>44</v>
      </c>
      <c r="AH414">
        <v>15</v>
      </c>
      <c r="AI414">
        <v>15</v>
      </c>
      <c r="AJ414">
        <v>1</v>
      </c>
      <c r="AK414">
        <v>15</v>
      </c>
      <c r="AL414" t="s">
        <v>946</v>
      </c>
      <c r="AM414" t="s">
        <v>947</v>
      </c>
      <c r="AN414" t="s">
        <v>948</v>
      </c>
      <c r="AO414" t="s">
        <v>949</v>
      </c>
      <c r="AP414" t="s">
        <v>74</v>
      </c>
      <c r="AQ414" t="s">
        <v>74</v>
      </c>
      <c r="AR414" t="s">
        <v>936</v>
      </c>
      <c r="AS414" t="s">
        <v>950</v>
      </c>
      <c r="AT414" t="s">
        <v>8329</v>
      </c>
      <c r="AU414">
        <v>2015</v>
      </c>
      <c r="AV414">
        <v>10</v>
      </c>
      <c r="AW414">
        <v>3</v>
      </c>
      <c r="AX414" t="s">
        <v>74</v>
      </c>
      <c r="AY414" t="s">
        <v>74</v>
      </c>
      <c r="AZ414" t="s">
        <v>74</v>
      </c>
      <c r="BA414" t="s">
        <v>74</v>
      </c>
      <c r="BB414" t="s">
        <v>74</v>
      </c>
      <c r="BC414" t="s">
        <v>74</v>
      </c>
      <c r="BD414" t="s">
        <v>8330</v>
      </c>
      <c r="BE414" t="s">
        <v>8331</v>
      </c>
      <c r="BF414" t="str">
        <f>HYPERLINK("http://dx.doi.org/10.1371/journal.pone.0121133","http://dx.doi.org/10.1371/journal.pone.0121133")</f>
        <v>http://dx.doi.org/10.1371/journal.pone.0121133</v>
      </c>
      <c r="BG414" t="s">
        <v>74</v>
      </c>
      <c r="BH414" t="s">
        <v>74</v>
      </c>
      <c r="BI414">
        <v>17</v>
      </c>
      <c r="BJ414" t="s">
        <v>429</v>
      </c>
      <c r="BK414" t="s">
        <v>100</v>
      </c>
      <c r="BL414" t="s">
        <v>430</v>
      </c>
      <c r="BM414" t="s">
        <v>8332</v>
      </c>
      <c r="BN414">
        <v>25811597</v>
      </c>
      <c r="BO414" t="s">
        <v>1685</v>
      </c>
      <c r="BP414" t="s">
        <v>74</v>
      </c>
      <c r="BQ414" t="s">
        <v>74</v>
      </c>
      <c r="BR414" t="s">
        <v>104</v>
      </c>
      <c r="BS414" t="s">
        <v>8333</v>
      </c>
      <c r="BT414" t="str">
        <f>HYPERLINK("https%3A%2F%2Fwww.webofscience.com%2Fwos%2Fwoscc%2Ffull-record%2FWOS:000356353700084","View Full Record in Web of Science")</f>
        <v>View Full Record in Web of Science</v>
      </c>
    </row>
    <row r="415" spans="1:72" x14ac:dyDescent="0.15">
      <c r="A415" t="s">
        <v>72</v>
      </c>
      <c r="B415" t="s">
        <v>8334</v>
      </c>
      <c r="C415" t="s">
        <v>74</v>
      </c>
      <c r="D415" t="s">
        <v>74</v>
      </c>
      <c r="E415" t="s">
        <v>74</v>
      </c>
      <c r="F415" t="s">
        <v>8335</v>
      </c>
      <c r="G415" t="s">
        <v>74</v>
      </c>
      <c r="H415" t="s">
        <v>74</v>
      </c>
      <c r="I415" t="s">
        <v>8336</v>
      </c>
      <c r="J415" t="s">
        <v>936</v>
      </c>
      <c r="K415" t="s">
        <v>74</v>
      </c>
      <c r="L415" t="s">
        <v>74</v>
      </c>
      <c r="M415" t="s">
        <v>78</v>
      </c>
      <c r="N415" t="s">
        <v>79</v>
      </c>
      <c r="O415" t="s">
        <v>74</v>
      </c>
      <c r="P415" t="s">
        <v>74</v>
      </c>
      <c r="Q415" t="s">
        <v>74</v>
      </c>
      <c r="R415" t="s">
        <v>74</v>
      </c>
      <c r="S415" t="s">
        <v>74</v>
      </c>
      <c r="T415" t="s">
        <v>74</v>
      </c>
      <c r="U415" t="s">
        <v>8337</v>
      </c>
      <c r="V415" t="s">
        <v>8338</v>
      </c>
      <c r="W415" t="s">
        <v>8339</v>
      </c>
      <c r="X415" t="s">
        <v>8340</v>
      </c>
      <c r="Y415" t="s">
        <v>8341</v>
      </c>
      <c r="Z415" t="s">
        <v>8342</v>
      </c>
      <c r="AA415" t="s">
        <v>8343</v>
      </c>
      <c r="AB415" t="s">
        <v>8344</v>
      </c>
      <c r="AC415" t="s">
        <v>8345</v>
      </c>
      <c r="AD415" t="s">
        <v>8346</v>
      </c>
      <c r="AE415" t="s">
        <v>8347</v>
      </c>
      <c r="AF415" t="s">
        <v>74</v>
      </c>
      <c r="AG415">
        <v>83</v>
      </c>
      <c r="AH415">
        <v>66</v>
      </c>
      <c r="AI415">
        <v>77</v>
      </c>
      <c r="AJ415">
        <v>0</v>
      </c>
      <c r="AK415">
        <v>56</v>
      </c>
      <c r="AL415" t="s">
        <v>946</v>
      </c>
      <c r="AM415" t="s">
        <v>947</v>
      </c>
      <c r="AN415" t="s">
        <v>948</v>
      </c>
      <c r="AO415" t="s">
        <v>949</v>
      </c>
      <c r="AP415" t="s">
        <v>74</v>
      </c>
      <c r="AQ415" t="s">
        <v>74</v>
      </c>
      <c r="AR415" t="s">
        <v>936</v>
      </c>
      <c r="AS415" t="s">
        <v>950</v>
      </c>
      <c r="AT415" t="s">
        <v>8348</v>
      </c>
      <c r="AU415">
        <v>2015</v>
      </c>
      <c r="AV415">
        <v>10</v>
      </c>
      <c r="AW415">
        <v>3</v>
      </c>
      <c r="AX415" t="s">
        <v>74</v>
      </c>
      <c r="AY415" t="s">
        <v>74</v>
      </c>
      <c r="AZ415" t="s">
        <v>74</v>
      </c>
      <c r="BA415" t="s">
        <v>74</v>
      </c>
      <c r="BB415" t="s">
        <v>74</v>
      </c>
      <c r="BC415" t="s">
        <v>74</v>
      </c>
      <c r="BD415" t="s">
        <v>8349</v>
      </c>
      <c r="BE415" t="s">
        <v>8350</v>
      </c>
      <c r="BF415" t="str">
        <f>HYPERLINK("http://dx.doi.org/10.1371/journal.pone.0120888","http://dx.doi.org/10.1371/journal.pone.0120888")</f>
        <v>http://dx.doi.org/10.1371/journal.pone.0120888</v>
      </c>
      <c r="BG415" t="s">
        <v>74</v>
      </c>
      <c r="BH415" t="s">
        <v>74</v>
      </c>
      <c r="BI415">
        <v>19</v>
      </c>
      <c r="BJ415" t="s">
        <v>429</v>
      </c>
      <c r="BK415" t="s">
        <v>100</v>
      </c>
      <c r="BL415" t="s">
        <v>430</v>
      </c>
      <c r="BM415" t="s">
        <v>8351</v>
      </c>
      <c r="BN415">
        <v>25807082</v>
      </c>
      <c r="BO415" t="s">
        <v>8352</v>
      </c>
      <c r="BP415" t="s">
        <v>74</v>
      </c>
      <c r="BQ415" t="s">
        <v>74</v>
      </c>
      <c r="BR415" t="s">
        <v>104</v>
      </c>
      <c r="BS415" t="s">
        <v>8353</v>
      </c>
      <c r="BT415" t="str">
        <f>HYPERLINK("https%3A%2F%2Fwww.webofscience.com%2Fwos%2Fwoscc%2Ffull-record%2FWOS:000351880000110","View Full Record in Web of Science")</f>
        <v>View Full Record in Web of Science</v>
      </c>
    </row>
    <row r="416" spans="1:72" x14ac:dyDescent="0.15">
      <c r="A416" t="s">
        <v>72</v>
      </c>
      <c r="B416" t="s">
        <v>8354</v>
      </c>
      <c r="C416" t="s">
        <v>74</v>
      </c>
      <c r="D416" t="s">
        <v>74</v>
      </c>
      <c r="E416" t="s">
        <v>74</v>
      </c>
      <c r="F416" t="s">
        <v>8355</v>
      </c>
      <c r="G416" t="s">
        <v>74</v>
      </c>
      <c r="H416" t="s">
        <v>74</v>
      </c>
      <c r="I416" t="s">
        <v>8356</v>
      </c>
      <c r="J416" t="s">
        <v>936</v>
      </c>
      <c r="K416" t="s">
        <v>74</v>
      </c>
      <c r="L416" t="s">
        <v>74</v>
      </c>
      <c r="M416" t="s">
        <v>78</v>
      </c>
      <c r="N416" t="s">
        <v>2472</v>
      </c>
      <c r="O416" t="s">
        <v>74</v>
      </c>
      <c r="P416" t="s">
        <v>74</v>
      </c>
      <c r="Q416" t="s">
        <v>74</v>
      </c>
      <c r="R416" t="s">
        <v>74</v>
      </c>
      <c r="S416" t="s">
        <v>74</v>
      </c>
      <c r="T416" t="s">
        <v>74</v>
      </c>
      <c r="U416" t="s">
        <v>74</v>
      </c>
      <c r="V416" t="s">
        <v>74</v>
      </c>
      <c r="W416" t="s">
        <v>74</v>
      </c>
      <c r="X416" t="s">
        <v>74</v>
      </c>
      <c r="Y416" t="s">
        <v>74</v>
      </c>
      <c r="Z416" t="s">
        <v>74</v>
      </c>
      <c r="AA416" t="s">
        <v>74</v>
      </c>
      <c r="AB416" t="s">
        <v>74</v>
      </c>
      <c r="AC416" t="s">
        <v>74</v>
      </c>
      <c r="AD416" t="s">
        <v>74</v>
      </c>
      <c r="AE416" t="s">
        <v>74</v>
      </c>
      <c r="AF416" t="s">
        <v>74</v>
      </c>
      <c r="AG416">
        <v>1</v>
      </c>
      <c r="AH416">
        <v>0</v>
      </c>
      <c r="AI416">
        <v>0</v>
      </c>
      <c r="AJ416">
        <v>1</v>
      </c>
      <c r="AK416">
        <v>5</v>
      </c>
      <c r="AL416" t="s">
        <v>946</v>
      </c>
      <c r="AM416" t="s">
        <v>947</v>
      </c>
      <c r="AN416" t="s">
        <v>948</v>
      </c>
      <c r="AO416" t="s">
        <v>949</v>
      </c>
      <c r="AP416" t="s">
        <v>74</v>
      </c>
      <c r="AQ416" t="s">
        <v>74</v>
      </c>
      <c r="AR416" t="s">
        <v>936</v>
      </c>
      <c r="AS416" t="s">
        <v>950</v>
      </c>
      <c r="AT416" t="s">
        <v>8357</v>
      </c>
      <c r="AU416">
        <v>2015</v>
      </c>
      <c r="AV416">
        <v>10</v>
      </c>
      <c r="AW416">
        <v>3</v>
      </c>
      <c r="AX416" t="s">
        <v>74</v>
      </c>
      <c r="AY416" t="s">
        <v>74</v>
      </c>
      <c r="AZ416" t="s">
        <v>74</v>
      </c>
      <c r="BA416" t="s">
        <v>74</v>
      </c>
      <c r="BB416" t="s">
        <v>74</v>
      </c>
      <c r="BC416" t="s">
        <v>74</v>
      </c>
      <c r="BD416" t="s">
        <v>8358</v>
      </c>
      <c r="BE416" t="s">
        <v>8359</v>
      </c>
      <c r="BF416" t="str">
        <f>HYPERLINK("http://dx.doi.org/10.1371/journal.pone.0120036","http://dx.doi.org/10.1371/journal.pone.0120036")</f>
        <v>http://dx.doi.org/10.1371/journal.pone.0120036</v>
      </c>
      <c r="BG416" t="s">
        <v>74</v>
      </c>
      <c r="BH416" t="s">
        <v>74</v>
      </c>
      <c r="BI416">
        <v>2</v>
      </c>
      <c r="BJ416" t="s">
        <v>429</v>
      </c>
      <c r="BK416" t="s">
        <v>100</v>
      </c>
      <c r="BL416" t="s">
        <v>430</v>
      </c>
      <c r="BM416" t="s">
        <v>8360</v>
      </c>
      <c r="BN416" t="s">
        <v>74</v>
      </c>
      <c r="BO416" t="s">
        <v>955</v>
      </c>
      <c r="BP416" t="s">
        <v>74</v>
      </c>
      <c r="BQ416" t="s">
        <v>74</v>
      </c>
      <c r="BR416" t="s">
        <v>104</v>
      </c>
      <c r="BS416" t="s">
        <v>8361</v>
      </c>
      <c r="BT416" t="str">
        <f>HYPERLINK("https%3A%2F%2Fwww.webofscience.com%2Fwos%2Fwoscc%2Ffull-record%2FWOS:000353889600056","View Full Record in Web of Science")</f>
        <v>View Full Record in Web of Science</v>
      </c>
    </row>
    <row r="417" spans="1:72" x14ac:dyDescent="0.15">
      <c r="A417" t="s">
        <v>72</v>
      </c>
      <c r="B417" t="s">
        <v>8362</v>
      </c>
      <c r="C417" t="s">
        <v>74</v>
      </c>
      <c r="D417" t="s">
        <v>74</v>
      </c>
      <c r="E417" t="s">
        <v>74</v>
      </c>
      <c r="F417" t="s">
        <v>8363</v>
      </c>
      <c r="G417" t="s">
        <v>74</v>
      </c>
      <c r="H417" t="s">
        <v>74</v>
      </c>
      <c r="I417" t="s">
        <v>8364</v>
      </c>
      <c r="J417" t="s">
        <v>463</v>
      </c>
      <c r="K417" t="s">
        <v>74</v>
      </c>
      <c r="L417" t="s">
        <v>74</v>
      </c>
      <c r="M417" t="s">
        <v>78</v>
      </c>
      <c r="N417" t="s">
        <v>79</v>
      </c>
      <c r="O417" t="s">
        <v>74</v>
      </c>
      <c r="P417" t="s">
        <v>74</v>
      </c>
      <c r="Q417" t="s">
        <v>74</v>
      </c>
      <c r="R417" t="s">
        <v>74</v>
      </c>
      <c r="S417" t="s">
        <v>74</v>
      </c>
      <c r="T417" t="s">
        <v>8365</v>
      </c>
      <c r="U417" t="s">
        <v>8366</v>
      </c>
      <c r="V417" t="s">
        <v>8367</v>
      </c>
      <c r="W417" t="s">
        <v>8368</v>
      </c>
      <c r="X417" t="s">
        <v>8369</v>
      </c>
      <c r="Y417" t="s">
        <v>8370</v>
      </c>
      <c r="Z417" t="s">
        <v>8371</v>
      </c>
      <c r="AA417" t="s">
        <v>8372</v>
      </c>
      <c r="AB417" t="s">
        <v>8373</v>
      </c>
      <c r="AC417" t="s">
        <v>8374</v>
      </c>
      <c r="AD417" t="s">
        <v>8375</v>
      </c>
      <c r="AE417" t="s">
        <v>8376</v>
      </c>
      <c r="AF417" t="s">
        <v>74</v>
      </c>
      <c r="AG417">
        <v>69</v>
      </c>
      <c r="AH417">
        <v>40</v>
      </c>
      <c r="AI417">
        <v>49</v>
      </c>
      <c r="AJ417">
        <v>2</v>
      </c>
      <c r="AK417">
        <v>39</v>
      </c>
      <c r="AL417" t="s">
        <v>476</v>
      </c>
      <c r="AM417" t="s">
        <v>477</v>
      </c>
      <c r="AN417" t="s">
        <v>8377</v>
      </c>
      <c r="AO417" t="s">
        <v>479</v>
      </c>
      <c r="AP417" t="s">
        <v>74</v>
      </c>
      <c r="AQ417" t="s">
        <v>74</v>
      </c>
      <c r="AR417" t="s">
        <v>480</v>
      </c>
      <c r="AS417" t="s">
        <v>481</v>
      </c>
      <c r="AT417" t="s">
        <v>8357</v>
      </c>
      <c r="AU417">
        <v>2015</v>
      </c>
      <c r="AV417">
        <v>6</v>
      </c>
      <c r="AW417" t="s">
        <v>74</v>
      </c>
      <c r="AX417" t="s">
        <v>74</v>
      </c>
      <c r="AY417" t="s">
        <v>74</v>
      </c>
      <c r="AZ417" t="s">
        <v>74</v>
      </c>
      <c r="BA417" t="s">
        <v>74</v>
      </c>
      <c r="BB417" t="s">
        <v>74</v>
      </c>
      <c r="BC417" t="s">
        <v>74</v>
      </c>
      <c r="BD417">
        <v>225</v>
      </c>
      <c r="BE417" t="s">
        <v>8378</v>
      </c>
      <c r="BF417" t="str">
        <f>HYPERLINK("http://dx.doi.org/10.3389/fmicb.2015.00225","http://dx.doi.org/10.3389/fmicb.2015.00225")</f>
        <v>http://dx.doi.org/10.3389/fmicb.2015.00225</v>
      </c>
      <c r="BG417" t="s">
        <v>74</v>
      </c>
      <c r="BH417" t="s">
        <v>74</v>
      </c>
      <c r="BI417">
        <v>12</v>
      </c>
      <c r="BJ417" t="s">
        <v>483</v>
      </c>
      <c r="BK417" t="s">
        <v>100</v>
      </c>
      <c r="BL417" t="s">
        <v>483</v>
      </c>
      <c r="BM417" t="s">
        <v>8379</v>
      </c>
      <c r="BN417">
        <v>25852678</v>
      </c>
      <c r="BO417" t="s">
        <v>8380</v>
      </c>
      <c r="BP417" t="s">
        <v>74</v>
      </c>
      <c r="BQ417" t="s">
        <v>74</v>
      </c>
      <c r="BR417" t="s">
        <v>104</v>
      </c>
      <c r="BS417" t="s">
        <v>8381</v>
      </c>
      <c r="BT417" t="str">
        <f>HYPERLINK("https%3A%2F%2Fwww.webofscience.com%2Fwos%2Fwoscc%2Ffull-record%2FWOS:000352518100001","View Full Record in Web of Science")</f>
        <v>View Full Record in Web of Science</v>
      </c>
    </row>
    <row r="418" spans="1:72" x14ac:dyDescent="0.15">
      <c r="A418" t="s">
        <v>72</v>
      </c>
      <c r="B418" t="s">
        <v>8382</v>
      </c>
      <c r="C418" t="s">
        <v>74</v>
      </c>
      <c r="D418" t="s">
        <v>74</v>
      </c>
      <c r="E418" t="s">
        <v>74</v>
      </c>
      <c r="F418" t="s">
        <v>8383</v>
      </c>
      <c r="G418" t="s">
        <v>74</v>
      </c>
      <c r="H418" t="s">
        <v>74</v>
      </c>
      <c r="I418" t="s">
        <v>8384</v>
      </c>
      <c r="J418" t="s">
        <v>936</v>
      </c>
      <c r="K418" t="s">
        <v>74</v>
      </c>
      <c r="L418" t="s">
        <v>74</v>
      </c>
      <c r="M418" t="s">
        <v>78</v>
      </c>
      <c r="N418" t="s">
        <v>79</v>
      </c>
      <c r="O418" t="s">
        <v>74</v>
      </c>
      <c r="P418" t="s">
        <v>74</v>
      </c>
      <c r="Q418" t="s">
        <v>74</v>
      </c>
      <c r="R418" t="s">
        <v>74</v>
      </c>
      <c r="S418" t="s">
        <v>74</v>
      </c>
      <c r="T418" t="s">
        <v>74</v>
      </c>
      <c r="U418" t="s">
        <v>8385</v>
      </c>
      <c r="V418" t="s">
        <v>8386</v>
      </c>
      <c r="W418" t="s">
        <v>8387</v>
      </c>
      <c r="X418" t="s">
        <v>8388</v>
      </c>
      <c r="Y418" t="s">
        <v>8389</v>
      </c>
      <c r="Z418" t="s">
        <v>8390</v>
      </c>
      <c r="AA418" t="s">
        <v>8391</v>
      </c>
      <c r="AB418" t="s">
        <v>8392</v>
      </c>
      <c r="AC418" t="s">
        <v>8393</v>
      </c>
      <c r="AD418" t="s">
        <v>8394</v>
      </c>
      <c r="AE418" t="s">
        <v>8395</v>
      </c>
      <c r="AF418" t="s">
        <v>74</v>
      </c>
      <c r="AG418">
        <v>35</v>
      </c>
      <c r="AH418">
        <v>37</v>
      </c>
      <c r="AI418">
        <v>40</v>
      </c>
      <c r="AJ418">
        <v>2</v>
      </c>
      <c r="AK418">
        <v>23</v>
      </c>
      <c r="AL418" t="s">
        <v>946</v>
      </c>
      <c r="AM418" t="s">
        <v>947</v>
      </c>
      <c r="AN418" t="s">
        <v>948</v>
      </c>
      <c r="AO418" t="s">
        <v>949</v>
      </c>
      <c r="AP418" t="s">
        <v>74</v>
      </c>
      <c r="AQ418" t="s">
        <v>74</v>
      </c>
      <c r="AR418" t="s">
        <v>936</v>
      </c>
      <c r="AS418" t="s">
        <v>950</v>
      </c>
      <c r="AT418" t="s">
        <v>8396</v>
      </c>
      <c r="AU418">
        <v>2015</v>
      </c>
      <c r="AV418">
        <v>10</v>
      </c>
      <c r="AW418">
        <v>3</v>
      </c>
      <c r="AX418" t="s">
        <v>74</v>
      </c>
      <c r="AY418" t="s">
        <v>74</v>
      </c>
      <c r="AZ418" t="s">
        <v>74</v>
      </c>
      <c r="BA418" t="s">
        <v>74</v>
      </c>
      <c r="BB418" t="s">
        <v>74</v>
      </c>
      <c r="BC418" t="s">
        <v>74</v>
      </c>
      <c r="BD418" t="s">
        <v>8397</v>
      </c>
      <c r="BE418" t="s">
        <v>8398</v>
      </c>
      <c r="BF418" t="str">
        <f>HYPERLINK("http://dx.doi.org/10.1371/journal.pone.0119966","http://dx.doi.org/10.1371/journal.pone.0119966")</f>
        <v>http://dx.doi.org/10.1371/journal.pone.0119966</v>
      </c>
      <c r="BG418" t="s">
        <v>74</v>
      </c>
      <c r="BH418" t="s">
        <v>74</v>
      </c>
      <c r="BI418">
        <v>14</v>
      </c>
      <c r="BJ418" t="s">
        <v>429</v>
      </c>
      <c r="BK418" t="s">
        <v>100</v>
      </c>
      <c r="BL418" t="s">
        <v>430</v>
      </c>
      <c r="BM418" t="s">
        <v>8399</v>
      </c>
      <c r="BN418">
        <v>25799273</v>
      </c>
      <c r="BO418" t="s">
        <v>1067</v>
      </c>
      <c r="BP418" t="s">
        <v>74</v>
      </c>
      <c r="BQ418" t="s">
        <v>74</v>
      </c>
      <c r="BR418" t="s">
        <v>104</v>
      </c>
      <c r="BS418" t="s">
        <v>8400</v>
      </c>
      <c r="BT418" t="str">
        <f>HYPERLINK("https%3A%2F%2Fwww.webofscience.com%2Fwos%2Fwoscc%2Ffull-record%2FWOS:000351987300098","View Full Record in Web of Science")</f>
        <v>View Full Record in Web of Science</v>
      </c>
    </row>
    <row r="419" spans="1:72" x14ac:dyDescent="0.15">
      <c r="A419" t="s">
        <v>72</v>
      </c>
      <c r="B419" t="s">
        <v>8401</v>
      </c>
      <c r="C419" t="s">
        <v>74</v>
      </c>
      <c r="D419" t="s">
        <v>74</v>
      </c>
      <c r="E419" t="s">
        <v>74</v>
      </c>
      <c r="F419" t="s">
        <v>8402</v>
      </c>
      <c r="G419" t="s">
        <v>74</v>
      </c>
      <c r="H419" t="s">
        <v>74</v>
      </c>
      <c r="I419" t="s">
        <v>8403</v>
      </c>
      <c r="J419" t="s">
        <v>8404</v>
      </c>
      <c r="K419" t="s">
        <v>74</v>
      </c>
      <c r="L419" t="s">
        <v>74</v>
      </c>
      <c r="M419" t="s">
        <v>78</v>
      </c>
      <c r="N419" t="s">
        <v>52</v>
      </c>
      <c r="O419" t="s">
        <v>74</v>
      </c>
      <c r="P419" t="s">
        <v>74</v>
      </c>
      <c r="Q419" t="s">
        <v>74</v>
      </c>
      <c r="R419" t="s">
        <v>74</v>
      </c>
      <c r="S419" t="s">
        <v>74</v>
      </c>
      <c r="T419" t="s">
        <v>74</v>
      </c>
      <c r="U419" t="s">
        <v>74</v>
      </c>
      <c r="V419" t="s">
        <v>74</v>
      </c>
      <c r="W419" t="s">
        <v>8405</v>
      </c>
      <c r="X419" t="s">
        <v>8406</v>
      </c>
      <c r="Y419" t="s">
        <v>74</v>
      </c>
      <c r="Z419" t="s">
        <v>8407</v>
      </c>
      <c r="AA419" t="s">
        <v>74</v>
      </c>
      <c r="AB419" t="s">
        <v>74</v>
      </c>
      <c r="AC419" t="s">
        <v>74</v>
      </c>
      <c r="AD419" t="s">
        <v>74</v>
      </c>
      <c r="AE419" t="s">
        <v>74</v>
      </c>
      <c r="AF419" t="s">
        <v>74</v>
      </c>
      <c r="AG419">
        <v>0</v>
      </c>
      <c r="AH419">
        <v>0</v>
      </c>
      <c r="AI419">
        <v>0</v>
      </c>
      <c r="AJ419">
        <v>0</v>
      </c>
      <c r="AK419">
        <v>1</v>
      </c>
      <c r="AL419" t="s">
        <v>646</v>
      </c>
      <c r="AM419" t="s">
        <v>267</v>
      </c>
      <c r="AN419" t="s">
        <v>647</v>
      </c>
      <c r="AO419" t="s">
        <v>8408</v>
      </c>
      <c r="AP419" t="s">
        <v>74</v>
      </c>
      <c r="AQ419" t="s">
        <v>74</v>
      </c>
      <c r="AR419" t="s">
        <v>8409</v>
      </c>
      <c r="AS419" t="s">
        <v>8410</v>
      </c>
      <c r="AT419" t="s">
        <v>8411</v>
      </c>
      <c r="AU419">
        <v>2015</v>
      </c>
      <c r="AV419">
        <v>249</v>
      </c>
      <c r="AW419" t="s">
        <v>74</v>
      </c>
      <c r="AX419" t="s">
        <v>74</v>
      </c>
      <c r="AY419" t="s">
        <v>74</v>
      </c>
      <c r="AZ419" t="s">
        <v>74</v>
      </c>
      <c r="BA419">
        <v>129</v>
      </c>
      <c r="BB419" t="s">
        <v>74</v>
      </c>
      <c r="BC419" t="s">
        <v>74</v>
      </c>
      <c r="BD419" t="s">
        <v>74</v>
      </c>
      <c r="BE419" t="s">
        <v>74</v>
      </c>
      <c r="BF419" t="s">
        <v>74</v>
      </c>
      <c r="BG419" t="s">
        <v>74</v>
      </c>
      <c r="BH419" t="s">
        <v>74</v>
      </c>
      <c r="BI419">
        <v>1</v>
      </c>
      <c r="BJ419" t="s">
        <v>999</v>
      </c>
      <c r="BK419" t="s">
        <v>100</v>
      </c>
      <c r="BL419" t="s">
        <v>655</v>
      </c>
      <c r="BM419" t="s">
        <v>8412</v>
      </c>
      <c r="BN419" t="s">
        <v>74</v>
      </c>
      <c r="BO419" t="s">
        <v>74</v>
      </c>
      <c r="BP419" t="s">
        <v>74</v>
      </c>
      <c r="BQ419" t="s">
        <v>74</v>
      </c>
      <c r="BR419" t="s">
        <v>104</v>
      </c>
      <c r="BS419" t="s">
        <v>8413</v>
      </c>
      <c r="BT419" t="str">
        <f>HYPERLINK("https%3A%2F%2Fwww.webofscience.com%2Fwos%2Fwoscc%2Ffull-record%2FWOS:000411186500125","View Full Record in Web of Science")</f>
        <v>View Full Record in Web of Science</v>
      </c>
    </row>
    <row r="420" spans="1:72" x14ac:dyDescent="0.15">
      <c r="A420" t="s">
        <v>72</v>
      </c>
      <c r="B420" t="s">
        <v>8414</v>
      </c>
      <c r="C420" t="s">
        <v>74</v>
      </c>
      <c r="D420" t="s">
        <v>74</v>
      </c>
      <c r="E420" t="s">
        <v>74</v>
      </c>
      <c r="F420" t="s">
        <v>8415</v>
      </c>
      <c r="G420" t="s">
        <v>74</v>
      </c>
      <c r="H420" t="s">
        <v>74</v>
      </c>
      <c r="I420" t="s">
        <v>8416</v>
      </c>
      <c r="J420" t="s">
        <v>8404</v>
      </c>
      <c r="K420" t="s">
        <v>74</v>
      </c>
      <c r="L420" t="s">
        <v>74</v>
      </c>
      <c r="M420" t="s">
        <v>78</v>
      </c>
      <c r="N420" t="s">
        <v>52</v>
      </c>
      <c r="O420" t="s">
        <v>74</v>
      </c>
      <c r="P420" t="s">
        <v>74</v>
      </c>
      <c r="Q420" t="s">
        <v>74</v>
      </c>
      <c r="R420" t="s">
        <v>74</v>
      </c>
      <c r="S420" t="s">
        <v>74</v>
      </c>
      <c r="T420" t="s">
        <v>74</v>
      </c>
      <c r="U420" t="s">
        <v>74</v>
      </c>
      <c r="V420" t="s">
        <v>74</v>
      </c>
      <c r="W420" t="s">
        <v>8417</v>
      </c>
      <c r="X420" t="s">
        <v>8418</v>
      </c>
      <c r="Y420" t="s">
        <v>74</v>
      </c>
      <c r="Z420" t="s">
        <v>8419</v>
      </c>
      <c r="AA420" t="s">
        <v>74</v>
      </c>
      <c r="AB420" t="s">
        <v>74</v>
      </c>
      <c r="AC420" t="s">
        <v>74</v>
      </c>
      <c r="AD420" t="s">
        <v>74</v>
      </c>
      <c r="AE420" t="s">
        <v>74</v>
      </c>
      <c r="AF420" t="s">
        <v>74</v>
      </c>
      <c r="AG420">
        <v>0</v>
      </c>
      <c r="AH420">
        <v>0</v>
      </c>
      <c r="AI420">
        <v>0</v>
      </c>
      <c r="AJ420">
        <v>0</v>
      </c>
      <c r="AK420">
        <v>1</v>
      </c>
      <c r="AL420" t="s">
        <v>646</v>
      </c>
      <c r="AM420" t="s">
        <v>267</v>
      </c>
      <c r="AN420" t="s">
        <v>647</v>
      </c>
      <c r="AO420" t="s">
        <v>8408</v>
      </c>
      <c r="AP420" t="s">
        <v>74</v>
      </c>
      <c r="AQ420" t="s">
        <v>74</v>
      </c>
      <c r="AR420" t="s">
        <v>8409</v>
      </c>
      <c r="AS420" t="s">
        <v>8410</v>
      </c>
      <c r="AT420" t="s">
        <v>8411</v>
      </c>
      <c r="AU420">
        <v>2015</v>
      </c>
      <c r="AV420">
        <v>249</v>
      </c>
      <c r="AW420" t="s">
        <v>74</v>
      </c>
      <c r="AX420" t="s">
        <v>74</v>
      </c>
      <c r="AY420" t="s">
        <v>74</v>
      </c>
      <c r="AZ420" t="s">
        <v>74</v>
      </c>
      <c r="BA420">
        <v>130</v>
      </c>
      <c r="BB420" t="s">
        <v>74</v>
      </c>
      <c r="BC420" t="s">
        <v>74</v>
      </c>
      <c r="BD420" t="s">
        <v>74</v>
      </c>
      <c r="BE420" t="s">
        <v>74</v>
      </c>
      <c r="BF420" t="s">
        <v>74</v>
      </c>
      <c r="BG420" t="s">
        <v>74</v>
      </c>
      <c r="BH420" t="s">
        <v>74</v>
      </c>
      <c r="BI420">
        <v>1</v>
      </c>
      <c r="BJ420" t="s">
        <v>999</v>
      </c>
      <c r="BK420" t="s">
        <v>100</v>
      </c>
      <c r="BL420" t="s">
        <v>655</v>
      </c>
      <c r="BM420" t="s">
        <v>8412</v>
      </c>
      <c r="BN420" t="s">
        <v>74</v>
      </c>
      <c r="BO420" t="s">
        <v>74</v>
      </c>
      <c r="BP420" t="s">
        <v>74</v>
      </c>
      <c r="BQ420" t="s">
        <v>74</v>
      </c>
      <c r="BR420" t="s">
        <v>104</v>
      </c>
      <c r="BS420" t="s">
        <v>8420</v>
      </c>
      <c r="BT420" t="str">
        <f>HYPERLINK("https%3A%2F%2Fwww.webofscience.com%2Fwos%2Fwoscc%2Ffull-record%2FWOS:000411186500126","View Full Record in Web of Science")</f>
        <v>View Full Record in Web of Science</v>
      </c>
    </row>
    <row r="421" spans="1:72" x14ac:dyDescent="0.15">
      <c r="A421" t="s">
        <v>72</v>
      </c>
      <c r="B421" t="s">
        <v>8421</v>
      </c>
      <c r="C421" t="s">
        <v>74</v>
      </c>
      <c r="D421" t="s">
        <v>74</v>
      </c>
      <c r="E421" t="s">
        <v>74</v>
      </c>
      <c r="F421" t="s">
        <v>8422</v>
      </c>
      <c r="G421" t="s">
        <v>74</v>
      </c>
      <c r="H421" t="s">
        <v>74</v>
      </c>
      <c r="I421" t="s">
        <v>8423</v>
      </c>
      <c r="J421" t="s">
        <v>8404</v>
      </c>
      <c r="K421" t="s">
        <v>74</v>
      </c>
      <c r="L421" t="s">
        <v>74</v>
      </c>
      <c r="M421" t="s">
        <v>78</v>
      </c>
      <c r="N421" t="s">
        <v>52</v>
      </c>
      <c r="O421" t="s">
        <v>74</v>
      </c>
      <c r="P421" t="s">
        <v>74</v>
      </c>
      <c r="Q421" t="s">
        <v>74</v>
      </c>
      <c r="R421" t="s">
        <v>74</v>
      </c>
      <c r="S421" t="s">
        <v>74</v>
      </c>
      <c r="T421" t="s">
        <v>74</v>
      </c>
      <c r="U421" t="s">
        <v>74</v>
      </c>
      <c r="V421" t="s">
        <v>74</v>
      </c>
      <c r="W421" t="s">
        <v>8424</v>
      </c>
      <c r="X421" t="s">
        <v>8425</v>
      </c>
      <c r="Y421" t="s">
        <v>74</v>
      </c>
      <c r="Z421" t="s">
        <v>8426</v>
      </c>
      <c r="AA421" t="s">
        <v>8427</v>
      </c>
      <c r="AB421" t="s">
        <v>74</v>
      </c>
      <c r="AC421" t="s">
        <v>74</v>
      </c>
      <c r="AD421" t="s">
        <v>74</v>
      </c>
      <c r="AE421" t="s">
        <v>74</v>
      </c>
      <c r="AF421" t="s">
        <v>74</v>
      </c>
      <c r="AG421">
        <v>0</v>
      </c>
      <c r="AH421">
        <v>0</v>
      </c>
      <c r="AI421">
        <v>0</v>
      </c>
      <c r="AJ421">
        <v>0</v>
      </c>
      <c r="AK421">
        <v>0</v>
      </c>
      <c r="AL421" t="s">
        <v>646</v>
      </c>
      <c r="AM421" t="s">
        <v>267</v>
      </c>
      <c r="AN421" t="s">
        <v>647</v>
      </c>
      <c r="AO421" t="s">
        <v>8408</v>
      </c>
      <c r="AP421" t="s">
        <v>74</v>
      </c>
      <c r="AQ421" t="s">
        <v>74</v>
      </c>
      <c r="AR421" t="s">
        <v>8409</v>
      </c>
      <c r="AS421" t="s">
        <v>8410</v>
      </c>
      <c r="AT421" t="s">
        <v>8411</v>
      </c>
      <c r="AU421">
        <v>2015</v>
      </c>
      <c r="AV421">
        <v>249</v>
      </c>
      <c r="AW421" t="s">
        <v>74</v>
      </c>
      <c r="AX421" t="s">
        <v>74</v>
      </c>
      <c r="AY421" t="s">
        <v>74</v>
      </c>
      <c r="AZ421" t="s">
        <v>74</v>
      </c>
      <c r="BA421">
        <v>261</v>
      </c>
      <c r="BB421" t="s">
        <v>74</v>
      </c>
      <c r="BC421" t="s">
        <v>74</v>
      </c>
      <c r="BD421" t="s">
        <v>74</v>
      </c>
      <c r="BE421" t="s">
        <v>74</v>
      </c>
      <c r="BF421" t="s">
        <v>74</v>
      </c>
      <c r="BG421" t="s">
        <v>74</v>
      </c>
      <c r="BH421" t="s">
        <v>74</v>
      </c>
      <c r="BI421">
        <v>1</v>
      </c>
      <c r="BJ421" t="s">
        <v>999</v>
      </c>
      <c r="BK421" t="s">
        <v>100</v>
      </c>
      <c r="BL421" t="s">
        <v>655</v>
      </c>
      <c r="BM421" t="s">
        <v>8428</v>
      </c>
      <c r="BN421" t="s">
        <v>74</v>
      </c>
      <c r="BO421" t="s">
        <v>74</v>
      </c>
      <c r="BP421" t="s">
        <v>74</v>
      </c>
      <c r="BQ421" t="s">
        <v>74</v>
      </c>
      <c r="BR421" t="s">
        <v>104</v>
      </c>
      <c r="BS421" t="s">
        <v>8429</v>
      </c>
      <c r="BT421" t="str">
        <f>HYPERLINK("https%3A%2F%2Fwww.webofscience.com%2Fwos%2Fwoscc%2Ffull-record%2FWOS:000411183304160","View Full Record in Web of Science")</f>
        <v>View Full Record in Web of Science</v>
      </c>
    </row>
    <row r="422" spans="1:72" x14ac:dyDescent="0.15">
      <c r="A422" t="s">
        <v>72</v>
      </c>
      <c r="B422" t="s">
        <v>8430</v>
      </c>
      <c r="C422" t="s">
        <v>74</v>
      </c>
      <c r="D422" t="s">
        <v>74</v>
      </c>
      <c r="E422" t="s">
        <v>74</v>
      </c>
      <c r="F422" t="s">
        <v>8431</v>
      </c>
      <c r="G422" t="s">
        <v>74</v>
      </c>
      <c r="H422" t="s">
        <v>74</v>
      </c>
      <c r="I422" t="s">
        <v>8432</v>
      </c>
      <c r="J422" t="s">
        <v>8433</v>
      </c>
      <c r="K422" t="s">
        <v>74</v>
      </c>
      <c r="L422" t="s">
        <v>74</v>
      </c>
      <c r="M422" t="s">
        <v>78</v>
      </c>
      <c r="N422" t="s">
        <v>79</v>
      </c>
      <c r="O422" t="s">
        <v>74</v>
      </c>
      <c r="P422" t="s">
        <v>74</v>
      </c>
      <c r="Q422" t="s">
        <v>74</v>
      </c>
      <c r="R422" t="s">
        <v>74</v>
      </c>
      <c r="S422" t="s">
        <v>74</v>
      </c>
      <c r="T422" t="s">
        <v>8434</v>
      </c>
      <c r="U422" t="s">
        <v>8435</v>
      </c>
      <c r="V422" t="s">
        <v>8436</v>
      </c>
      <c r="W422" t="s">
        <v>8437</v>
      </c>
      <c r="X422" t="s">
        <v>1616</v>
      </c>
      <c r="Y422" t="s">
        <v>8438</v>
      </c>
      <c r="Z422" t="s">
        <v>8439</v>
      </c>
      <c r="AA422" t="s">
        <v>8440</v>
      </c>
      <c r="AB422" t="s">
        <v>8441</v>
      </c>
      <c r="AC422" t="s">
        <v>8442</v>
      </c>
      <c r="AD422" t="s">
        <v>8443</v>
      </c>
      <c r="AE422" t="s">
        <v>8444</v>
      </c>
      <c r="AF422" t="s">
        <v>74</v>
      </c>
      <c r="AG422">
        <v>65</v>
      </c>
      <c r="AH422">
        <v>18</v>
      </c>
      <c r="AI422">
        <v>18</v>
      </c>
      <c r="AJ422">
        <v>1</v>
      </c>
      <c r="AK422">
        <v>51</v>
      </c>
      <c r="AL422" t="s">
        <v>7073</v>
      </c>
      <c r="AM422" t="s">
        <v>378</v>
      </c>
      <c r="AN422" t="s">
        <v>7074</v>
      </c>
      <c r="AO422" t="s">
        <v>8445</v>
      </c>
      <c r="AP422" t="s">
        <v>8446</v>
      </c>
      <c r="AQ422" t="s">
        <v>74</v>
      </c>
      <c r="AR422" t="s">
        <v>8447</v>
      </c>
      <c r="AS422" t="s">
        <v>8448</v>
      </c>
      <c r="AT422" t="s">
        <v>8449</v>
      </c>
      <c r="AU422">
        <v>2015</v>
      </c>
      <c r="AV422">
        <v>155</v>
      </c>
      <c r="AW422" t="s">
        <v>74</v>
      </c>
      <c r="AX422" t="s">
        <v>74</v>
      </c>
      <c r="AY422" t="s">
        <v>74</v>
      </c>
      <c r="AZ422" t="s">
        <v>74</v>
      </c>
      <c r="BA422" t="s">
        <v>74</v>
      </c>
      <c r="BB422">
        <v>56</v>
      </c>
      <c r="BC422">
        <v>65</v>
      </c>
      <c r="BD422" t="s">
        <v>74</v>
      </c>
      <c r="BE422" t="s">
        <v>8450</v>
      </c>
      <c r="BF422" t="str">
        <f>HYPERLINK("http://dx.doi.org/10.1016/j.ecss.2015.01.014","http://dx.doi.org/10.1016/j.ecss.2015.01.014")</f>
        <v>http://dx.doi.org/10.1016/j.ecss.2015.01.014</v>
      </c>
      <c r="BG422" t="s">
        <v>74</v>
      </c>
      <c r="BH422" t="s">
        <v>74</v>
      </c>
      <c r="BI422">
        <v>10</v>
      </c>
      <c r="BJ422" t="s">
        <v>1766</v>
      </c>
      <c r="BK422" t="s">
        <v>100</v>
      </c>
      <c r="BL422" t="s">
        <v>1766</v>
      </c>
      <c r="BM422" t="s">
        <v>8451</v>
      </c>
      <c r="BN422" t="s">
        <v>74</v>
      </c>
      <c r="BO422" t="s">
        <v>74</v>
      </c>
      <c r="BP422" t="s">
        <v>74</v>
      </c>
      <c r="BQ422" t="s">
        <v>74</v>
      </c>
      <c r="BR422" t="s">
        <v>104</v>
      </c>
      <c r="BS422" t="s">
        <v>8452</v>
      </c>
      <c r="BT422" t="str">
        <f>HYPERLINK("https%3A%2F%2Fwww.webofscience.com%2Fwos%2Fwoscc%2Ffull-record%2FWOS:000352675600008","View Full Record in Web of Science")</f>
        <v>View Full Record in Web of Science</v>
      </c>
    </row>
    <row r="423" spans="1:72" x14ac:dyDescent="0.15">
      <c r="A423" t="s">
        <v>72</v>
      </c>
      <c r="B423" t="s">
        <v>8453</v>
      </c>
      <c r="C423" t="s">
        <v>74</v>
      </c>
      <c r="D423" t="s">
        <v>74</v>
      </c>
      <c r="E423" t="s">
        <v>74</v>
      </c>
      <c r="F423" t="s">
        <v>8454</v>
      </c>
      <c r="G423" t="s">
        <v>74</v>
      </c>
      <c r="H423" t="s">
        <v>74</v>
      </c>
      <c r="I423" t="s">
        <v>8455</v>
      </c>
      <c r="J423" t="s">
        <v>4306</v>
      </c>
      <c r="K423" t="s">
        <v>74</v>
      </c>
      <c r="L423" t="s">
        <v>74</v>
      </c>
      <c r="M423" t="s">
        <v>78</v>
      </c>
      <c r="N423" t="s">
        <v>2472</v>
      </c>
      <c r="O423" t="s">
        <v>74</v>
      </c>
      <c r="P423" t="s">
        <v>74</v>
      </c>
      <c r="Q423" t="s">
        <v>74</v>
      </c>
      <c r="R423" t="s">
        <v>74</v>
      </c>
      <c r="S423" t="s">
        <v>74</v>
      </c>
      <c r="T423" t="s">
        <v>74</v>
      </c>
      <c r="U423" t="s">
        <v>74</v>
      </c>
      <c r="V423" t="s">
        <v>74</v>
      </c>
      <c r="W423" t="s">
        <v>74</v>
      </c>
      <c r="X423" t="s">
        <v>74</v>
      </c>
      <c r="Y423" t="s">
        <v>74</v>
      </c>
      <c r="Z423" t="s">
        <v>74</v>
      </c>
      <c r="AA423" t="s">
        <v>8456</v>
      </c>
      <c r="AB423" t="s">
        <v>8457</v>
      </c>
      <c r="AC423" t="s">
        <v>74</v>
      </c>
      <c r="AD423" t="s">
        <v>74</v>
      </c>
      <c r="AE423" t="s">
        <v>74</v>
      </c>
      <c r="AF423" t="s">
        <v>74</v>
      </c>
      <c r="AG423">
        <v>1</v>
      </c>
      <c r="AH423">
        <v>2</v>
      </c>
      <c r="AI423">
        <v>2</v>
      </c>
      <c r="AJ423">
        <v>2</v>
      </c>
      <c r="AK423">
        <v>18</v>
      </c>
      <c r="AL423" t="s">
        <v>2539</v>
      </c>
      <c r="AM423" t="s">
        <v>378</v>
      </c>
      <c r="AN423" t="s">
        <v>4315</v>
      </c>
      <c r="AO423" t="s">
        <v>4316</v>
      </c>
      <c r="AP423" t="s">
        <v>4317</v>
      </c>
      <c r="AQ423" t="s">
        <v>74</v>
      </c>
      <c r="AR423" t="s">
        <v>4306</v>
      </c>
      <c r="AS423" t="s">
        <v>4318</v>
      </c>
      <c r="AT423" t="s">
        <v>8458</v>
      </c>
      <c r="AU423">
        <v>2015</v>
      </c>
      <c r="AV423">
        <v>519</v>
      </c>
      <c r="AW423">
        <v>7543</v>
      </c>
      <c r="AX423" t="s">
        <v>74</v>
      </c>
      <c r="AY423" t="s">
        <v>74</v>
      </c>
      <c r="AZ423" t="s">
        <v>74</v>
      </c>
      <c r="BA423" t="s">
        <v>74</v>
      </c>
      <c r="BB423">
        <v>378</v>
      </c>
      <c r="BC423">
        <v>378</v>
      </c>
      <c r="BD423" t="s">
        <v>74</v>
      </c>
      <c r="BE423" t="s">
        <v>8459</v>
      </c>
      <c r="BF423" t="str">
        <f>HYPERLINK("http://dx.doi.org/10.1038/nature14220","http://dx.doi.org/10.1038/nature14220")</f>
        <v>http://dx.doi.org/10.1038/nature14220</v>
      </c>
      <c r="BG423" t="s">
        <v>74</v>
      </c>
      <c r="BH423" t="s">
        <v>74</v>
      </c>
      <c r="BI423">
        <v>1</v>
      </c>
      <c r="BJ423" t="s">
        <v>429</v>
      </c>
      <c r="BK423" t="s">
        <v>100</v>
      </c>
      <c r="BL423" t="s">
        <v>430</v>
      </c>
      <c r="BM423" t="s">
        <v>8460</v>
      </c>
      <c r="BN423" t="s">
        <v>74</v>
      </c>
      <c r="BO423" t="s">
        <v>156</v>
      </c>
      <c r="BP423" t="s">
        <v>74</v>
      </c>
      <c r="BQ423" t="s">
        <v>74</v>
      </c>
      <c r="BR423" t="s">
        <v>104</v>
      </c>
      <c r="BS423" t="s">
        <v>8461</v>
      </c>
      <c r="BT423" t="str">
        <f>HYPERLINK("https%3A%2F%2Fwww.webofscience.com%2Fwos%2Fwoscc%2Ffull-record%2FWOS:000351171900047","View Full Record in Web of Science")</f>
        <v>View Full Record in Web of Science</v>
      </c>
    </row>
    <row r="424" spans="1:72" x14ac:dyDescent="0.15">
      <c r="A424" t="s">
        <v>72</v>
      </c>
      <c r="B424" t="s">
        <v>8462</v>
      </c>
      <c r="C424" t="s">
        <v>74</v>
      </c>
      <c r="D424" t="s">
        <v>74</v>
      </c>
      <c r="E424" t="s">
        <v>74</v>
      </c>
      <c r="F424" t="s">
        <v>8463</v>
      </c>
      <c r="G424" t="s">
        <v>74</v>
      </c>
      <c r="H424" t="s">
        <v>74</v>
      </c>
      <c r="I424" t="s">
        <v>8464</v>
      </c>
      <c r="J424" t="s">
        <v>8465</v>
      </c>
      <c r="K424" t="s">
        <v>74</v>
      </c>
      <c r="L424" t="s">
        <v>74</v>
      </c>
      <c r="M424" t="s">
        <v>78</v>
      </c>
      <c r="N424" t="s">
        <v>79</v>
      </c>
      <c r="O424" t="s">
        <v>74</v>
      </c>
      <c r="P424" t="s">
        <v>74</v>
      </c>
      <c r="Q424" t="s">
        <v>74</v>
      </c>
      <c r="R424" t="s">
        <v>74</v>
      </c>
      <c r="S424" t="s">
        <v>74</v>
      </c>
      <c r="T424" t="s">
        <v>8466</v>
      </c>
      <c r="U424" t="s">
        <v>8467</v>
      </c>
      <c r="V424" t="s">
        <v>8468</v>
      </c>
      <c r="W424" t="s">
        <v>8469</v>
      </c>
      <c r="X424" t="s">
        <v>8470</v>
      </c>
      <c r="Y424" t="s">
        <v>8471</v>
      </c>
      <c r="Z424" t="s">
        <v>8472</v>
      </c>
      <c r="AA424" t="s">
        <v>8473</v>
      </c>
      <c r="AB424" t="s">
        <v>8474</v>
      </c>
      <c r="AC424" t="s">
        <v>8475</v>
      </c>
      <c r="AD424" t="s">
        <v>8476</v>
      </c>
      <c r="AE424" t="s">
        <v>8477</v>
      </c>
      <c r="AF424" t="s">
        <v>74</v>
      </c>
      <c r="AG424">
        <v>25</v>
      </c>
      <c r="AH424">
        <v>7</v>
      </c>
      <c r="AI424">
        <v>7</v>
      </c>
      <c r="AJ424">
        <v>0</v>
      </c>
      <c r="AK424">
        <v>11</v>
      </c>
      <c r="AL424" t="s">
        <v>8478</v>
      </c>
      <c r="AM424" t="s">
        <v>1702</v>
      </c>
      <c r="AN424" t="s">
        <v>8479</v>
      </c>
      <c r="AO424" t="s">
        <v>8480</v>
      </c>
      <c r="AP424" t="s">
        <v>8481</v>
      </c>
      <c r="AQ424" t="s">
        <v>74</v>
      </c>
      <c r="AR424" t="s">
        <v>8482</v>
      </c>
      <c r="AS424" t="s">
        <v>8483</v>
      </c>
      <c r="AT424" t="s">
        <v>8458</v>
      </c>
      <c r="AU424">
        <v>2015</v>
      </c>
      <c r="AV424">
        <v>88</v>
      </c>
      <c r="AW424" t="s">
        <v>74</v>
      </c>
      <c r="AX424" t="s">
        <v>74</v>
      </c>
      <c r="AY424" t="s">
        <v>74</v>
      </c>
      <c r="AZ424" t="s">
        <v>74</v>
      </c>
      <c r="BA424" t="s">
        <v>74</v>
      </c>
      <c r="BB424" t="s">
        <v>74</v>
      </c>
      <c r="BC424" t="s">
        <v>74</v>
      </c>
      <c r="BD424">
        <v>6</v>
      </c>
      <c r="BE424" t="s">
        <v>8484</v>
      </c>
      <c r="BF424" t="str">
        <f>HYPERLINK("http://dx.doi.org/10.1186/s40693-014-0033-z","http://dx.doi.org/10.1186/s40693-014-0033-z")</f>
        <v>http://dx.doi.org/10.1186/s40693-014-0033-z</v>
      </c>
      <c r="BG424" t="s">
        <v>74</v>
      </c>
      <c r="BH424" t="s">
        <v>74</v>
      </c>
      <c r="BI424">
        <v>6</v>
      </c>
      <c r="BJ424" t="s">
        <v>1311</v>
      </c>
      <c r="BK424" t="s">
        <v>100</v>
      </c>
      <c r="BL424" t="s">
        <v>154</v>
      </c>
      <c r="BM424" t="s">
        <v>8485</v>
      </c>
      <c r="BN424" t="s">
        <v>74</v>
      </c>
      <c r="BO424" t="s">
        <v>485</v>
      </c>
      <c r="BP424" t="s">
        <v>74</v>
      </c>
      <c r="BQ424" t="s">
        <v>74</v>
      </c>
      <c r="BR424" t="s">
        <v>104</v>
      </c>
      <c r="BS424" t="s">
        <v>8486</v>
      </c>
      <c r="BT424" t="str">
        <f>HYPERLINK("https%3A%2F%2Fwww.webofscience.com%2Fwos%2Fwoscc%2Ffull-record%2FWOS:000351829100001","View Full Record in Web of Science")</f>
        <v>View Full Record in Web of Science</v>
      </c>
    </row>
    <row r="425" spans="1:72" x14ac:dyDescent="0.15">
      <c r="A425" t="s">
        <v>72</v>
      </c>
      <c r="B425" t="s">
        <v>8487</v>
      </c>
      <c r="C425" t="s">
        <v>74</v>
      </c>
      <c r="D425" t="s">
        <v>74</v>
      </c>
      <c r="E425" t="s">
        <v>74</v>
      </c>
      <c r="F425" t="s">
        <v>8488</v>
      </c>
      <c r="G425" t="s">
        <v>74</v>
      </c>
      <c r="H425" t="s">
        <v>74</v>
      </c>
      <c r="I425" t="s">
        <v>8489</v>
      </c>
      <c r="J425" t="s">
        <v>936</v>
      </c>
      <c r="K425" t="s">
        <v>74</v>
      </c>
      <c r="L425" t="s">
        <v>74</v>
      </c>
      <c r="M425" t="s">
        <v>78</v>
      </c>
      <c r="N425" t="s">
        <v>79</v>
      </c>
      <c r="O425" t="s">
        <v>74</v>
      </c>
      <c r="P425" t="s">
        <v>74</v>
      </c>
      <c r="Q425" t="s">
        <v>74</v>
      </c>
      <c r="R425" t="s">
        <v>74</v>
      </c>
      <c r="S425" t="s">
        <v>74</v>
      </c>
      <c r="T425" t="s">
        <v>74</v>
      </c>
      <c r="U425" t="s">
        <v>8490</v>
      </c>
      <c r="V425" t="s">
        <v>8491</v>
      </c>
      <c r="W425" t="s">
        <v>8492</v>
      </c>
      <c r="X425" t="s">
        <v>6938</v>
      </c>
      <c r="Y425" t="s">
        <v>8493</v>
      </c>
      <c r="Z425" t="s">
        <v>8494</v>
      </c>
      <c r="AA425" t="s">
        <v>8495</v>
      </c>
      <c r="AB425" t="s">
        <v>8496</v>
      </c>
      <c r="AC425" t="s">
        <v>8497</v>
      </c>
      <c r="AD425" t="s">
        <v>8498</v>
      </c>
      <c r="AE425" t="s">
        <v>8499</v>
      </c>
      <c r="AF425" t="s">
        <v>74</v>
      </c>
      <c r="AG425">
        <v>80</v>
      </c>
      <c r="AH425">
        <v>14</v>
      </c>
      <c r="AI425">
        <v>15</v>
      </c>
      <c r="AJ425">
        <v>0</v>
      </c>
      <c r="AK425">
        <v>12</v>
      </c>
      <c r="AL425" t="s">
        <v>946</v>
      </c>
      <c r="AM425" t="s">
        <v>947</v>
      </c>
      <c r="AN425" t="s">
        <v>948</v>
      </c>
      <c r="AO425" t="s">
        <v>949</v>
      </c>
      <c r="AP425" t="s">
        <v>74</v>
      </c>
      <c r="AQ425" t="s">
        <v>74</v>
      </c>
      <c r="AR425" t="s">
        <v>936</v>
      </c>
      <c r="AS425" t="s">
        <v>950</v>
      </c>
      <c r="AT425" t="s">
        <v>8500</v>
      </c>
      <c r="AU425">
        <v>2015</v>
      </c>
      <c r="AV425">
        <v>10</v>
      </c>
      <c r="AW425">
        <v>3</v>
      </c>
      <c r="AX425" t="s">
        <v>74</v>
      </c>
      <c r="AY425" t="s">
        <v>74</v>
      </c>
      <c r="AZ425" t="s">
        <v>74</v>
      </c>
      <c r="BA425" t="s">
        <v>74</v>
      </c>
      <c r="BB425" t="s">
        <v>74</v>
      </c>
      <c r="BC425" t="s">
        <v>74</v>
      </c>
      <c r="BD425" t="s">
        <v>8501</v>
      </c>
      <c r="BE425" t="s">
        <v>8502</v>
      </c>
      <c r="BF425" t="str">
        <f>HYPERLINK("http://dx.doi.org/10.1371/journal.pone.0118805","http://dx.doi.org/10.1371/journal.pone.0118805")</f>
        <v>http://dx.doi.org/10.1371/journal.pone.0118805</v>
      </c>
      <c r="BG425" t="s">
        <v>74</v>
      </c>
      <c r="BH425" t="s">
        <v>74</v>
      </c>
      <c r="BI425">
        <v>18</v>
      </c>
      <c r="BJ425" t="s">
        <v>429</v>
      </c>
      <c r="BK425" t="s">
        <v>100</v>
      </c>
      <c r="BL425" t="s">
        <v>430</v>
      </c>
      <c r="BM425" t="s">
        <v>8503</v>
      </c>
      <c r="BN425">
        <v>25785444</v>
      </c>
      <c r="BO425" t="s">
        <v>432</v>
      </c>
      <c r="BP425" t="s">
        <v>74</v>
      </c>
      <c r="BQ425" t="s">
        <v>74</v>
      </c>
      <c r="BR425" t="s">
        <v>104</v>
      </c>
      <c r="BS425" t="s">
        <v>8504</v>
      </c>
      <c r="BT425" t="str">
        <f>HYPERLINK("https%3A%2F%2Fwww.webofscience.com%2Fwos%2Fwoscc%2Ffull-record%2FWOS:000352138500049","View Full Record in Web of Science")</f>
        <v>View Full Record in Web of Science</v>
      </c>
    </row>
    <row r="426" spans="1:72" x14ac:dyDescent="0.15">
      <c r="A426" t="s">
        <v>72</v>
      </c>
      <c r="B426" t="s">
        <v>8505</v>
      </c>
      <c r="C426" t="s">
        <v>74</v>
      </c>
      <c r="D426" t="s">
        <v>74</v>
      </c>
      <c r="E426" t="s">
        <v>74</v>
      </c>
      <c r="F426" t="s">
        <v>8506</v>
      </c>
      <c r="G426" t="s">
        <v>74</v>
      </c>
      <c r="H426" t="s">
        <v>74</v>
      </c>
      <c r="I426" t="s">
        <v>8507</v>
      </c>
      <c r="J426" t="s">
        <v>4433</v>
      </c>
      <c r="K426" t="s">
        <v>74</v>
      </c>
      <c r="L426" t="s">
        <v>74</v>
      </c>
      <c r="M426" t="s">
        <v>78</v>
      </c>
      <c r="N426" t="s">
        <v>79</v>
      </c>
      <c r="O426" t="s">
        <v>74</v>
      </c>
      <c r="P426" t="s">
        <v>74</v>
      </c>
      <c r="Q426" t="s">
        <v>74</v>
      </c>
      <c r="R426" t="s">
        <v>74</v>
      </c>
      <c r="S426" t="s">
        <v>74</v>
      </c>
      <c r="T426" t="s">
        <v>8508</v>
      </c>
      <c r="U426" t="s">
        <v>8509</v>
      </c>
      <c r="V426" t="s">
        <v>8510</v>
      </c>
      <c r="W426" t="s">
        <v>8511</v>
      </c>
      <c r="X426" t="s">
        <v>8512</v>
      </c>
      <c r="Y426" t="s">
        <v>8513</v>
      </c>
      <c r="Z426" t="s">
        <v>8514</v>
      </c>
      <c r="AA426" t="s">
        <v>8515</v>
      </c>
      <c r="AB426" t="s">
        <v>8516</v>
      </c>
      <c r="AC426" t="s">
        <v>8517</v>
      </c>
      <c r="AD426" t="s">
        <v>8518</v>
      </c>
      <c r="AE426" t="s">
        <v>8519</v>
      </c>
      <c r="AF426" t="s">
        <v>74</v>
      </c>
      <c r="AG426">
        <v>36</v>
      </c>
      <c r="AH426">
        <v>176</v>
      </c>
      <c r="AI426">
        <v>204</v>
      </c>
      <c r="AJ426">
        <v>6</v>
      </c>
      <c r="AK426">
        <v>125</v>
      </c>
      <c r="AL426" t="s">
        <v>4446</v>
      </c>
      <c r="AM426" t="s">
        <v>267</v>
      </c>
      <c r="AN426" t="s">
        <v>4447</v>
      </c>
      <c r="AO426" t="s">
        <v>4448</v>
      </c>
      <c r="AP426" t="s">
        <v>74</v>
      </c>
      <c r="AQ426" t="s">
        <v>74</v>
      </c>
      <c r="AR426" t="s">
        <v>4449</v>
      </c>
      <c r="AS426" t="s">
        <v>4450</v>
      </c>
      <c r="AT426" t="s">
        <v>8520</v>
      </c>
      <c r="AU426">
        <v>2015</v>
      </c>
      <c r="AV426">
        <v>112</v>
      </c>
      <c r="AW426">
        <v>11</v>
      </c>
      <c r="AX426" t="s">
        <v>74</v>
      </c>
      <c r="AY426" t="s">
        <v>74</v>
      </c>
      <c r="AZ426" t="s">
        <v>74</v>
      </c>
      <c r="BA426" t="s">
        <v>74</v>
      </c>
      <c r="BB426">
        <v>3263</v>
      </c>
      <c r="BC426">
        <v>3268</v>
      </c>
      <c r="BD426" t="s">
        <v>74</v>
      </c>
      <c r="BE426" t="s">
        <v>8521</v>
      </c>
      <c r="BF426" t="str">
        <f>HYPERLINK("http://dx.doi.org/10.1073/pnas.1415137112","http://dx.doi.org/10.1073/pnas.1415137112")</f>
        <v>http://dx.doi.org/10.1073/pnas.1415137112</v>
      </c>
      <c r="BG426" t="s">
        <v>74</v>
      </c>
      <c r="BH426" t="s">
        <v>74</v>
      </c>
      <c r="BI426">
        <v>6</v>
      </c>
      <c r="BJ426" t="s">
        <v>429</v>
      </c>
      <c r="BK426" t="s">
        <v>100</v>
      </c>
      <c r="BL426" t="s">
        <v>430</v>
      </c>
      <c r="BM426" t="s">
        <v>8522</v>
      </c>
      <c r="BN426">
        <v>25733856</v>
      </c>
      <c r="BO426" t="s">
        <v>293</v>
      </c>
      <c r="BP426" t="s">
        <v>74</v>
      </c>
      <c r="BQ426" t="s">
        <v>74</v>
      </c>
      <c r="BR426" t="s">
        <v>104</v>
      </c>
      <c r="BS426" t="s">
        <v>8523</v>
      </c>
      <c r="BT426" t="str">
        <f>HYPERLINK("https%3A%2F%2Fwww.webofscience.com%2Fwos%2Fwoscc%2Ffull-record%2FWOS:000351060000049","View Full Record in Web of Science")</f>
        <v>View Full Record in Web of Science</v>
      </c>
    </row>
    <row r="427" spans="1:72" x14ac:dyDescent="0.15">
      <c r="A427" t="s">
        <v>72</v>
      </c>
      <c r="B427" t="s">
        <v>8524</v>
      </c>
      <c r="C427" t="s">
        <v>74</v>
      </c>
      <c r="D427" t="s">
        <v>74</v>
      </c>
      <c r="E427" t="s">
        <v>74</v>
      </c>
      <c r="F427" t="s">
        <v>8525</v>
      </c>
      <c r="G427" t="s">
        <v>74</v>
      </c>
      <c r="H427" t="s">
        <v>74</v>
      </c>
      <c r="I427" t="s">
        <v>8526</v>
      </c>
      <c r="J427" t="s">
        <v>1072</v>
      </c>
      <c r="K427" t="s">
        <v>74</v>
      </c>
      <c r="L427" t="s">
        <v>74</v>
      </c>
      <c r="M427" t="s">
        <v>78</v>
      </c>
      <c r="N427" t="s">
        <v>79</v>
      </c>
      <c r="O427" t="s">
        <v>74</v>
      </c>
      <c r="P427" t="s">
        <v>74</v>
      </c>
      <c r="Q427" t="s">
        <v>74</v>
      </c>
      <c r="R427" t="s">
        <v>74</v>
      </c>
      <c r="S427" t="s">
        <v>74</v>
      </c>
      <c r="T427" t="s">
        <v>8527</v>
      </c>
      <c r="U427" t="s">
        <v>8528</v>
      </c>
      <c r="V427" t="s">
        <v>8529</v>
      </c>
      <c r="W427" t="s">
        <v>8530</v>
      </c>
      <c r="X427" t="s">
        <v>8531</v>
      </c>
      <c r="Y427" t="s">
        <v>8532</v>
      </c>
      <c r="Z427" t="s">
        <v>8533</v>
      </c>
      <c r="AA427" t="s">
        <v>8534</v>
      </c>
      <c r="AB427" t="s">
        <v>8535</v>
      </c>
      <c r="AC427" t="s">
        <v>8536</v>
      </c>
      <c r="AD427" t="s">
        <v>8537</v>
      </c>
      <c r="AE427" t="s">
        <v>8538</v>
      </c>
      <c r="AF427" t="s">
        <v>74</v>
      </c>
      <c r="AG427">
        <v>61</v>
      </c>
      <c r="AH427">
        <v>23</v>
      </c>
      <c r="AI427">
        <v>24</v>
      </c>
      <c r="AJ427">
        <v>0</v>
      </c>
      <c r="AK427">
        <v>82</v>
      </c>
      <c r="AL427" t="s">
        <v>1085</v>
      </c>
      <c r="AM427" t="s">
        <v>1086</v>
      </c>
      <c r="AN427" t="s">
        <v>1087</v>
      </c>
      <c r="AO427" t="s">
        <v>1088</v>
      </c>
      <c r="AP427" t="s">
        <v>1089</v>
      </c>
      <c r="AQ427" t="s">
        <v>74</v>
      </c>
      <c r="AR427" t="s">
        <v>1090</v>
      </c>
      <c r="AS427" t="s">
        <v>1091</v>
      </c>
      <c r="AT427" t="s">
        <v>8539</v>
      </c>
      <c r="AU427">
        <v>2015</v>
      </c>
      <c r="AV427">
        <v>523</v>
      </c>
      <c r="AW427" t="s">
        <v>74</v>
      </c>
      <c r="AX427" t="s">
        <v>74</v>
      </c>
      <c r="AY427" t="s">
        <v>74</v>
      </c>
      <c r="AZ427" t="s">
        <v>74</v>
      </c>
      <c r="BA427" t="s">
        <v>74</v>
      </c>
      <c r="BB427">
        <v>199</v>
      </c>
      <c r="BC427">
        <v>213</v>
      </c>
      <c r="BD427" t="s">
        <v>74</v>
      </c>
      <c r="BE427" t="s">
        <v>8540</v>
      </c>
      <c r="BF427" t="str">
        <f>HYPERLINK("http://dx.doi.org/10.3354/meps11130","http://dx.doi.org/10.3354/meps11130")</f>
        <v>http://dx.doi.org/10.3354/meps11130</v>
      </c>
      <c r="BG427" t="s">
        <v>74</v>
      </c>
      <c r="BH427" t="s">
        <v>74</v>
      </c>
      <c r="BI427">
        <v>15</v>
      </c>
      <c r="BJ427" t="s">
        <v>1094</v>
      </c>
      <c r="BK427" t="s">
        <v>100</v>
      </c>
      <c r="BL427" t="s">
        <v>1095</v>
      </c>
      <c r="BM427" t="s">
        <v>8541</v>
      </c>
      <c r="BN427" t="s">
        <v>74</v>
      </c>
      <c r="BO427" t="s">
        <v>2201</v>
      </c>
      <c r="BP427" t="s">
        <v>74</v>
      </c>
      <c r="BQ427" t="s">
        <v>74</v>
      </c>
      <c r="BR427" t="s">
        <v>104</v>
      </c>
      <c r="BS427" t="s">
        <v>8542</v>
      </c>
      <c r="BT427" t="str">
        <f>HYPERLINK("https%3A%2F%2Fwww.webofscience.com%2Fwos%2Fwoscc%2Ffull-record%2FWOS:000351452700016","View Full Record in Web of Science")</f>
        <v>View Full Record in Web of Science</v>
      </c>
    </row>
    <row r="428" spans="1:72" x14ac:dyDescent="0.15">
      <c r="A428" t="s">
        <v>72</v>
      </c>
      <c r="B428" t="s">
        <v>8543</v>
      </c>
      <c r="C428" t="s">
        <v>74</v>
      </c>
      <c r="D428" t="s">
        <v>74</v>
      </c>
      <c r="E428" t="s">
        <v>74</v>
      </c>
      <c r="F428" t="s">
        <v>8544</v>
      </c>
      <c r="G428" t="s">
        <v>74</v>
      </c>
      <c r="H428" t="s">
        <v>74</v>
      </c>
      <c r="I428" t="s">
        <v>8545</v>
      </c>
      <c r="J428" t="s">
        <v>253</v>
      </c>
      <c r="K428" t="s">
        <v>74</v>
      </c>
      <c r="L428" t="s">
        <v>74</v>
      </c>
      <c r="M428" t="s">
        <v>78</v>
      </c>
      <c r="N428" t="s">
        <v>79</v>
      </c>
      <c r="O428" t="s">
        <v>74</v>
      </c>
      <c r="P428" t="s">
        <v>74</v>
      </c>
      <c r="Q428" t="s">
        <v>74</v>
      </c>
      <c r="R428" t="s">
        <v>74</v>
      </c>
      <c r="S428" t="s">
        <v>74</v>
      </c>
      <c r="T428" t="s">
        <v>8546</v>
      </c>
      <c r="U428" t="s">
        <v>8547</v>
      </c>
      <c r="V428" t="s">
        <v>8548</v>
      </c>
      <c r="W428" t="s">
        <v>8549</v>
      </c>
      <c r="X428" t="s">
        <v>8550</v>
      </c>
      <c r="Y428" t="s">
        <v>8551</v>
      </c>
      <c r="Z428" t="s">
        <v>8552</v>
      </c>
      <c r="AA428" t="s">
        <v>8553</v>
      </c>
      <c r="AB428" t="s">
        <v>8554</v>
      </c>
      <c r="AC428" t="s">
        <v>8555</v>
      </c>
      <c r="AD428" t="s">
        <v>8556</v>
      </c>
      <c r="AE428" t="s">
        <v>8557</v>
      </c>
      <c r="AF428" t="s">
        <v>74</v>
      </c>
      <c r="AG428">
        <v>28</v>
      </c>
      <c r="AH428">
        <v>31</v>
      </c>
      <c r="AI428">
        <v>32</v>
      </c>
      <c r="AJ428">
        <v>1</v>
      </c>
      <c r="AK428">
        <v>31</v>
      </c>
      <c r="AL428" t="s">
        <v>266</v>
      </c>
      <c r="AM428" t="s">
        <v>267</v>
      </c>
      <c r="AN428" t="s">
        <v>268</v>
      </c>
      <c r="AO428" t="s">
        <v>269</v>
      </c>
      <c r="AP428" t="s">
        <v>270</v>
      </c>
      <c r="AQ428" t="s">
        <v>74</v>
      </c>
      <c r="AR428" t="s">
        <v>271</v>
      </c>
      <c r="AS428" t="s">
        <v>272</v>
      </c>
      <c r="AT428" t="s">
        <v>8539</v>
      </c>
      <c r="AU428">
        <v>2015</v>
      </c>
      <c r="AV428">
        <v>42</v>
      </c>
      <c r="AW428">
        <v>5</v>
      </c>
      <c r="AX428" t="s">
        <v>74</v>
      </c>
      <c r="AY428" t="s">
        <v>74</v>
      </c>
      <c r="AZ428" t="s">
        <v>74</v>
      </c>
      <c r="BA428" t="s">
        <v>74</v>
      </c>
      <c r="BB428">
        <v>1433</v>
      </c>
      <c r="BC428">
        <v>1440</v>
      </c>
      <c r="BD428" t="s">
        <v>74</v>
      </c>
      <c r="BE428" t="s">
        <v>8558</v>
      </c>
      <c r="BF428" t="str">
        <f>HYPERLINK("http://dx.doi.org/10.1002/2014GL062960","http://dx.doi.org/10.1002/2014GL062960")</f>
        <v>http://dx.doi.org/10.1002/2014GL062960</v>
      </c>
      <c r="BG428" t="s">
        <v>74</v>
      </c>
      <c r="BH428" t="s">
        <v>74</v>
      </c>
      <c r="BI428">
        <v>8</v>
      </c>
      <c r="BJ428" t="s">
        <v>219</v>
      </c>
      <c r="BK428" t="s">
        <v>100</v>
      </c>
      <c r="BL428" t="s">
        <v>220</v>
      </c>
      <c r="BM428" t="s">
        <v>8559</v>
      </c>
      <c r="BN428" t="s">
        <v>74</v>
      </c>
      <c r="BO428" t="s">
        <v>2481</v>
      </c>
      <c r="BP428" t="s">
        <v>74</v>
      </c>
      <c r="BQ428" t="s">
        <v>74</v>
      </c>
      <c r="BR428" t="s">
        <v>104</v>
      </c>
      <c r="BS428" t="s">
        <v>8560</v>
      </c>
      <c r="BT428" t="str">
        <f>HYPERLINK("https%3A%2F%2Fwww.webofscience.com%2Fwos%2Fwoscc%2Ffull-record%2FWOS:000351847600022","View Full Record in Web of Science")</f>
        <v>View Full Record in Web of Science</v>
      </c>
    </row>
    <row r="429" spans="1:72" x14ac:dyDescent="0.15">
      <c r="A429" t="s">
        <v>72</v>
      </c>
      <c r="B429" t="s">
        <v>8561</v>
      </c>
      <c r="C429" t="s">
        <v>74</v>
      </c>
      <c r="D429" t="s">
        <v>74</v>
      </c>
      <c r="E429" t="s">
        <v>74</v>
      </c>
      <c r="F429" t="s">
        <v>8562</v>
      </c>
      <c r="G429" t="s">
        <v>74</v>
      </c>
      <c r="H429" t="s">
        <v>74</v>
      </c>
      <c r="I429" t="s">
        <v>8563</v>
      </c>
      <c r="J429" t="s">
        <v>253</v>
      </c>
      <c r="K429" t="s">
        <v>74</v>
      </c>
      <c r="L429" t="s">
        <v>74</v>
      </c>
      <c r="M429" t="s">
        <v>78</v>
      </c>
      <c r="N429" t="s">
        <v>79</v>
      </c>
      <c r="O429" t="s">
        <v>74</v>
      </c>
      <c r="P429" t="s">
        <v>74</v>
      </c>
      <c r="Q429" t="s">
        <v>74</v>
      </c>
      <c r="R429" t="s">
        <v>74</v>
      </c>
      <c r="S429" t="s">
        <v>74</v>
      </c>
      <c r="T429" t="s">
        <v>8564</v>
      </c>
      <c r="U429" t="s">
        <v>8565</v>
      </c>
      <c r="V429" t="s">
        <v>8566</v>
      </c>
      <c r="W429" t="s">
        <v>8567</v>
      </c>
      <c r="X429" t="s">
        <v>8568</v>
      </c>
      <c r="Y429" t="s">
        <v>8569</v>
      </c>
      <c r="Z429" t="s">
        <v>8570</v>
      </c>
      <c r="AA429" t="s">
        <v>8571</v>
      </c>
      <c r="AB429" t="s">
        <v>8572</v>
      </c>
      <c r="AC429" t="s">
        <v>8573</v>
      </c>
      <c r="AD429" t="s">
        <v>8574</v>
      </c>
      <c r="AE429" t="s">
        <v>8575</v>
      </c>
      <c r="AF429" t="s">
        <v>74</v>
      </c>
      <c r="AG429">
        <v>34</v>
      </c>
      <c r="AH429">
        <v>106</v>
      </c>
      <c r="AI429">
        <v>116</v>
      </c>
      <c r="AJ429">
        <v>1</v>
      </c>
      <c r="AK429">
        <v>44</v>
      </c>
      <c r="AL429" t="s">
        <v>266</v>
      </c>
      <c r="AM429" t="s">
        <v>267</v>
      </c>
      <c r="AN429" t="s">
        <v>268</v>
      </c>
      <c r="AO429" t="s">
        <v>269</v>
      </c>
      <c r="AP429" t="s">
        <v>270</v>
      </c>
      <c r="AQ429" t="s">
        <v>74</v>
      </c>
      <c r="AR429" t="s">
        <v>271</v>
      </c>
      <c r="AS429" t="s">
        <v>272</v>
      </c>
      <c r="AT429" t="s">
        <v>8539</v>
      </c>
      <c r="AU429">
        <v>2015</v>
      </c>
      <c r="AV429">
        <v>42</v>
      </c>
      <c r="AW429">
        <v>5</v>
      </c>
      <c r="AX429" t="s">
        <v>74</v>
      </c>
      <c r="AY429" t="s">
        <v>74</v>
      </c>
      <c r="AZ429" t="s">
        <v>74</v>
      </c>
      <c r="BA429" t="s">
        <v>74</v>
      </c>
      <c r="BB429">
        <v>1606</v>
      </c>
      <c r="BC429">
        <v>1611</v>
      </c>
      <c r="BD429" t="s">
        <v>74</v>
      </c>
      <c r="BE429" t="s">
        <v>8576</v>
      </c>
      <c r="BF429" t="str">
        <f>HYPERLINK("http://dx.doi.org/10.1002/2014GL062785","http://dx.doi.org/10.1002/2014GL062785")</f>
        <v>http://dx.doi.org/10.1002/2014GL062785</v>
      </c>
      <c r="BG429" t="s">
        <v>74</v>
      </c>
      <c r="BH429" t="s">
        <v>74</v>
      </c>
      <c r="BI429">
        <v>6</v>
      </c>
      <c r="BJ429" t="s">
        <v>219</v>
      </c>
      <c r="BK429" t="s">
        <v>100</v>
      </c>
      <c r="BL429" t="s">
        <v>220</v>
      </c>
      <c r="BM429" t="s">
        <v>8559</v>
      </c>
      <c r="BN429" t="s">
        <v>74</v>
      </c>
      <c r="BO429" t="s">
        <v>1832</v>
      </c>
      <c r="BP429" t="s">
        <v>74</v>
      </c>
      <c r="BQ429" t="s">
        <v>74</v>
      </c>
      <c r="BR429" t="s">
        <v>104</v>
      </c>
      <c r="BS429" t="s">
        <v>8577</v>
      </c>
      <c r="BT429" t="str">
        <f>HYPERLINK("https%3A%2F%2Fwww.webofscience.com%2Fwos%2Fwoscc%2Ffull-record%2FWOS:000351847600044","View Full Record in Web of Science")</f>
        <v>View Full Record in Web of Science</v>
      </c>
    </row>
    <row r="430" spans="1:72" x14ac:dyDescent="0.15">
      <c r="A430" t="s">
        <v>72</v>
      </c>
      <c r="B430" t="s">
        <v>8578</v>
      </c>
      <c r="C430" t="s">
        <v>74</v>
      </c>
      <c r="D430" t="s">
        <v>74</v>
      </c>
      <c r="E430" t="s">
        <v>74</v>
      </c>
      <c r="F430" t="s">
        <v>8579</v>
      </c>
      <c r="G430" t="s">
        <v>74</v>
      </c>
      <c r="H430" t="s">
        <v>74</v>
      </c>
      <c r="I430" t="s">
        <v>8580</v>
      </c>
      <c r="J430" t="s">
        <v>8581</v>
      </c>
      <c r="K430" t="s">
        <v>74</v>
      </c>
      <c r="L430" t="s">
        <v>74</v>
      </c>
      <c r="M430" t="s">
        <v>78</v>
      </c>
      <c r="N430" t="s">
        <v>79</v>
      </c>
      <c r="O430" t="s">
        <v>74</v>
      </c>
      <c r="P430" t="s">
        <v>74</v>
      </c>
      <c r="Q430" t="s">
        <v>74</v>
      </c>
      <c r="R430" t="s">
        <v>74</v>
      </c>
      <c r="S430" t="s">
        <v>74</v>
      </c>
      <c r="T430" t="s">
        <v>74</v>
      </c>
      <c r="U430" t="s">
        <v>74</v>
      </c>
      <c r="V430" t="s">
        <v>8582</v>
      </c>
      <c r="W430" t="s">
        <v>8583</v>
      </c>
      <c r="X430" t="s">
        <v>8584</v>
      </c>
      <c r="Y430" t="s">
        <v>8585</v>
      </c>
      <c r="Z430" t="s">
        <v>8586</v>
      </c>
      <c r="AA430" t="s">
        <v>74</v>
      </c>
      <c r="AB430" t="s">
        <v>8587</v>
      </c>
      <c r="AC430" t="s">
        <v>74</v>
      </c>
      <c r="AD430" t="s">
        <v>74</v>
      </c>
      <c r="AE430" t="s">
        <v>74</v>
      </c>
      <c r="AF430" t="s">
        <v>74</v>
      </c>
      <c r="AG430">
        <v>52</v>
      </c>
      <c r="AH430">
        <v>5</v>
      </c>
      <c r="AI430">
        <v>6</v>
      </c>
      <c r="AJ430">
        <v>1</v>
      </c>
      <c r="AK430">
        <v>4</v>
      </c>
      <c r="AL430" t="s">
        <v>447</v>
      </c>
      <c r="AM430" t="s">
        <v>448</v>
      </c>
      <c r="AN430" t="s">
        <v>449</v>
      </c>
      <c r="AO430" t="s">
        <v>8588</v>
      </c>
      <c r="AP430" t="s">
        <v>8589</v>
      </c>
      <c r="AQ430" t="s">
        <v>74</v>
      </c>
      <c r="AR430" t="s">
        <v>8590</v>
      </c>
      <c r="AS430" t="s">
        <v>8591</v>
      </c>
      <c r="AT430" t="s">
        <v>8592</v>
      </c>
      <c r="AU430">
        <v>2015</v>
      </c>
      <c r="AV430">
        <v>43</v>
      </c>
      <c r="AW430">
        <v>2</v>
      </c>
      <c r="AX430" t="s">
        <v>74</v>
      </c>
      <c r="AY430" t="s">
        <v>74</v>
      </c>
      <c r="AZ430" t="s">
        <v>74</v>
      </c>
      <c r="BA430" t="s">
        <v>74</v>
      </c>
      <c r="BB430">
        <v>267</v>
      </c>
      <c r="BC430">
        <v>291</v>
      </c>
      <c r="BD430" t="s">
        <v>74</v>
      </c>
      <c r="BE430" t="s">
        <v>8593</v>
      </c>
      <c r="BF430" t="str">
        <f>HYPERLINK("http://dx.doi.org/10.1080/03086534.2014.982409","http://dx.doi.org/10.1080/03086534.2014.982409")</f>
        <v>http://dx.doi.org/10.1080/03086534.2014.982409</v>
      </c>
      <c r="BG430" t="s">
        <v>74</v>
      </c>
      <c r="BH430" t="s">
        <v>74</v>
      </c>
      <c r="BI430">
        <v>25</v>
      </c>
      <c r="BJ430" t="s">
        <v>8594</v>
      </c>
      <c r="BK430" t="s">
        <v>457</v>
      </c>
      <c r="BL430" t="s">
        <v>8594</v>
      </c>
      <c r="BM430" t="s">
        <v>8595</v>
      </c>
      <c r="BN430" t="s">
        <v>74</v>
      </c>
      <c r="BO430" t="s">
        <v>74</v>
      </c>
      <c r="BP430" t="s">
        <v>74</v>
      </c>
      <c r="BQ430" t="s">
        <v>74</v>
      </c>
      <c r="BR430" t="s">
        <v>104</v>
      </c>
      <c r="BS430" t="s">
        <v>8596</v>
      </c>
      <c r="BT430" t="str">
        <f>HYPERLINK("https%3A%2F%2Fwww.webofscience.com%2Fwos%2Fwoscc%2Ffull-record%2FWOS:000353413600005","View Full Record in Web of Science")</f>
        <v>View Full Record in Web of Science</v>
      </c>
    </row>
    <row r="431" spans="1:72" x14ac:dyDescent="0.15">
      <c r="A431" t="s">
        <v>72</v>
      </c>
      <c r="B431" t="s">
        <v>8597</v>
      </c>
      <c r="C431" t="s">
        <v>74</v>
      </c>
      <c r="D431" t="s">
        <v>74</v>
      </c>
      <c r="E431" t="s">
        <v>74</v>
      </c>
      <c r="F431" t="s">
        <v>8598</v>
      </c>
      <c r="G431" t="s">
        <v>74</v>
      </c>
      <c r="H431" t="s">
        <v>74</v>
      </c>
      <c r="I431" t="s">
        <v>8599</v>
      </c>
      <c r="J431" t="s">
        <v>8178</v>
      </c>
      <c r="K431" t="s">
        <v>74</v>
      </c>
      <c r="L431" t="s">
        <v>74</v>
      </c>
      <c r="M431" t="s">
        <v>78</v>
      </c>
      <c r="N431" t="s">
        <v>79</v>
      </c>
      <c r="O431" t="s">
        <v>74</v>
      </c>
      <c r="P431" t="s">
        <v>74</v>
      </c>
      <c r="Q431" t="s">
        <v>74</v>
      </c>
      <c r="R431" t="s">
        <v>74</v>
      </c>
      <c r="S431" t="s">
        <v>74</v>
      </c>
      <c r="T431" t="s">
        <v>8600</v>
      </c>
      <c r="U431" t="s">
        <v>8601</v>
      </c>
      <c r="V431" t="s">
        <v>8602</v>
      </c>
      <c r="W431" t="s">
        <v>8603</v>
      </c>
      <c r="X431" t="s">
        <v>8604</v>
      </c>
      <c r="Y431" t="s">
        <v>8605</v>
      </c>
      <c r="Z431" t="s">
        <v>8606</v>
      </c>
      <c r="AA431" t="s">
        <v>8607</v>
      </c>
      <c r="AB431" t="s">
        <v>8608</v>
      </c>
      <c r="AC431" t="s">
        <v>8609</v>
      </c>
      <c r="AD431" t="s">
        <v>8610</v>
      </c>
      <c r="AE431" t="s">
        <v>8611</v>
      </c>
      <c r="AF431" t="s">
        <v>74</v>
      </c>
      <c r="AG431">
        <v>78</v>
      </c>
      <c r="AH431">
        <v>31</v>
      </c>
      <c r="AI431">
        <v>32</v>
      </c>
      <c r="AJ431">
        <v>1</v>
      </c>
      <c r="AK431">
        <v>25</v>
      </c>
      <c r="AL431" t="s">
        <v>1508</v>
      </c>
      <c r="AM431" t="s">
        <v>92</v>
      </c>
      <c r="AN431" t="s">
        <v>93</v>
      </c>
      <c r="AO431" t="s">
        <v>8190</v>
      </c>
      <c r="AP431" t="s">
        <v>8191</v>
      </c>
      <c r="AQ431" t="s">
        <v>74</v>
      </c>
      <c r="AR431" t="s">
        <v>8192</v>
      </c>
      <c r="AS431" t="s">
        <v>8193</v>
      </c>
      <c r="AT431" t="s">
        <v>8592</v>
      </c>
      <c r="AU431">
        <v>2015</v>
      </c>
      <c r="AV431">
        <v>35</v>
      </c>
      <c r="AW431">
        <v>3</v>
      </c>
      <c r="AX431" t="s">
        <v>74</v>
      </c>
      <c r="AY431" t="s">
        <v>74</v>
      </c>
      <c r="AZ431" t="s">
        <v>74</v>
      </c>
      <c r="BA431" t="s">
        <v>74</v>
      </c>
      <c r="BB431">
        <v>375</v>
      </c>
      <c r="BC431">
        <v>390</v>
      </c>
      <c r="BD431" t="s">
        <v>74</v>
      </c>
      <c r="BE431" t="s">
        <v>8612</v>
      </c>
      <c r="BF431" t="str">
        <f>HYPERLINK("http://dx.doi.org/10.1002/joc.3985","http://dx.doi.org/10.1002/joc.3985")</f>
        <v>http://dx.doi.org/10.1002/joc.3985</v>
      </c>
      <c r="BG431" t="s">
        <v>74</v>
      </c>
      <c r="BH431" t="s">
        <v>74</v>
      </c>
      <c r="BI431">
        <v>16</v>
      </c>
      <c r="BJ431" t="s">
        <v>406</v>
      </c>
      <c r="BK431" t="s">
        <v>100</v>
      </c>
      <c r="BL431" t="s">
        <v>406</v>
      </c>
      <c r="BM431" t="s">
        <v>8613</v>
      </c>
      <c r="BN431" t="s">
        <v>74</v>
      </c>
      <c r="BO431" t="s">
        <v>74</v>
      </c>
      <c r="BP431" t="s">
        <v>74</v>
      </c>
      <c r="BQ431" t="s">
        <v>74</v>
      </c>
      <c r="BR431" t="s">
        <v>104</v>
      </c>
      <c r="BS431" t="s">
        <v>8614</v>
      </c>
      <c r="BT431" t="str">
        <f>HYPERLINK("https%3A%2F%2Fwww.webofscience.com%2Fwos%2Fwoscc%2Ffull-record%2FWOS:000350642000005","View Full Record in Web of Science")</f>
        <v>View Full Record in Web of Science</v>
      </c>
    </row>
    <row r="432" spans="1:72" x14ac:dyDescent="0.15">
      <c r="A432" t="s">
        <v>72</v>
      </c>
      <c r="B432" t="s">
        <v>8615</v>
      </c>
      <c r="C432" t="s">
        <v>74</v>
      </c>
      <c r="D432" t="s">
        <v>74</v>
      </c>
      <c r="E432" t="s">
        <v>74</v>
      </c>
      <c r="F432" t="s">
        <v>8616</v>
      </c>
      <c r="G432" t="s">
        <v>74</v>
      </c>
      <c r="H432" t="s">
        <v>74</v>
      </c>
      <c r="I432" t="s">
        <v>8617</v>
      </c>
      <c r="J432" t="s">
        <v>848</v>
      </c>
      <c r="K432" t="s">
        <v>74</v>
      </c>
      <c r="L432" t="s">
        <v>74</v>
      </c>
      <c r="M432" t="s">
        <v>78</v>
      </c>
      <c r="N432" t="s">
        <v>79</v>
      </c>
      <c r="O432" t="s">
        <v>74</v>
      </c>
      <c r="P432" t="s">
        <v>74</v>
      </c>
      <c r="Q432" t="s">
        <v>74</v>
      </c>
      <c r="R432" t="s">
        <v>74</v>
      </c>
      <c r="S432" t="s">
        <v>74</v>
      </c>
      <c r="T432" t="s">
        <v>8618</v>
      </c>
      <c r="U432" t="s">
        <v>8619</v>
      </c>
      <c r="V432" t="s">
        <v>8620</v>
      </c>
      <c r="W432" t="s">
        <v>8621</v>
      </c>
      <c r="X432" t="s">
        <v>8622</v>
      </c>
      <c r="Y432" t="s">
        <v>8623</v>
      </c>
      <c r="Z432" t="s">
        <v>8624</v>
      </c>
      <c r="AA432" t="s">
        <v>8625</v>
      </c>
      <c r="AB432" t="s">
        <v>8626</v>
      </c>
      <c r="AC432" t="s">
        <v>8627</v>
      </c>
      <c r="AD432" t="s">
        <v>8628</v>
      </c>
      <c r="AE432" t="s">
        <v>8629</v>
      </c>
      <c r="AF432" t="s">
        <v>74</v>
      </c>
      <c r="AG432">
        <v>59</v>
      </c>
      <c r="AH432">
        <v>30</v>
      </c>
      <c r="AI432">
        <v>39</v>
      </c>
      <c r="AJ432">
        <v>0</v>
      </c>
      <c r="AK432">
        <v>46</v>
      </c>
      <c r="AL432" t="s">
        <v>1039</v>
      </c>
      <c r="AM432" t="s">
        <v>816</v>
      </c>
      <c r="AN432" t="s">
        <v>1040</v>
      </c>
      <c r="AO432" t="s">
        <v>858</v>
      </c>
      <c r="AP432" t="s">
        <v>859</v>
      </c>
      <c r="AQ432" t="s">
        <v>74</v>
      </c>
      <c r="AR432" t="s">
        <v>860</v>
      </c>
      <c r="AS432" t="s">
        <v>861</v>
      </c>
      <c r="AT432" t="s">
        <v>8592</v>
      </c>
      <c r="AU432">
        <v>2015</v>
      </c>
      <c r="AV432">
        <v>414</v>
      </c>
      <c r="AW432" t="s">
        <v>74</v>
      </c>
      <c r="AX432" t="s">
        <v>74</v>
      </c>
      <c r="AY432" t="s">
        <v>74</v>
      </c>
      <c r="AZ432" t="s">
        <v>74</v>
      </c>
      <c r="BA432" t="s">
        <v>74</v>
      </c>
      <c r="BB432">
        <v>126</v>
      </c>
      <c r="BC432">
        <v>133</v>
      </c>
      <c r="BD432" t="s">
        <v>74</v>
      </c>
      <c r="BE432" t="s">
        <v>8630</v>
      </c>
      <c r="BF432" t="str">
        <f>HYPERLINK("http://dx.doi.org/10.1016/j.epsl.2015.01.014","http://dx.doi.org/10.1016/j.epsl.2015.01.014")</f>
        <v>http://dx.doi.org/10.1016/j.epsl.2015.01.014</v>
      </c>
      <c r="BG432" t="s">
        <v>74</v>
      </c>
      <c r="BH432" t="s">
        <v>74</v>
      </c>
      <c r="BI432">
        <v>8</v>
      </c>
      <c r="BJ432" t="s">
        <v>863</v>
      </c>
      <c r="BK432" t="s">
        <v>100</v>
      </c>
      <c r="BL432" t="s">
        <v>863</v>
      </c>
      <c r="BM432" t="s">
        <v>8631</v>
      </c>
      <c r="BN432" t="s">
        <v>74</v>
      </c>
      <c r="BO432" t="s">
        <v>74</v>
      </c>
      <c r="BP432" t="s">
        <v>74</v>
      </c>
      <c r="BQ432" t="s">
        <v>74</v>
      </c>
      <c r="BR432" t="s">
        <v>104</v>
      </c>
      <c r="BS432" t="s">
        <v>8632</v>
      </c>
      <c r="BT432" t="str">
        <f>HYPERLINK("https%3A%2F%2Fwww.webofscience.com%2Fwos%2Fwoscc%2Ffull-record%2FWOS:000350183900012","View Full Record in Web of Science")</f>
        <v>View Full Record in Web of Science</v>
      </c>
    </row>
    <row r="433" spans="1:72" x14ac:dyDescent="0.15">
      <c r="A433" t="s">
        <v>72</v>
      </c>
      <c r="B433" t="s">
        <v>8633</v>
      </c>
      <c r="C433" t="s">
        <v>74</v>
      </c>
      <c r="D433" t="s">
        <v>74</v>
      </c>
      <c r="E433" t="s">
        <v>74</v>
      </c>
      <c r="F433" t="s">
        <v>8634</v>
      </c>
      <c r="G433" t="s">
        <v>74</v>
      </c>
      <c r="H433" t="s">
        <v>74</v>
      </c>
      <c r="I433" t="s">
        <v>8635</v>
      </c>
      <c r="J433" t="s">
        <v>848</v>
      </c>
      <c r="K433" t="s">
        <v>74</v>
      </c>
      <c r="L433" t="s">
        <v>74</v>
      </c>
      <c r="M433" t="s">
        <v>78</v>
      </c>
      <c r="N433" t="s">
        <v>79</v>
      </c>
      <c r="O433" t="s">
        <v>74</v>
      </c>
      <c r="P433" t="s">
        <v>74</v>
      </c>
      <c r="Q433" t="s">
        <v>74</v>
      </c>
      <c r="R433" t="s">
        <v>74</v>
      </c>
      <c r="S433" t="s">
        <v>74</v>
      </c>
      <c r="T433" t="s">
        <v>8636</v>
      </c>
      <c r="U433" t="s">
        <v>8637</v>
      </c>
      <c r="V433" t="s">
        <v>8638</v>
      </c>
      <c r="W433" t="s">
        <v>8639</v>
      </c>
      <c r="X433" t="s">
        <v>8640</v>
      </c>
      <c r="Y433" t="s">
        <v>8641</v>
      </c>
      <c r="Z433" t="s">
        <v>8642</v>
      </c>
      <c r="AA433" t="s">
        <v>74</v>
      </c>
      <c r="AB433" t="s">
        <v>8643</v>
      </c>
      <c r="AC433" t="s">
        <v>8644</v>
      </c>
      <c r="AD433" t="s">
        <v>8645</v>
      </c>
      <c r="AE433" t="s">
        <v>8646</v>
      </c>
      <c r="AF433" t="s">
        <v>74</v>
      </c>
      <c r="AG433">
        <v>59</v>
      </c>
      <c r="AH433">
        <v>87</v>
      </c>
      <c r="AI433">
        <v>96</v>
      </c>
      <c r="AJ433">
        <v>1</v>
      </c>
      <c r="AK433">
        <v>35</v>
      </c>
      <c r="AL433" t="s">
        <v>1039</v>
      </c>
      <c r="AM433" t="s">
        <v>816</v>
      </c>
      <c r="AN433" t="s">
        <v>1040</v>
      </c>
      <c r="AO433" t="s">
        <v>858</v>
      </c>
      <c r="AP433" t="s">
        <v>859</v>
      </c>
      <c r="AQ433" t="s">
        <v>74</v>
      </c>
      <c r="AR433" t="s">
        <v>860</v>
      </c>
      <c r="AS433" t="s">
        <v>861</v>
      </c>
      <c r="AT433" t="s">
        <v>8592</v>
      </c>
      <c r="AU433">
        <v>2015</v>
      </c>
      <c r="AV433">
        <v>414</v>
      </c>
      <c r="AW433" t="s">
        <v>74</v>
      </c>
      <c r="AX433" t="s">
        <v>74</v>
      </c>
      <c r="AY433" t="s">
        <v>74</v>
      </c>
      <c r="AZ433" t="s">
        <v>74</v>
      </c>
      <c r="BA433" t="s">
        <v>74</v>
      </c>
      <c r="BB433">
        <v>134</v>
      </c>
      <c r="BC433">
        <v>143</v>
      </c>
      <c r="BD433" t="s">
        <v>74</v>
      </c>
      <c r="BE433" t="s">
        <v>8647</v>
      </c>
      <c r="BF433" t="str">
        <f>HYPERLINK("http://dx.doi.org/10.1016/j.epsl.2015.01.001","http://dx.doi.org/10.1016/j.epsl.2015.01.001")</f>
        <v>http://dx.doi.org/10.1016/j.epsl.2015.01.001</v>
      </c>
      <c r="BG433" t="s">
        <v>74</v>
      </c>
      <c r="BH433" t="s">
        <v>74</v>
      </c>
      <c r="BI433">
        <v>10</v>
      </c>
      <c r="BJ433" t="s">
        <v>863</v>
      </c>
      <c r="BK433" t="s">
        <v>100</v>
      </c>
      <c r="BL433" t="s">
        <v>863</v>
      </c>
      <c r="BM433" t="s">
        <v>8631</v>
      </c>
      <c r="BN433" t="s">
        <v>74</v>
      </c>
      <c r="BO433" t="s">
        <v>6784</v>
      </c>
      <c r="BP433" t="s">
        <v>74</v>
      </c>
      <c r="BQ433" t="s">
        <v>74</v>
      </c>
      <c r="BR433" t="s">
        <v>104</v>
      </c>
      <c r="BS433" t="s">
        <v>8648</v>
      </c>
      <c r="BT433" t="str">
        <f>HYPERLINK("https%3A%2F%2Fwww.webofscience.com%2Fwos%2Fwoscc%2Ffull-record%2FWOS:000350183900013","View Full Record in Web of Science")</f>
        <v>View Full Record in Web of Science</v>
      </c>
    </row>
    <row r="434" spans="1:72" x14ac:dyDescent="0.15">
      <c r="A434" t="s">
        <v>72</v>
      </c>
      <c r="B434" t="s">
        <v>8649</v>
      </c>
      <c r="C434" t="s">
        <v>74</v>
      </c>
      <c r="D434" t="s">
        <v>74</v>
      </c>
      <c r="E434" t="s">
        <v>74</v>
      </c>
      <c r="F434" t="s">
        <v>8650</v>
      </c>
      <c r="G434" t="s">
        <v>74</v>
      </c>
      <c r="H434" t="s">
        <v>74</v>
      </c>
      <c r="I434" t="s">
        <v>8651</v>
      </c>
      <c r="J434" t="s">
        <v>2694</v>
      </c>
      <c r="K434" t="s">
        <v>74</v>
      </c>
      <c r="L434" t="s">
        <v>74</v>
      </c>
      <c r="M434" t="s">
        <v>78</v>
      </c>
      <c r="N434" t="s">
        <v>79</v>
      </c>
      <c r="O434" t="s">
        <v>74</v>
      </c>
      <c r="P434" t="s">
        <v>74</v>
      </c>
      <c r="Q434" t="s">
        <v>74</v>
      </c>
      <c r="R434" t="s">
        <v>74</v>
      </c>
      <c r="S434" t="s">
        <v>74</v>
      </c>
      <c r="T434" t="s">
        <v>8652</v>
      </c>
      <c r="U434" t="s">
        <v>8653</v>
      </c>
      <c r="V434" t="s">
        <v>8654</v>
      </c>
      <c r="W434" t="s">
        <v>8655</v>
      </c>
      <c r="X434" t="s">
        <v>8656</v>
      </c>
      <c r="Y434" t="s">
        <v>8657</v>
      </c>
      <c r="Z434" t="s">
        <v>8658</v>
      </c>
      <c r="AA434" t="s">
        <v>8659</v>
      </c>
      <c r="AB434" t="s">
        <v>8660</v>
      </c>
      <c r="AC434" t="s">
        <v>8661</v>
      </c>
      <c r="AD434" t="s">
        <v>8662</v>
      </c>
      <c r="AE434" t="s">
        <v>8663</v>
      </c>
      <c r="AF434" t="s">
        <v>74</v>
      </c>
      <c r="AG434">
        <v>105</v>
      </c>
      <c r="AH434">
        <v>18</v>
      </c>
      <c r="AI434">
        <v>20</v>
      </c>
      <c r="AJ434">
        <v>1</v>
      </c>
      <c r="AK434">
        <v>31</v>
      </c>
      <c r="AL434" t="s">
        <v>1039</v>
      </c>
      <c r="AM434" t="s">
        <v>816</v>
      </c>
      <c r="AN434" t="s">
        <v>1040</v>
      </c>
      <c r="AO434" t="s">
        <v>2707</v>
      </c>
      <c r="AP434" t="s">
        <v>2708</v>
      </c>
      <c r="AQ434" t="s">
        <v>74</v>
      </c>
      <c r="AR434" t="s">
        <v>2709</v>
      </c>
      <c r="AS434" t="s">
        <v>2710</v>
      </c>
      <c r="AT434" t="s">
        <v>8592</v>
      </c>
      <c r="AU434">
        <v>2015</v>
      </c>
      <c r="AV434">
        <v>422</v>
      </c>
      <c r="AW434" t="s">
        <v>74</v>
      </c>
      <c r="AX434" t="s">
        <v>74</v>
      </c>
      <c r="AY434" t="s">
        <v>74</v>
      </c>
      <c r="AZ434" t="s">
        <v>74</v>
      </c>
      <c r="BA434" t="s">
        <v>74</v>
      </c>
      <c r="BB434">
        <v>65</v>
      </c>
      <c r="BC434">
        <v>84</v>
      </c>
      <c r="BD434" t="s">
        <v>74</v>
      </c>
      <c r="BE434" t="s">
        <v>8664</v>
      </c>
      <c r="BF434" t="str">
        <f>HYPERLINK("http://dx.doi.org/10.1016/j.palaeo.2015.01.009","http://dx.doi.org/10.1016/j.palaeo.2015.01.009")</f>
        <v>http://dx.doi.org/10.1016/j.palaeo.2015.01.009</v>
      </c>
      <c r="BG434" t="s">
        <v>74</v>
      </c>
      <c r="BH434" t="s">
        <v>74</v>
      </c>
      <c r="BI434">
        <v>20</v>
      </c>
      <c r="BJ434" t="s">
        <v>2712</v>
      </c>
      <c r="BK434" t="s">
        <v>100</v>
      </c>
      <c r="BL434" t="s">
        <v>2713</v>
      </c>
      <c r="BM434" t="s">
        <v>8665</v>
      </c>
      <c r="BN434" t="s">
        <v>74</v>
      </c>
      <c r="BO434" t="s">
        <v>74</v>
      </c>
      <c r="BP434" t="s">
        <v>74</v>
      </c>
      <c r="BQ434" t="s">
        <v>74</v>
      </c>
      <c r="BR434" t="s">
        <v>104</v>
      </c>
      <c r="BS434" t="s">
        <v>8666</v>
      </c>
      <c r="BT434" t="str">
        <f>HYPERLINK("https%3A%2F%2Fwww.webofscience.com%2Fwos%2Fwoscc%2Ffull-record%2FWOS:000350706500007","View Full Record in Web of Science")</f>
        <v>View Full Record in Web of Science</v>
      </c>
    </row>
    <row r="435" spans="1:72" x14ac:dyDescent="0.15">
      <c r="A435" t="s">
        <v>72</v>
      </c>
      <c r="B435" t="s">
        <v>8667</v>
      </c>
      <c r="C435" t="s">
        <v>74</v>
      </c>
      <c r="D435" t="s">
        <v>74</v>
      </c>
      <c r="E435" t="s">
        <v>74</v>
      </c>
      <c r="F435" t="s">
        <v>8668</v>
      </c>
      <c r="G435" t="s">
        <v>74</v>
      </c>
      <c r="H435" t="s">
        <v>74</v>
      </c>
      <c r="I435" t="s">
        <v>8669</v>
      </c>
      <c r="J435" t="s">
        <v>774</v>
      </c>
      <c r="K435" t="s">
        <v>74</v>
      </c>
      <c r="L435" t="s">
        <v>74</v>
      </c>
      <c r="M435" t="s">
        <v>78</v>
      </c>
      <c r="N435" t="s">
        <v>79</v>
      </c>
      <c r="O435" t="s">
        <v>74</v>
      </c>
      <c r="P435" t="s">
        <v>74</v>
      </c>
      <c r="Q435" t="s">
        <v>74</v>
      </c>
      <c r="R435" t="s">
        <v>74</v>
      </c>
      <c r="S435" t="s">
        <v>74</v>
      </c>
      <c r="T435" t="s">
        <v>8670</v>
      </c>
      <c r="U435" t="s">
        <v>8671</v>
      </c>
      <c r="V435" t="s">
        <v>8672</v>
      </c>
      <c r="W435" t="s">
        <v>8673</v>
      </c>
      <c r="X435" t="s">
        <v>8674</v>
      </c>
      <c r="Y435" t="s">
        <v>8675</v>
      </c>
      <c r="Z435" t="s">
        <v>8676</v>
      </c>
      <c r="AA435" t="s">
        <v>8677</v>
      </c>
      <c r="AB435" t="s">
        <v>8678</v>
      </c>
      <c r="AC435" t="s">
        <v>8679</v>
      </c>
      <c r="AD435" t="s">
        <v>8680</v>
      </c>
      <c r="AE435" t="s">
        <v>8681</v>
      </c>
      <c r="AF435" t="s">
        <v>74</v>
      </c>
      <c r="AG435">
        <v>47</v>
      </c>
      <c r="AH435">
        <v>28</v>
      </c>
      <c r="AI435">
        <v>29</v>
      </c>
      <c r="AJ435">
        <v>2</v>
      </c>
      <c r="AK435">
        <v>26</v>
      </c>
      <c r="AL435" t="s">
        <v>786</v>
      </c>
      <c r="AM435" t="s">
        <v>787</v>
      </c>
      <c r="AN435" t="s">
        <v>788</v>
      </c>
      <c r="AO435" t="s">
        <v>789</v>
      </c>
      <c r="AP435" t="s">
        <v>790</v>
      </c>
      <c r="AQ435" t="s">
        <v>74</v>
      </c>
      <c r="AR435" t="s">
        <v>791</v>
      </c>
      <c r="AS435" t="s">
        <v>792</v>
      </c>
      <c r="AT435" t="s">
        <v>8592</v>
      </c>
      <c r="AU435">
        <v>2015</v>
      </c>
      <c r="AV435">
        <v>112</v>
      </c>
      <c r="AW435" t="s">
        <v>74</v>
      </c>
      <c r="AX435" t="s">
        <v>74</v>
      </c>
      <c r="AY435" t="s">
        <v>74</v>
      </c>
      <c r="AZ435" t="s">
        <v>74</v>
      </c>
      <c r="BA435" t="s">
        <v>74</v>
      </c>
      <c r="BB435">
        <v>59</v>
      </c>
      <c r="BC435">
        <v>65</v>
      </c>
      <c r="BD435" t="s">
        <v>74</v>
      </c>
      <c r="BE435" t="s">
        <v>8682</v>
      </c>
      <c r="BF435" t="str">
        <f>HYPERLINK("http://dx.doi.org/10.1016/j.quascirev.2015.01.011","http://dx.doi.org/10.1016/j.quascirev.2015.01.011")</f>
        <v>http://dx.doi.org/10.1016/j.quascirev.2015.01.011</v>
      </c>
      <c r="BG435" t="s">
        <v>74</v>
      </c>
      <c r="BH435" t="s">
        <v>74</v>
      </c>
      <c r="BI435">
        <v>7</v>
      </c>
      <c r="BJ435" t="s">
        <v>795</v>
      </c>
      <c r="BK435" t="s">
        <v>100</v>
      </c>
      <c r="BL435" t="s">
        <v>796</v>
      </c>
      <c r="BM435" t="s">
        <v>8683</v>
      </c>
      <c r="BN435" t="s">
        <v>74</v>
      </c>
      <c r="BO435" t="s">
        <v>74</v>
      </c>
      <c r="BP435" t="s">
        <v>74</v>
      </c>
      <c r="BQ435" t="s">
        <v>74</v>
      </c>
      <c r="BR435" t="s">
        <v>104</v>
      </c>
      <c r="BS435" t="s">
        <v>8684</v>
      </c>
      <c r="BT435" t="str">
        <f>HYPERLINK("https%3A%2F%2Fwww.webofscience.com%2Fwos%2Fwoscc%2Ffull-record%2FWOS:000351977500005","View Full Record in Web of Science")</f>
        <v>View Full Record in Web of Science</v>
      </c>
    </row>
    <row r="436" spans="1:72" x14ac:dyDescent="0.15">
      <c r="A436" t="s">
        <v>72</v>
      </c>
      <c r="B436" t="s">
        <v>8685</v>
      </c>
      <c r="C436" t="s">
        <v>74</v>
      </c>
      <c r="D436" t="s">
        <v>74</v>
      </c>
      <c r="E436" t="s">
        <v>74</v>
      </c>
      <c r="F436" t="s">
        <v>8686</v>
      </c>
      <c r="G436" t="s">
        <v>74</v>
      </c>
      <c r="H436" t="s">
        <v>74</v>
      </c>
      <c r="I436" t="s">
        <v>8687</v>
      </c>
      <c r="J436" t="s">
        <v>936</v>
      </c>
      <c r="K436" t="s">
        <v>74</v>
      </c>
      <c r="L436" t="s">
        <v>74</v>
      </c>
      <c r="M436" t="s">
        <v>78</v>
      </c>
      <c r="N436" t="s">
        <v>79</v>
      </c>
      <c r="O436" t="s">
        <v>74</v>
      </c>
      <c r="P436" t="s">
        <v>74</v>
      </c>
      <c r="Q436" t="s">
        <v>74</v>
      </c>
      <c r="R436" t="s">
        <v>74</v>
      </c>
      <c r="S436" t="s">
        <v>74</v>
      </c>
      <c r="T436" t="s">
        <v>74</v>
      </c>
      <c r="U436" t="s">
        <v>8688</v>
      </c>
      <c r="V436" t="s">
        <v>8689</v>
      </c>
      <c r="W436" t="s">
        <v>8690</v>
      </c>
      <c r="X436" t="s">
        <v>8691</v>
      </c>
      <c r="Y436" t="s">
        <v>8692</v>
      </c>
      <c r="Z436" t="s">
        <v>8693</v>
      </c>
      <c r="AA436" t="s">
        <v>8694</v>
      </c>
      <c r="AB436" t="s">
        <v>8695</v>
      </c>
      <c r="AC436" t="s">
        <v>8696</v>
      </c>
      <c r="AD436" t="s">
        <v>8697</v>
      </c>
      <c r="AE436" t="s">
        <v>8698</v>
      </c>
      <c r="AF436" t="s">
        <v>74</v>
      </c>
      <c r="AG436">
        <v>61</v>
      </c>
      <c r="AH436">
        <v>5</v>
      </c>
      <c r="AI436">
        <v>6</v>
      </c>
      <c r="AJ436">
        <v>0</v>
      </c>
      <c r="AK436">
        <v>23</v>
      </c>
      <c r="AL436" t="s">
        <v>946</v>
      </c>
      <c r="AM436" t="s">
        <v>947</v>
      </c>
      <c r="AN436" t="s">
        <v>948</v>
      </c>
      <c r="AO436" t="s">
        <v>949</v>
      </c>
      <c r="AP436" t="s">
        <v>74</v>
      </c>
      <c r="AQ436" t="s">
        <v>74</v>
      </c>
      <c r="AR436" t="s">
        <v>936</v>
      </c>
      <c r="AS436" t="s">
        <v>950</v>
      </c>
      <c r="AT436" t="s">
        <v>8699</v>
      </c>
      <c r="AU436">
        <v>2015</v>
      </c>
      <c r="AV436">
        <v>10</v>
      </c>
      <c r="AW436">
        <v>3</v>
      </c>
      <c r="AX436" t="s">
        <v>74</v>
      </c>
      <c r="AY436" t="s">
        <v>74</v>
      </c>
      <c r="AZ436" t="s">
        <v>74</v>
      </c>
      <c r="BA436" t="s">
        <v>74</v>
      </c>
      <c r="BB436" t="s">
        <v>74</v>
      </c>
      <c r="BC436" t="s">
        <v>74</v>
      </c>
      <c r="BD436" t="s">
        <v>8700</v>
      </c>
      <c r="BE436" t="s">
        <v>8701</v>
      </c>
      <c r="BF436" t="str">
        <f>HYPERLINK("http://dx.doi.org/10.1371/journal.pone.0119081","http://dx.doi.org/10.1371/journal.pone.0119081")</f>
        <v>http://dx.doi.org/10.1371/journal.pone.0119081</v>
      </c>
      <c r="BG436" t="s">
        <v>74</v>
      </c>
      <c r="BH436" t="s">
        <v>74</v>
      </c>
      <c r="BI436">
        <v>20</v>
      </c>
      <c r="BJ436" t="s">
        <v>429</v>
      </c>
      <c r="BK436" t="s">
        <v>100</v>
      </c>
      <c r="BL436" t="s">
        <v>430</v>
      </c>
      <c r="BM436" t="s">
        <v>8702</v>
      </c>
      <c r="BN436">
        <v>25768300</v>
      </c>
      <c r="BO436" t="s">
        <v>432</v>
      </c>
      <c r="BP436" t="s">
        <v>74</v>
      </c>
      <c r="BQ436" t="s">
        <v>74</v>
      </c>
      <c r="BR436" t="s">
        <v>104</v>
      </c>
      <c r="BS436" t="s">
        <v>8703</v>
      </c>
      <c r="BT436" t="str">
        <f>HYPERLINK("https%3A%2F%2Fwww.webofscience.com%2Fwos%2Fwoscc%2Ffull-record%2FWOS:000351277500063","View Full Record in Web of Science")</f>
        <v>View Full Record in Web of Science</v>
      </c>
    </row>
    <row r="437" spans="1:72" x14ac:dyDescent="0.15">
      <c r="A437" t="s">
        <v>72</v>
      </c>
      <c r="B437" t="s">
        <v>8704</v>
      </c>
      <c r="C437" t="s">
        <v>74</v>
      </c>
      <c r="D437" t="s">
        <v>74</v>
      </c>
      <c r="E437" t="s">
        <v>74</v>
      </c>
      <c r="F437" t="s">
        <v>8705</v>
      </c>
      <c r="G437" t="s">
        <v>74</v>
      </c>
      <c r="H437" t="s">
        <v>74</v>
      </c>
      <c r="I437" t="s">
        <v>8706</v>
      </c>
      <c r="J437" t="s">
        <v>539</v>
      </c>
      <c r="K437" t="s">
        <v>74</v>
      </c>
      <c r="L437" t="s">
        <v>74</v>
      </c>
      <c r="M437" t="s">
        <v>78</v>
      </c>
      <c r="N437" t="s">
        <v>79</v>
      </c>
      <c r="O437" t="s">
        <v>74</v>
      </c>
      <c r="P437" t="s">
        <v>74</v>
      </c>
      <c r="Q437" t="s">
        <v>74</v>
      </c>
      <c r="R437" t="s">
        <v>74</v>
      </c>
      <c r="S437" t="s">
        <v>74</v>
      </c>
      <c r="T437" t="s">
        <v>74</v>
      </c>
      <c r="U437" t="s">
        <v>8707</v>
      </c>
      <c r="V437" t="s">
        <v>8708</v>
      </c>
      <c r="W437" t="s">
        <v>8709</v>
      </c>
      <c r="X437" t="s">
        <v>8710</v>
      </c>
      <c r="Y437" t="s">
        <v>8711</v>
      </c>
      <c r="Z437" t="s">
        <v>8712</v>
      </c>
      <c r="AA437" t="s">
        <v>8713</v>
      </c>
      <c r="AB437" t="s">
        <v>8714</v>
      </c>
      <c r="AC437" t="s">
        <v>8715</v>
      </c>
      <c r="AD437" t="s">
        <v>8716</v>
      </c>
      <c r="AE437" t="s">
        <v>8717</v>
      </c>
      <c r="AF437" t="s">
        <v>74</v>
      </c>
      <c r="AG437">
        <v>19</v>
      </c>
      <c r="AH437">
        <v>97</v>
      </c>
      <c r="AI437">
        <v>111</v>
      </c>
      <c r="AJ437">
        <v>4</v>
      </c>
      <c r="AK437">
        <v>90</v>
      </c>
      <c r="AL437" t="s">
        <v>551</v>
      </c>
      <c r="AM437" t="s">
        <v>267</v>
      </c>
      <c r="AN437" t="s">
        <v>552</v>
      </c>
      <c r="AO437" t="s">
        <v>553</v>
      </c>
      <c r="AP437" t="s">
        <v>554</v>
      </c>
      <c r="AQ437" t="s">
        <v>74</v>
      </c>
      <c r="AR437" t="s">
        <v>539</v>
      </c>
      <c r="AS437" t="s">
        <v>555</v>
      </c>
      <c r="AT437" t="s">
        <v>8699</v>
      </c>
      <c r="AU437">
        <v>2015</v>
      </c>
      <c r="AV437">
        <v>347</v>
      </c>
      <c r="AW437">
        <v>6227</v>
      </c>
      <c r="AX437" t="s">
        <v>74</v>
      </c>
      <c r="AY437" t="s">
        <v>74</v>
      </c>
      <c r="AZ437" t="s">
        <v>74</v>
      </c>
      <c r="BA437" t="s">
        <v>74</v>
      </c>
      <c r="BB437">
        <v>1237</v>
      </c>
      <c r="BC437">
        <v>1240</v>
      </c>
      <c r="BD437" t="s">
        <v>74</v>
      </c>
      <c r="BE437" t="s">
        <v>8718</v>
      </c>
      <c r="BF437" t="str">
        <f>HYPERLINK("http://dx.doi.org/10.1126/science.1261508","http://dx.doi.org/10.1126/science.1261508")</f>
        <v>http://dx.doi.org/10.1126/science.1261508</v>
      </c>
      <c r="BG437" t="s">
        <v>74</v>
      </c>
      <c r="BH437" t="s">
        <v>74</v>
      </c>
      <c r="BI437">
        <v>4</v>
      </c>
      <c r="BJ437" t="s">
        <v>429</v>
      </c>
      <c r="BK437" t="s">
        <v>100</v>
      </c>
      <c r="BL437" t="s">
        <v>430</v>
      </c>
      <c r="BM437" t="s">
        <v>8719</v>
      </c>
      <c r="BN437">
        <v>25766231</v>
      </c>
      <c r="BO437" t="s">
        <v>3228</v>
      </c>
      <c r="BP437" t="s">
        <v>74</v>
      </c>
      <c r="BQ437" t="s">
        <v>74</v>
      </c>
      <c r="BR437" t="s">
        <v>104</v>
      </c>
      <c r="BS437" t="s">
        <v>8720</v>
      </c>
      <c r="BT437" t="str">
        <f>HYPERLINK("https%3A%2F%2Fwww.webofscience.com%2Fwos%2Fwoscc%2Ffull-record%2FWOS:000350824300034","View Full Record in Web of Science")</f>
        <v>View Full Record in Web of Science</v>
      </c>
    </row>
    <row r="438" spans="1:72" x14ac:dyDescent="0.15">
      <c r="A438" t="s">
        <v>72</v>
      </c>
      <c r="B438" t="s">
        <v>8721</v>
      </c>
      <c r="C438" t="s">
        <v>74</v>
      </c>
      <c r="D438" t="s">
        <v>74</v>
      </c>
      <c r="E438" t="s">
        <v>74</v>
      </c>
      <c r="F438" t="s">
        <v>8722</v>
      </c>
      <c r="G438" t="s">
        <v>74</v>
      </c>
      <c r="H438" t="s">
        <v>74</v>
      </c>
      <c r="I438" t="s">
        <v>8723</v>
      </c>
      <c r="J438" t="s">
        <v>8724</v>
      </c>
      <c r="K438" t="s">
        <v>74</v>
      </c>
      <c r="L438" t="s">
        <v>74</v>
      </c>
      <c r="M438" t="s">
        <v>78</v>
      </c>
      <c r="N438" t="s">
        <v>79</v>
      </c>
      <c r="O438" t="s">
        <v>74</v>
      </c>
      <c r="P438" t="s">
        <v>74</v>
      </c>
      <c r="Q438" t="s">
        <v>74</v>
      </c>
      <c r="R438" t="s">
        <v>74</v>
      </c>
      <c r="S438" t="s">
        <v>74</v>
      </c>
      <c r="T438" t="s">
        <v>8725</v>
      </c>
      <c r="U438" t="s">
        <v>8726</v>
      </c>
      <c r="V438" t="s">
        <v>8727</v>
      </c>
      <c r="W438" t="s">
        <v>8728</v>
      </c>
      <c r="X438" t="s">
        <v>8729</v>
      </c>
      <c r="Y438" t="s">
        <v>8730</v>
      </c>
      <c r="Z438" t="s">
        <v>8731</v>
      </c>
      <c r="AA438" t="s">
        <v>8732</v>
      </c>
      <c r="AB438" t="s">
        <v>8733</v>
      </c>
      <c r="AC438" t="s">
        <v>8734</v>
      </c>
      <c r="AD438" t="s">
        <v>8735</v>
      </c>
      <c r="AE438" t="s">
        <v>8736</v>
      </c>
      <c r="AF438" t="s">
        <v>74</v>
      </c>
      <c r="AG438">
        <v>113</v>
      </c>
      <c r="AH438">
        <v>14</v>
      </c>
      <c r="AI438">
        <v>14</v>
      </c>
      <c r="AJ438">
        <v>3</v>
      </c>
      <c r="AK438">
        <v>68</v>
      </c>
      <c r="AL438" t="s">
        <v>377</v>
      </c>
      <c r="AM438" t="s">
        <v>378</v>
      </c>
      <c r="AN438" t="s">
        <v>379</v>
      </c>
      <c r="AO438" t="s">
        <v>8737</v>
      </c>
      <c r="AP438" t="s">
        <v>74</v>
      </c>
      <c r="AQ438" t="s">
        <v>74</v>
      </c>
      <c r="AR438" t="s">
        <v>8738</v>
      </c>
      <c r="AS438" t="s">
        <v>8739</v>
      </c>
      <c r="AT438" t="s">
        <v>8740</v>
      </c>
      <c r="AU438">
        <v>2015</v>
      </c>
      <c r="AV438">
        <v>12</v>
      </c>
      <c r="AW438" t="s">
        <v>74</v>
      </c>
      <c r="AX438" t="s">
        <v>74</v>
      </c>
      <c r="AY438" t="s">
        <v>74</v>
      </c>
      <c r="AZ438" t="s">
        <v>74</v>
      </c>
      <c r="BA438" t="s">
        <v>74</v>
      </c>
      <c r="BB438" t="s">
        <v>74</v>
      </c>
      <c r="BC438" t="s">
        <v>74</v>
      </c>
      <c r="BD438">
        <v>6</v>
      </c>
      <c r="BE438" t="s">
        <v>8741</v>
      </c>
      <c r="BF438" t="str">
        <f>HYPERLINK("http://dx.doi.org/10.1186/s12983-015-0097-x","http://dx.doi.org/10.1186/s12983-015-0097-x")</f>
        <v>http://dx.doi.org/10.1186/s12983-015-0097-x</v>
      </c>
      <c r="BG438" t="s">
        <v>74</v>
      </c>
      <c r="BH438" t="s">
        <v>74</v>
      </c>
      <c r="BI438">
        <v>16</v>
      </c>
      <c r="BJ438" t="s">
        <v>509</v>
      </c>
      <c r="BK438" t="s">
        <v>100</v>
      </c>
      <c r="BL438" t="s">
        <v>509</v>
      </c>
      <c r="BM438" t="s">
        <v>8742</v>
      </c>
      <c r="BN438">
        <v>25897316</v>
      </c>
      <c r="BO438" t="s">
        <v>3546</v>
      </c>
      <c r="BP438" t="s">
        <v>74</v>
      </c>
      <c r="BQ438" t="s">
        <v>74</v>
      </c>
      <c r="BR438" t="s">
        <v>104</v>
      </c>
      <c r="BS438" t="s">
        <v>8743</v>
      </c>
      <c r="BT438" t="str">
        <f>HYPERLINK("https%3A%2F%2Fwww.webofscience.com%2Fwos%2Fwoscc%2Ffull-record%2FWOS:000353103100001","View Full Record in Web of Science")</f>
        <v>View Full Record in Web of Science</v>
      </c>
    </row>
    <row r="439" spans="1:72" x14ac:dyDescent="0.15">
      <c r="A439" t="s">
        <v>72</v>
      </c>
      <c r="B439" t="s">
        <v>8744</v>
      </c>
      <c r="C439" t="s">
        <v>74</v>
      </c>
      <c r="D439" t="s">
        <v>74</v>
      </c>
      <c r="E439" t="s">
        <v>74</v>
      </c>
      <c r="F439" t="s">
        <v>8745</v>
      </c>
      <c r="G439" t="s">
        <v>74</v>
      </c>
      <c r="H439" t="s">
        <v>74</v>
      </c>
      <c r="I439" t="s">
        <v>8746</v>
      </c>
      <c r="J439" t="s">
        <v>8747</v>
      </c>
      <c r="K439" t="s">
        <v>74</v>
      </c>
      <c r="L439" t="s">
        <v>74</v>
      </c>
      <c r="M439" t="s">
        <v>78</v>
      </c>
      <c r="N439" t="s">
        <v>79</v>
      </c>
      <c r="O439" t="s">
        <v>74</v>
      </c>
      <c r="P439" t="s">
        <v>74</v>
      </c>
      <c r="Q439" t="s">
        <v>74</v>
      </c>
      <c r="R439" t="s">
        <v>74</v>
      </c>
      <c r="S439" t="s">
        <v>74</v>
      </c>
      <c r="T439" t="s">
        <v>74</v>
      </c>
      <c r="U439" t="s">
        <v>8748</v>
      </c>
      <c r="V439" t="s">
        <v>8749</v>
      </c>
      <c r="W439" t="s">
        <v>8750</v>
      </c>
      <c r="X439" t="s">
        <v>8751</v>
      </c>
      <c r="Y439" t="s">
        <v>8752</v>
      </c>
      <c r="Z439" t="s">
        <v>74</v>
      </c>
      <c r="AA439" t="s">
        <v>74</v>
      </c>
      <c r="AB439" t="s">
        <v>8753</v>
      </c>
      <c r="AC439" t="s">
        <v>8754</v>
      </c>
      <c r="AD439" t="s">
        <v>8755</v>
      </c>
      <c r="AE439" t="s">
        <v>8756</v>
      </c>
      <c r="AF439" t="s">
        <v>74</v>
      </c>
      <c r="AG439">
        <v>54</v>
      </c>
      <c r="AH439">
        <v>27</v>
      </c>
      <c r="AI439">
        <v>28</v>
      </c>
      <c r="AJ439">
        <v>0</v>
      </c>
      <c r="AK439">
        <v>29</v>
      </c>
      <c r="AL439" t="s">
        <v>8757</v>
      </c>
      <c r="AM439" t="s">
        <v>8758</v>
      </c>
      <c r="AN439" t="s">
        <v>8759</v>
      </c>
      <c r="AO439" t="s">
        <v>8760</v>
      </c>
      <c r="AP439" t="s">
        <v>8761</v>
      </c>
      <c r="AQ439" t="s">
        <v>74</v>
      </c>
      <c r="AR439" t="s">
        <v>8762</v>
      </c>
      <c r="AS439" t="s">
        <v>8763</v>
      </c>
      <c r="AT439" t="s">
        <v>8740</v>
      </c>
      <c r="AU439">
        <v>2015</v>
      </c>
      <c r="AV439">
        <v>91</v>
      </c>
      <c r="AW439">
        <v>3</v>
      </c>
      <c r="AX439" t="s">
        <v>74</v>
      </c>
      <c r="AY439" t="s">
        <v>74</v>
      </c>
      <c r="AZ439" t="s">
        <v>74</v>
      </c>
      <c r="BA439" t="s">
        <v>74</v>
      </c>
      <c r="BB439" t="s">
        <v>74</v>
      </c>
      <c r="BC439" t="s">
        <v>74</v>
      </c>
      <c r="BD439">
        <v>32806</v>
      </c>
      <c r="BE439" t="s">
        <v>8764</v>
      </c>
      <c r="BF439" t="str">
        <f>HYPERLINK("http://dx.doi.org/10.1103/PhysRevE.91.032806","http://dx.doi.org/10.1103/PhysRevE.91.032806")</f>
        <v>http://dx.doi.org/10.1103/PhysRevE.91.032806</v>
      </c>
      <c r="BG439" t="s">
        <v>74</v>
      </c>
      <c r="BH439" t="s">
        <v>74</v>
      </c>
      <c r="BI439">
        <v>10</v>
      </c>
      <c r="BJ439" t="s">
        <v>8765</v>
      </c>
      <c r="BK439" t="s">
        <v>100</v>
      </c>
      <c r="BL439" t="s">
        <v>8766</v>
      </c>
      <c r="BM439" t="s">
        <v>8767</v>
      </c>
      <c r="BN439">
        <v>25871156</v>
      </c>
      <c r="BO439" t="s">
        <v>248</v>
      </c>
      <c r="BP439" t="s">
        <v>74</v>
      </c>
      <c r="BQ439" t="s">
        <v>74</v>
      </c>
      <c r="BR439" t="s">
        <v>104</v>
      </c>
      <c r="BS439" t="s">
        <v>8768</v>
      </c>
      <c r="BT439" t="str">
        <f>HYPERLINK("https%3A%2F%2Fwww.webofscience.com%2Fwos%2Fwoscc%2Ffull-record%2FWOS:000350966600014","View Full Record in Web of Science")</f>
        <v>View Full Record in Web of Science</v>
      </c>
    </row>
    <row r="440" spans="1:72" x14ac:dyDescent="0.15">
      <c r="A440" t="s">
        <v>72</v>
      </c>
      <c r="B440" t="s">
        <v>8769</v>
      </c>
      <c r="C440" t="s">
        <v>74</v>
      </c>
      <c r="D440" t="s">
        <v>74</v>
      </c>
      <c r="E440" t="s">
        <v>74</v>
      </c>
      <c r="F440" t="s">
        <v>8770</v>
      </c>
      <c r="G440" t="s">
        <v>74</v>
      </c>
      <c r="H440" t="s">
        <v>74</v>
      </c>
      <c r="I440" t="s">
        <v>8771</v>
      </c>
      <c r="J440" t="s">
        <v>413</v>
      </c>
      <c r="K440" t="s">
        <v>74</v>
      </c>
      <c r="L440" t="s">
        <v>74</v>
      </c>
      <c r="M440" t="s">
        <v>78</v>
      </c>
      <c r="N440" t="s">
        <v>79</v>
      </c>
      <c r="O440" t="s">
        <v>74</v>
      </c>
      <c r="P440" t="s">
        <v>74</v>
      </c>
      <c r="Q440" t="s">
        <v>74</v>
      </c>
      <c r="R440" t="s">
        <v>74</v>
      </c>
      <c r="S440" t="s">
        <v>74</v>
      </c>
      <c r="T440" t="s">
        <v>74</v>
      </c>
      <c r="U440" t="s">
        <v>8772</v>
      </c>
      <c r="V440" t="s">
        <v>8773</v>
      </c>
      <c r="W440" t="s">
        <v>8774</v>
      </c>
      <c r="X440" t="s">
        <v>8775</v>
      </c>
      <c r="Y440" t="s">
        <v>8776</v>
      </c>
      <c r="Z440" t="s">
        <v>8777</v>
      </c>
      <c r="AA440" t="s">
        <v>8778</v>
      </c>
      <c r="AB440" t="s">
        <v>8779</v>
      </c>
      <c r="AC440" t="s">
        <v>8780</v>
      </c>
      <c r="AD440" t="s">
        <v>8781</v>
      </c>
      <c r="AE440" t="s">
        <v>8782</v>
      </c>
      <c r="AF440" t="s">
        <v>74</v>
      </c>
      <c r="AG440">
        <v>35</v>
      </c>
      <c r="AH440">
        <v>36</v>
      </c>
      <c r="AI440">
        <v>42</v>
      </c>
      <c r="AJ440">
        <v>0</v>
      </c>
      <c r="AK440">
        <v>56</v>
      </c>
      <c r="AL440" t="s">
        <v>422</v>
      </c>
      <c r="AM440" t="s">
        <v>423</v>
      </c>
      <c r="AN440" t="s">
        <v>424</v>
      </c>
      <c r="AO440" t="s">
        <v>425</v>
      </c>
      <c r="AP440" t="s">
        <v>74</v>
      </c>
      <c r="AQ440" t="s">
        <v>74</v>
      </c>
      <c r="AR440" t="s">
        <v>426</v>
      </c>
      <c r="AS440" t="s">
        <v>427</v>
      </c>
      <c r="AT440" t="s">
        <v>8783</v>
      </c>
      <c r="AU440">
        <v>2015</v>
      </c>
      <c r="AV440">
        <v>5</v>
      </c>
      <c r="AW440" t="s">
        <v>74</v>
      </c>
      <c r="AX440" t="s">
        <v>74</v>
      </c>
      <c r="AY440" t="s">
        <v>74</v>
      </c>
      <c r="AZ440" t="s">
        <v>74</v>
      </c>
      <c r="BA440" t="s">
        <v>74</v>
      </c>
      <c r="BB440" t="s">
        <v>74</v>
      </c>
      <c r="BC440" t="s">
        <v>74</v>
      </c>
      <c r="BD440">
        <v>8909</v>
      </c>
      <c r="BE440" t="s">
        <v>8784</v>
      </c>
      <c r="BF440" t="str">
        <f>HYPERLINK("http://dx.doi.org/10.1038/srep08909","http://dx.doi.org/10.1038/srep08909")</f>
        <v>http://dx.doi.org/10.1038/srep08909</v>
      </c>
      <c r="BG440" t="s">
        <v>74</v>
      </c>
      <c r="BH440" t="s">
        <v>74</v>
      </c>
      <c r="BI440">
        <v>6</v>
      </c>
      <c r="BJ440" t="s">
        <v>429</v>
      </c>
      <c r="BK440" t="s">
        <v>100</v>
      </c>
      <c r="BL440" t="s">
        <v>430</v>
      </c>
      <c r="BM440" t="s">
        <v>8785</v>
      </c>
      <c r="BN440">
        <v>25752943</v>
      </c>
      <c r="BO440" t="s">
        <v>385</v>
      </c>
      <c r="BP440" t="s">
        <v>74</v>
      </c>
      <c r="BQ440" t="s">
        <v>74</v>
      </c>
      <c r="BR440" t="s">
        <v>104</v>
      </c>
      <c r="BS440" t="s">
        <v>8786</v>
      </c>
      <c r="BT440" t="str">
        <f>HYPERLINK("https%3A%2F%2Fwww.webofscience.com%2Fwos%2Fwoscc%2Ffull-record%2FWOS:000351091900002","View Full Record in Web of Science")</f>
        <v>View Full Record in Web of Science</v>
      </c>
    </row>
    <row r="441" spans="1:72" x14ac:dyDescent="0.15">
      <c r="A441" t="s">
        <v>72</v>
      </c>
      <c r="B441" t="s">
        <v>8787</v>
      </c>
      <c r="C441" t="s">
        <v>74</v>
      </c>
      <c r="D441" t="s">
        <v>74</v>
      </c>
      <c r="E441" t="s">
        <v>74</v>
      </c>
      <c r="F441" t="s">
        <v>8788</v>
      </c>
      <c r="G441" t="s">
        <v>74</v>
      </c>
      <c r="H441" t="s">
        <v>8789</v>
      </c>
      <c r="I441" t="s">
        <v>8790</v>
      </c>
      <c r="J441" t="s">
        <v>8791</v>
      </c>
      <c r="K441" t="s">
        <v>74</v>
      </c>
      <c r="L441" t="s">
        <v>74</v>
      </c>
      <c r="M441" t="s">
        <v>78</v>
      </c>
      <c r="N441" t="s">
        <v>79</v>
      </c>
      <c r="O441" t="s">
        <v>74</v>
      </c>
      <c r="P441" t="s">
        <v>74</v>
      </c>
      <c r="Q441" t="s">
        <v>74</v>
      </c>
      <c r="R441" t="s">
        <v>74</v>
      </c>
      <c r="S441" t="s">
        <v>74</v>
      </c>
      <c r="T441" t="s">
        <v>74</v>
      </c>
      <c r="U441" t="s">
        <v>8792</v>
      </c>
      <c r="V441" t="s">
        <v>8793</v>
      </c>
      <c r="W441" t="s">
        <v>8794</v>
      </c>
      <c r="X441" t="s">
        <v>8795</v>
      </c>
      <c r="Y441" t="s">
        <v>8796</v>
      </c>
      <c r="Z441" t="s">
        <v>8797</v>
      </c>
      <c r="AA441" t="s">
        <v>8798</v>
      </c>
      <c r="AB441" t="s">
        <v>8799</v>
      </c>
      <c r="AC441" t="s">
        <v>8800</v>
      </c>
      <c r="AD441" t="s">
        <v>8801</v>
      </c>
      <c r="AE441" t="s">
        <v>8802</v>
      </c>
      <c r="AF441" t="s">
        <v>74</v>
      </c>
      <c r="AG441">
        <v>44</v>
      </c>
      <c r="AH441">
        <v>806</v>
      </c>
      <c r="AI441">
        <v>880</v>
      </c>
      <c r="AJ441">
        <v>2</v>
      </c>
      <c r="AK441">
        <v>129</v>
      </c>
      <c r="AL441" t="s">
        <v>8757</v>
      </c>
      <c r="AM441" t="s">
        <v>8758</v>
      </c>
      <c r="AN441" t="s">
        <v>8759</v>
      </c>
      <c r="AO441" t="s">
        <v>8803</v>
      </c>
      <c r="AP441" t="s">
        <v>8804</v>
      </c>
      <c r="AQ441" t="s">
        <v>74</v>
      </c>
      <c r="AR441" t="s">
        <v>8805</v>
      </c>
      <c r="AS441" t="s">
        <v>8806</v>
      </c>
      <c r="AT441" t="s">
        <v>8807</v>
      </c>
      <c r="AU441">
        <v>2015</v>
      </c>
      <c r="AV441">
        <v>114</v>
      </c>
      <c r="AW441">
        <v>10</v>
      </c>
      <c r="AX441" t="s">
        <v>74</v>
      </c>
      <c r="AY441" t="s">
        <v>74</v>
      </c>
      <c r="AZ441" t="s">
        <v>74</v>
      </c>
      <c r="BA441" t="s">
        <v>74</v>
      </c>
      <c r="BB441" t="s">
        <v>74</v>
      </c>
      <c r="BC441" t="s">
        <v>74</v>
      </c>
      <c r="BD441">
        <v>101301</v>
      </c>
      <c r="BE441" t="s">
        <v>8808</v>
      </c>
      <c r="BF441" t="str">
        <f>HYPERLINK("http://dx.doi.org/10.1103/PhysRevLett.114.101301","http://dx.doi.org/10.1103/PhysRevLett.114.101301")</f>
        <v>http://dx.doi.org/10.1103/PhysRevLett.114.101301</v>
      </c>
      <c r="BG441" t="s">
        <v>74</v>
      </c>
      <c r="BH441" t="s">
        <v>74</v>
      </c>
      <c r="BI441">
        <v>17</v>
      </c>
      <c r="BJ441" t="s">
        <v>8809</v>
      </c>
      <c r="BK441" t="s">
        <v>100</v>
      </c>
      <c r="BL441" t="s">
        <v>8766</v>
      </c>
      <c r="BM441" t="s">
        <v>8810</v>
      </c>
      <c r="BN441">
        <v>25815919</v>
      </c>
      <c r="BO441" t="s">
        <v>8811</v>
      </c>
      <c r="BP441" t="s">
        <v>4339</v>
      </c>
      <c r="BQ441" t="s">
        <v>4340</v>
      </c>
      <c r="BR441" t="s">
        <v>104</v>
      </c>
      <c r="BS441" t="s">
        <v>8812</v>
      </c>
      <c r="BT441" t="str">
        <f>HYPERLINK("https%3A%2F%2Fwww.webofscience.com%2Fwos%2Fwoscc%2Ffull-record%2FWOS:000350624500002","View Full Record in Web of Science")</f>
        <v>View Full Record in Web of Science</v>
      </c>
    </row>
    <row r="442" spans="1:72" x14ac:dyDescent="0.15">
      <c r="A442" t="s">
        <v>72</v>
      </c>
      <c r="B442" t="s">
        <v>8813</v>
      </c>
      <c r="C442" t="s">
        <v>74</v>
      </c>
      <c r="D442" t="s">
        <v>74</v>
      </c>
      <c r="E442" t="s">
        <v>74</v>
      </c>
      <c r="F442" t="s">
        <v>8814</v>
      </c>
      <c r="G442" t="s">
        <v>74</v>
      </c>
      <c r="H442" t="s">
        <v>74</v>
      </c>
      <c r="I442" t="s">
        <v>8815</v>
      </c>
      <c r="J442" t="s">
        <v>413</v>
      </c>
      <c r="K442" t="s">
        <v>74</v>
      </c>
      <c r="L442" t="s">
        <v>74</v>
      </c>
      <c r="M442" t="s">
        <v>78</v>
      </c>
      <c r="N442" t="s">
        <v>79</v>
      </c>
      <c r="O442" t="s">
        <v>74</v>
      </c>
      <c r="P442" t="s">
        <v>74</v>
      </c>
      <c r="Q442" t="s">
        <v>74</v>
      </c>
      <c r="R442" t="s">
        <v>74</v>
      </c>
      <c r="S442" t="s">
        <v>74</v>
      </c>
      <c r="T442" t="s">
        <v>74</v>
      </c>
      <c r="U442" t="s">
        <v>8816</v>
      </c>
      <c r="V442" t="s">
        <v>8817</v>
      </c>
      <c r="W442" t="s">
        <v>8818</v>
      </c>
      <c r="X442" t="s">
        <v>8819</v>
      </c>
      <c r="Y442" t="s">
        <v>8820</v>
      </c>
      <c r="Z442" t="s">
        <v>8821</v>
      </c>
      <c r="AA442" t="s">
        <v>8822</v>
      </c>
      <c r="AB442" t="s">
        <v>8823</v>
      </c>
      <c r="AC442" t="s">
        <v>8824</v>
      </c>
      <c r="AD442" t="s">
        <v>8825</v>
      </c>
      <c r="AE442" t="s">
        <v>8826</v>
      </c>
      <c r="AF442" t="s">
        <v>74</v>
      </c>
      <c r="AG442">
        <v>55</v>
      </c>
      <c r="AH442">
        <v>75</v>
      </c>
      <c r="AI442">
        <v>80</v>
      </c>
      <c r="AJ442">
        <v>1</v>
      </c>
      <c r="AK442">
        <v>59</v>
      </c>
      <c r="AL442" t="s">
        <v>422</v>
      </c>
      <c r="AM442" t="s">
        <v>423</v>
      </c>
      <c r="AN442" t="s">
        <v>424</v>
      </c>
      <c r="AO442" t="s">
        <v>425</v>
      </c>
      <c r="AP442" t="s">
        <v>74</v>
      </c>
      <c r="AQ442" t="s">
        <v>74</v>
      </c>
      <c r="AR442" t="s">
        <v>426</v>
      </c>
      <c r="AS442" t="s">
        <v>427</v>
      </c>
      <c r="AT442" t="s">
        <v>8807</v>
      </c>
      <c r="AU442">
        <v>2015</v>
      </c>
      <c r="AV442">
        <v>5</v>
      </c>
      <c r="AW442" t="s">
        <v>74</v>
      </c>
      <c r="AX442" t="s">
        <v>74</v>
      </c>
      <c r="AY442" t="s">
        <v>74</v>
      </c>
      <c r="AZ442" t="s">
        <v>74</v>
      </c>
      <c r="BA442" t="s">
        <v>74</v>
      </c>
      <c r="BB442" t="s">
        <v>74</v>
      </c>
      <c r="BC442" t="s">
        <v>74</v>
      </c>
      <c r="BD442">
        <v>8853</v>
      </c>
      <c r="BE442" t="s">
        <v>8827</v>
      </c>
      <c r="BF442" t="str">
        <f>HYPERLINK("http://dx.doi.org/10.1038/srep08853","http://dx.doi.org/10.1038/srep08853")</f>
        <v>http://dx.doi.org/10.1038/srep08853</v>
      </c>
      <c r="BG442" t="s">
        <v>74</v>
      </c>
      <c r="BH442" t="s">
        <v>74</v>
      </c>
      <c r="BI442">
        <v>7</v>
      </c>
      <c r="BJ442" t="s">
        <v>429</v>
      </c>
      <c r="BK442" t="s">
        <v>100</v>
      </c>
      <c r="BL442" t="s">
        <v>430</v>
      </c>
      <c r="BM442" t="s">
        <v>8828</v>
      </c>
      <c r="BN442">
        <v>25747757</v>
      </c>
      <c r="BO442" t="s">
        <v>8829</v>
      </c>
      <c r="BP442" t="s">
        <v>74</v>
      </c>
      <c r="BQ442" t="s">
        <v>74</v>
      </c>
      <c r="BR442" t="s">
        <v>104</v>
      </c>
      <c r="BS442" t="s">
        <v>8830</v>
      </c>
      <c r="BT442" t="str">
        <f>HYPERLINK("https%3A%2F%2Fwww.webofscience.com%2Fwos%2Fwoscc%2Ffull-record%2FWOS:000350549200003","View Full Record in Web of Science")</f>
        <v>View Full Record in Web of Science</v>
      </c>
    </row>
    <row r="443" spans="1:72" x14ac:dyDescent="0.15">
      <c r="A443" t="s">
        <v>72</v>
      </c>
      <c r="B443" t="s">
        <v>8831</v>
      </c>
      <c r="C443" t="s">
        <v>74</v>
      </c>
      <c r="D443" t="s">
        <v>74</v>
      </c>
      <c r="E443" t="s">
        <v>74</v>
      </c>
      <c r="F443" t="s">
        <v>8832</v>
      </c>
      <c r="G443" t="s">
        <v>74</v>
      </c>
      <c r="H443" t="s">
        <v>74</v>
      </c>
      <c r="I443" t="s">
        <v>8833</v>
      </c>
      <c r="J443" t="s">
        <v>1147</v>
      </c>
      <c r="K443" t="s">
        <v>74</v>
      </c>
      <c r="L443" t="s">
        <v>74</v>
      </c>
      <c r="M443" t="s">
        <v>78</v>
      </c>
      <c r="N443" t="s">
        <v>79</v>
      </c>
      <c r="O443" t="s">
        <v>74</v>
      </c>
      <c r="P443" t="s">
        <v>74</v>
      </c>
      <c r="Q443" t="s">
        <v>74</v>
      </c>
      <c r="R443" t="s">
        <v>74</v>
      </c>
      <c r="S443" t="s">
        <v>74</v>
      </c>
      <c r="T443" t="s">
        <v>8834</v>
      </c>
      <c r="U443" t="s">
        <v>8835</v>
      </c>
      <c r="V443" t="s">
        <v>8836</v>
      </c>
      <c r="W443" t="s">
        <v>8837</v>
      </c>
      <c r="X443" t="s">
        <v>8838</v>
      </c>
      <c r="Y443" t="s">
        <v>8839</v>
      </c>
      <c r="Z443" t="s">
        <v>8840</v>
      </c>
      <c r="AA443" t="s">
        <v>8841</v>
      </c>
      <c r="AB443" t="s">
        <v>8842</v>
      </c>
      <c r="AC443" t="s">
        <v>8843</v>
      </c>
      <c r="AD443" t="s">
        <v>8844</v>
      </c>
      <c r="AE443" t="s">
        <v>8845</v>
      </c>
      <c r="AF443" t="s">
        <v>74</v>
      </c>
      <c r="AG443">
        <v>39</v>
      </c>
      <c r="AH443">
        <v>71</v>
      </c>
      <c r="AI443">
        <v>73</v>
      </c>
      <c r="AJ443">
        <v>0</v>
      </c>
      <c r="AK443">
        <v>71</v>
      </c>
      <c r="AL443" t="s">
        <v>1158</v>
      </c>
      <c r="AM443" t="s">
        <v>787</v>
      </c>
      <c r="AN443" t="s">
        <v>1159</v>
      </c>
      <c r="AO443" t="s">
        <v>1160</v>
      </c>
      <c r="AP443" t="s">
        <v>1161</v>
      </c>
      <c r="AQ443" t="s">
        <v>74</v>
      </c>
      <c r="AR443" t="s">
        <v>1162</v>
      </c>
      <c r="AS443" t="s">
        <v>1163</v>
      </c>
      <c r="AT443" t="s">
        <v>8846</v>
      </c>
      <c r="AU443">
        <v>2015</v>
      </c>
      <c r="AV443">
        <v>117</v>
      </c>
      <c r="AW443" t="s">
        <v>74</v>
      </c>
      <c r="AX443" t="s">
        <v>74</v>
      </c>
      <c r="AY443" t="s">
        <v>74</v>
      </c>
      <c r="AZ443" t="s">
        <v>74</v>
      </c>
      <c r="BA443" t="s">
        <v>74</v>
      </c>
      <c r="BB443">
        <v>1028</v>
      </c>
      <c r="BC443">
        <v>1034</v>
      </c>
      <c r="BD443" t="s">
        <v>74</v>
      </c>
      <c r="BE443" t="s">
        <v>8847</v>
      </c>
      <c r="BF443" t="str">
        <f>HYPERLINK("http://dx.doi.org/10.1016/j.carbpol.2014.08.060","http://dx.doi.org/10.1016/j.carbpol.2014.08.060")</f>
        <v>http://dx.doi.org/10.1016/j.carbpol.2014.08.060</v>
      </c>
      <c r="BG443" t="s">
        <v>74</v>
      </c>
      <c r="BH443" t="s">
        <v>74</v>
      </c>
      <c r="BI443">
        <v>7</v>
      </c>
      <c r="BJ443" t="s">
        <v>1166</v>
      </c>
      <c r="BK443" t="s">
        <v>100</v>
      </c>
      <c r="BL443" t="s">
        <v>1167</v>
      </c>
      <c r="BM443" t="s">
        <v>8848</v>
      </c>
      <c r="BN443">
        <v>25498731</v>
      </c>
      <c r="BO443" t="s">
        <v>74</v>
      </c>
      <c r="BP443" t="s">
        <v>74</v>
      </c>
      <c r="BQ443" t="s">
        <v>74</v>
      </c>
      <c r="BR443" t="s">
        <v>104</v>
      </c>
      <c r="BS443" t="s">
        <v>8849</v>
      </c>
      <c r="BT443" t="str">
        <f>HYPERLINK("https%3A%2F%2Fwww.webofscience.com%2Fwos%2Fwoscc%2Ffull-record%2FWOS:000346263800130","View Full Record in Web of Science")</f>
        <v>View Full Record in Web of Science</v>
      </c>
    </row>
    <row r="444" spans="1:72" x14ac:dyDescent="0.15">
      <c r="A444" t="s">
        <v>72</v>
      </c>
      <c r="B444" t="s">
        <v>8850</v>
      </c>
      <c r="C444" t="s">
        <v>74</v>
      </c>
      <c r="D444" t="s">
        <v>74</v>
      </c>
      <c r="E444" t="s">
        <v>74</v>
      </c>
      <c r="F444" t="s">
        <v>8851</v>
      </c>
      <c r="G444" t="s">
        <v>74</v>
      </c>
      <c r="H444" t="s">
        <v>74</v>
      </c>
      <c r="I444" t="s">
        <v>8852</v>
      </c>
      <c r="J444" t="s">
        <v>936</v>
      </c>
      <c r="K444" t="s">
        <v>74</v>
      </c>
      <c r="L444" t="s">
        <v>74</v>
      </c>
      <c r="M444" t="s">
        <v>78</v>
      </c>
      <c r="N444" t="s">
        <v>79</v>
      </c>
      <c r="O444" t="s">
        <v>74</v>
      </c>
      <c r="P444" t="s">
        <v>74</v>
      </c>
      <c r="Q444" t="s">
        <v>74</v>
      </c>
      <c r="R444" t="s">
        <v>74</v>
      </c>
      <c r="S444" t="s">
        <v>74</v>
      </c>
      <c r="T444" t="s">
        <v>74</v>
      </c>
      <c r="U444" t="s">
        <v>8853</v>
      </c>
      <c r="V444" t="s">
        <v>8854</v>
      </c>
      <c r="W444" t="s">
        <v>8855</v>
      </c>
      <c r="X444" t="s">
        <v>8856</v>
      </c>
      <c r="Y444" t="s">
        <v>8857</v>
      </c>
      <c r="Z444" t="s">
        <v>8858</v>
      </c>
      <c r="AA444" t="s">
        <v>8859</v>
      </c>
      <c r="AB444" t="s">
        <v>8860</v>
      </c>
      <c r="AC444" t="s">
        <v>8861</v>
      </c>
      <c r="AD444" t="s">
        <v>8862</v>
      </c>
      <c r="AE444" t="s">
        <v>8863</v>
      </c>
      <c r="AF444" t="s">
        <v>74</v>
      </c>
      <c r="AG444">
        <v>73</v>
      </c>
      <c r="AH444">
        <v>23</v>
      </c>
      <c r="AI444">
        <v>25</v>
      </c>
      <c r="AJ444">
        <v>1</v>
      </c>
      <c r="AK444">
        <v>40</v>
      </c>
      <c r="AL444" t="s">
        <v>946</v>
      </c>
      <c r="AM444" t="s">
        <v>947</v>
      </c>
      <c r="AN444" t="s">
        <v>948</v>
      </c>
      <c r="AO444" t="s">
        <v>949</v>
      </c>
      <c r="AP444" t="s">
        <v>74</v>
      </c>
      <c r="AQ444" t="s">
        <v>74</v>
      </c>
      <c r="AR444" t="s">
        <v>936</v>
      </c>
      <c r="AS444" t="s">
        <v>950</v>
      </c>
      <c r="AT444" t="s">
        <v>8846</v>
      </c>
      <c r="AU444">
        <v>2015</v>
      </c>
      <c r="AV444">
        <v>10</v>
      </c>
      <c r="AW444">
        <v>3</v>
      </c>
      <c r="AX444" t="s">
        <v>74</v>
      </c>
      <c r="AY444" t="s">
        <v>74</v>
      </c>
      <c r="AZ444" t="s">
        <v>74</v>
      </c>
      <c r="BA444" t="s">
        <v>74</v>
      </c>
      <c r="BB444" t="s">
        <v>74</v>
      </c>
      <c r="BC444" t="s">
        <v>74</v>
      </c>
      <c r="BD444" t="s">
        <v>8864</v>
      </c>
      <c r="BE444" t="s">
        <v>8865</v>
      </c>
      <c r="BF444" t="str">
        <f>HYPERLINK("http://dx.doi.org/10.1371/journal.pone.0116084","http://dx.doi.org/10.1371/journal.pone.0116084")</f>
        <v>http://dx.doi.org/10.1371/journal.pone.0116084</v>
      </c>
      <c r="BG444" t="s">
        <v>74</v>
      </c>
      <c r="BH444" t="s">
        <v>74</v>
      </c>
      <c r="BI444">
        <v>24</v>
      </c>
      <c r="BJ444" t="s">
        <v>429</v>
      </c>
      <c r="BK444" t="s">
        <v>100</v>
      </c>
      <c r="BL444" t="s">
        <v>430</v>
      </c>
      <c r="BM444" t="s">
        <v>8866</v>
      </c>
      <c r="BN444">
        <v>25747673</v>
      </c>
      <c r="BO444" t="s">
        <v>432</v>
      </c>
      <c r="BP444" t="s">
        <v>74</v>
      </c>
      <c r="BQ444" t="s">
        <v>74</v>
      </c>
      <c r="BR444" t="s">
        <v>104</v>
      </c>
      <c r="BS444" t="s">
        <v>8867</v>
      </c>
      <c r="BT444" t="str">
        <f>HYPERLINK("https%3A%2F%2Fwww.webofscience.com%2Fwos%2Fwoscc%2Ffull-record%2FWOS:000350689400003","View Full Record in Web of Science")</f>
        <v>View Full Record in Web of Science</v>
      </c>
    </row>
    <row r="445" spans="1:72" x14ac:dyDescent="0.15">
      <c r="A445" t="s">
        <v>72</v>
      </c>
      <c r="B445" t="s">
        <v>8868</v>
      </c>
      <c r="C445" t="s">
        <v>74</v>
      </c>
      <c r="D445" t="s">
        <v>74</v>
      </c>
      <c r="E445" t="s">
        <v>74</v>
      </c>
      <c r="F445" t="s">
        <v>8869</v>
      </c>
      <c r="G445" t="s">
        <v>74</v>
      </c>
      <c r="H445" t="s">
        <v>74</v>
      </c>
      <c r="I445" t="s">
        <v>8870</v>
      </c>
      <c r="J445" t="s">
        <v>936</v>
      </c>
      <c r="K445" t="s">
        <v>74</v>
      </c>
      <c r="L445" t="s">
        <v>74</v>
      </c>
      <c r="M445" t="s">
        <v>78</v>
      </c>
      <c r="N445" t="s">
        <v>79</v>
      </c>
      <c r="O445" t="s">
        <v>74</v>
      </c>
      <c r="P445" t="s">
        <v>74</v>
      </c>
      <c r="Q445" t="s">
        <v>74</v>
      </c>
      <c r="R445" t="s">
        <v>74</v>
      </c>
      <c r="S445" t="s">
        <v>74</v>
      </c>
      <c r="T445" t="s">
        <v>74</v>
      </c>
      <c r="U445" t="s">
        <v>8871</v>
      </c>
      <c r="V445" t="s">
        <v>8872</v>
      </c>
      <c r="W445" t="s">
        <v>8873</v>
      </c>
      <c r="X445" t="s">
        <v>8874</v>
      </c>
      <c r="Y445" t="s">
        <v>8875</v>
      </c>
      <c r="Z445" t="s">
        <v>8876</v>
      </c>
      <c r="AA445" t="s">
        <v>8877</v>
      </c>
      <c r="AB445" t="s">
        <v>8878</v>
      </c>
      <c r="AC445" t="s">
        <v>8879</v>
      </c>
      <c r="AD445" t="s">
        <v>8880</v>
      </c>
      <c r="AE445" t="s">
        <v>8881</v>
      </c>
      <c r="AF445" t="s">
        <v>74</v>
      </c>
      <c r="AG445">
        <v>61</v>
      </c>
      <c r="AH445">
        <v>66</v>
      </c>
      <c r="AI445">
        <v>73</v>
      </c>
      <c r="AJ445">
        <v>3</v>
      </c>
      <c r="AK445">
        <v>42</v>
      </c>
      <c r="AL445" t="s">
        <v>946</v>
      </c>
      <c r="AM445" t="s">
        <v>947</v>
      </c>
      <c r="AN445" t="s">
        <v>948</v>
      </c>
      <c r="AO445" t="s">
        <v>949</v>
      </c>
      <c r="AP445" t="s">
        <v>74</v>
      </c>
      <c r="AQ445" t="s">
        <v>74</v>
      </c>
      <c r="AR445" t="s">
        <v>936</v>
      </c>
      <c r="AS445" t="s">
        <v>950</v>
      </c>
      <c r="AT445" t="s">
        <v>8846</v>
      </c>
      <c r="AU445">
        <v>2015</v>
      </c>
      <c r="AV445">
        <v>10</v>
      </c>
      <c r="AW445">
        <v>3</v>
      </c>
      <c r="AX445" t="s">
        <v>74</v>
      </c>
      <c r="AY445" t="s">
        <v>74</v>
      </c>
      <c r="AZ445" t="s">
        <v>74</v>
      </c>
      <c r="BA445" t="s">
        <v>74</v>
      </c>
      <c r="BB445" t="s">
        <v>74</v>
      </c>
      <c r="BC445" t="s">
        <v>74</v>
      </c>
      <c r="BD445" t="s">
        <v>8882</v>
      </c>
      <c r="BE445" t="s">
        <v>8883</v>
      </c>
      <c r="BF445" t="str">
        <f>HYPERLINK("http://dx.doi.org/10.1371/journal.pone.0120014","http://dx.doi.org/10.1371/journal.pone.0120014")</f>
        <v>http://dx.doi.org/10.1371/journal.pone.0120014</v>
      </c>
      <c r="BG445" t="s">
        <v>74</v>
      </c>
      <c r="BH445" t="s">
        <v>74</v>
      </c>
      <c r="BI445">
        <v>18</v>
      </c>
      <c r="BJ445" t="s">
        <v>429</v>
      </c>
      <c r="BK445" t="s">
        <v>100</v>
      </c>
      <c r="BL445" t="s">
        <v>430</v>
      </c>
      <c r="BM445" t="s">
        <v>8866</v>
      </c>
      <c r="BN445">
        <v>25748948</v>
      </c>
      <c r="BO445" t="s">
        <v>8884</v>
      </c>
      <c r="BP445" t="s">
        <v>74</v>
      </c>
      <c r="BQ445" t="s">
        <v>74</v>
      </c>
      <c r="BR445" t="s">
        <v>104</v>
      </c>
      <c r="BS445" t="s">
        <v>8885</v>
      </c>
      <c r="BT445" t="str">
        <f>HYPERLINK("https%3A%2F%2Fwww.webofscience.com%2Fwos%2Fwoscc%2Ffull-record%2FWOS:000350689400092","View Full Record in Web of Science")</f>
        <v>View Full Record in Web of Science</v>
      </c>
    </row>
    <row r="446" spans="1:72" x14ac:dyDescent="0.15">
      <c r="A446" t="s">
        <v>72</v>
      </c>
      <c r="B446" t="s">
        <v>8886</v>
      </c>
      <c r="C446" t="s">
        <v>74</v>
      </c>
      <c r="D446" t="s">
        <v>74</v>
      </c>
      <c r="E446" t="s">
        <v>74</v>
      </c>
      <c r="F446" t="s">
        <v>8887</v>
      </c>
      <c r="G446" t="s">
        <v>74</v>
      </c>
      <c r="H446" t="s">
        <v>74</v>
      </c>
      <c r="I446" t="s">
        <v>8888</v>
      </c>
      <c r="J446" t="s">
        <v>8889</v>
      </c>
      <c r="K446" t="s">
        <v>74</v>
      </c>
      <c r="L446" t="s">
        <v>74</v>
      </c>
      <c r="M446" t="s">
        <v>78</v>
      </c>
      <c r="N446" t="s">
        <v>79</v>
      </c>
      <c r="O446" t="s">
        <v>74</v>
      </c>
      <c r="P446" t="s">
        <v>74</v>
      </c>
      <c r="Q446" t="s">
        <v>74</v>
      </c>
      <c r="R446" t="s">
        <v>74</v>
      </c>
      <c r="S446" t="s">
        <v>74</v>
      </c>
      <c r="T446" t="s">
        <v>8890</v>
      </c>
      <c r="U446" t="s">
        <v>8891</v>
      </c>
      <c r="V446" t="s">
        <v>8892</v>
      </c>
      <c r="W446" t="s">
        <v>8893</v>
      </c>
      <c r="X446" t="s">
        <v>8894</v>
      </c>
      <c r="Y446" t="s">
        <v>8895</v>
      </c>
      <c r="Z446" t="s">
        <v>8896</v>
      </c>
      <c r="AA446" t="s">
        <v>8897</v>
      </c>
      <c r="AB446" t="s">
        <v>74</v>
      </c>
      <c r="AC446" t="s">
        <v>8898</v>
      </c>
      <c r="AD446" t="s">
        <v>8899</v>
      </c>
      <c r="AE446" t="s">
        <v>8900</v>
      </c>
      <c r="AF446" t="s">
        <v>74</v>
      </c>
      <c r="AG446">
        <v>11</v>
      </c>
      <c r="AH446">
        <v>4</v>
      </c>
      <c r="AI446">
        <v>4</v>
      </c>
      <c r="AJ446">
        <v>0</v>
      </c>
      <c r="AK446">
        <v>21</v>
      </c>
      <c r="AL446" t="s">
        <v>1239</v>
      </c>
      <c r="AM446" t="s">
        <v>448</v>
      </c>
      <c r="AN446" t="s">
        <v>5095</v>
      </c>
      <c r="AO446" t="s">
        <v>8901</v>
      </c>
      <c r="AP446" t="s">
        <v>8902</v>
      </c>
      <c r="AQ446" t="s">
        <v>74</v>
      </c>
      <c r="AR446" t="s">
        <v>8903</v>
      </c>
      <c r="AS446" t="s">
        <v>8904</v>
      </c>
      <c r="AT446" t="s">
        <v>8905</v>
      </c>
      <c r="AU446">
        <v>2015</v>
      </c>
      <c r="AV446">
        <v>19</v>
      </c>
      <c r="AW446">
        <v>2</v>
      </c>
      <c r="AX446" t="s">
        <v>74</v>
      </c>
      <c r="AY446" t="s">
        <v>74</v>
      </c>
      <c r="AZ446" t="s">
        <v>74</v>
      </c>
      <c r="BA446" t="s">
        <v>74</v>
      </c>
      <c r="BB446">
        <v>156</v>
      </c>
      <c r="BC446">
        <v>159</v>
      </c>
      <c r="BD446" t="s">
        <v>74</v>
      </c>
      <c r="BE446" t="s">
        <v>8906</v>
      </c>
      <c r="BF446" t="str">
        <f>HYPERLINK("http://dx.doi.org/10.1080/19768354.2014.1003600","http://dx.doi.org/10.1080/19768354.2014.1003600")</f>
        <v>http://dx.doi.org/10.1080/19768354.2014.1003600</v>
      </c>
      <c r="BG446" t="s">
        <v>74</v>
      </c>
      <c r="BH446" t="s">
        <v>74</v>
      </c>
      <c r="BI446">
        <v>4</v>
      </c>
      <c r="BJ446" t="s">
        <v>8907</v>
      </c>
      <c r="BK446" t="s">
        <v>100</v>
      </c>
      <c r="BL446" t="s">
        <v>8907</v>
      </c>
      <c r="BM446" t="s">
        <v>8908</v>
      </c>
      <c r="BN446" t="s">
        <v>74</v>
      </c>
      <c r="BO446" t="s">
        <v>156</v>
      </c>
      <c r="BP446" t="s">
        <v>74</v>
      </c>
      <c r="BQ446" t="s">
        <v>74</v>
      </c>
      <c r="BR446" t="s">
        <v>104</v>
      </c>
      <c r="BS446" t="s">
        <v>8909</v>
      </c>
      <c r="BT446" t="str">
        <f>HYPERLINK("https%3A%2F%2Fwww.webofscience.com%2Fwos%2Fwoscc%2Ffull-record%2FWOS:000353406800010","View Full Record in Web of Science")</f>
        <v>View Full Record in Web of Science</v>
      </c>
    </row>
    <row r="447" spans="1:72" x14ac:dyDescent="0.15">
      <c r="A447" t="s">
        <v>72</v>
      </c>
      <c r="B447" t="s">
        <v>8910</v>
      </c>
      <c r="C447" t="s">
        <v>74</v>
      </c>
      <c r="D447" t="s">
        <v>74</v>
      </c>
      <c r="E447" t="s">
        <v>74</v>
      </c>
      <c r="F447" t="s">
        <v>8911</v>
      </c>
      <c r="G447" t="s">
        <v>74</v>
      </c>
      <c r="H447" t="s">
        <v>74</v>
      </c>
      <c r="I447" t="s">
        <v>8912</v>
      </c>
      <c r="J447" t="s">
        <v>8913</v>
      </c>
      <c r="K447" t="s">
        <v>74</v>
      </c>
      <c r="L447" t="s">
        <v>74</v>
      </c>
      <c r="M447" t="s">
        <v>78</v>
      </c>
      <c r="N447" t="s">
        <v>79</v>
      </c>
      <c r="O447" t="s">
        <v>74</v>
      </c>
      <c r="P447" t="s">
        <v>74</v>
      </c>
      <c r="Q447" t="s">
        <v>74</v>
      </c>
      <c r="R447" t="s">
        <v>74</v>
      </c>
      <c r="S447" t="s">
        <v>74</v>
      </c>
      <c r="T447" t="s">
        <v>8914</v>
      </c>
      <c r="U447" t="s">
        <v>8915</v>
      </c>
      <c r="V447" t="s">
        <v>8916</v>
      </c>
      <c r="W447" t="s">
        <v>8917</v>
      </c>
      <c r="X447" t="s">
        <v>8918</v>
      </c>
      <c r="Y447" t="s">
        <v>8919</v>
      </c>
      <c r="Z447" t="s">
        <v>8920</v>
      </c>
      <c r="AA447" t="s">
        <v>8921</v>
      </c>
      <c r="AB447" t="s">
        <v>8922</v>
      </c>
      <c r="AC447" t="s">
        <v>8923</v>
      </c>
      <c r="AD447" t="s">
        <v>8924</v>
      </c>
      <c r="AE447" t="s">
        <v>8925</v>
      </c>
      <c r="AF447" t="s">
        <v>74</v>
      </c>
      <c r="AG447">
        <v>41</v>
      </c>
      <c r="AH447">
        <v>46</v>
      </c>
      <c r="AI447">
        <v>47</v>
      </c>
      <c r="AJ447">
        <v>2</v>
      </c>
      <c r="AK447">
        <v>37</v>
      </c>
      <c r="AL447" t="s">
        <v>1239</v>
      </c>
      <c r="AM447" t="s">
        <v>448</v>
      </c>
      <c r="AN447" t="s">
        <v>1240</v>
      </c>
      <c r="AO447" t="s">
        <v>8926</v>
      </c>
      <c r="AP447" t="s">
        <v>8927</v>
      </c>
      <c r="AQ447" t="s">
        <v>74</v>
      </c>
      <c r="AR447" t="s">
        <v>8928</v>
      </c>
      <c r="AS447" t="s">
        <v>8929</v>
      </c>
      <c r="AT447" t="s">
        <v>8905</v>
      </c>
      <c r="AU447">
        <v>2015</v>
      </c>
      <c r="AV447">
        <v>52</v>
      </c>
      <c r="AW447">
        <v>2</v>
      </c>
      <c r="AX447" t="s">
        <v>74</v>
      </c>
      <c r="AY447" t="s">
        <v>74</v>
      </c>
      <c r="AZ447" t="s">
        <v>74</v>
      </c>
      <c r="BA447" t="s">
        <v>74</v>
      </c>
      <c r="BB447">
        <v>239</v>
      </c>
      <c r="BC447">
        <v>256</v>
      </c>
      <c r="BD447" t="s">
        <v>74</v>
      </c>
      <c r="BE447" t="s">
        <v>8930</v>
      </c>
      <c r="BF447" t="str">
        <f>HYPERLINK("http://dx.doi.org/10.1080/15481603.2015.1026050","http://dx.doi.org/10.1080/15481603.2015.1026050")</f>
        <v>http://dx.doi.org/10.1080/15481603.2015.1026050</v>
      </c>
      <c r="BG447" t="s">
        <v>74</v>
      </c>
      <c r="BH447" t="s">
        <v>74</v>
      </c>
      <c r="BI447">
        <v>18</v>
      </c>
      <c r="BJ447" t="s">
        <v>8931</v>
      </c>
      <c r="BK447" t="s">
        <v>100</v>
      </c>
      <c r="BL447" t="s">
        <v>8932</v>
      </c>
      <c r="BM447" t="s">
        <v>8933</v>
      </c>
      <c r="BN447" t="s">
        <v>74</v>
      </c>
      <c r="BO447" t="s">
        <v>156</v>
      </c>
      <c r="BP447" t="s">
        <v>74</v>
      </c>
      <c r="BQ447" t="s">
        <v>74</v>
      </c>
      <c r="BR447" t="s">
        <v>104</v>
      </c>
      <c r="BS447" t="s">
        <v>8934</v>
      </c>
      <c r="BT447" t="str">
        <f>HYPERLINK("https%3A%2F%2Fwww.webofscience.com%2Fwos%2Fwoscc%2Ffull-record%2FWOS:000352288700007","View Full Record in Web of Science")</f>
        <v>View Full Record in Web of Science</v>
      </c>
    </row>
    <row r="448" spans="1:72" x14ac:dyDescent="0.15">
      <c r="A448" t="s">
        <v>72</v>
      </c>
      <c r="B448" t="s">
        <v>8935</v>
      </c>
      <c r="C448" t="s">
        <v>74</v>
      </c>
      <c r="D448" t="s">
        <v>74</v>
      </c>
      <c r="E448" t="s">
        <v>74</v>
      </c>
      <c r="F448" t="s">
        <v>8936</v>
      </c>
      <c r="G448" t="s">
        <v>74</v>
      </c>
      <c r="H448" t="s">
        <v>74</v>
      </c>
      <c r="I448" t="s">
        <v>8937</v>
      </c>
      <c r="J448" t="s">
        <v>936</v>
      </c>
      <c r="K448" t="s">
        <v>74</v>
      </c>
      <c r="L448" t="s">
        <v>74</v>
      </c>
      <c r="M448" t="s">
        <v>78</v>
      </c>
      <c r="N448" t="s">
        <v>79</v>
      </c>
      <c r="O448" t="s">
        <v>74</v>
      </c>
      <c r="P448" t="s">
        <v>74</v>
      </c>
      <c r="Q448" t="s">
        <v>74</v>
      </c>
      <c r="R448" t="s">
        <v>74</v>
      </c>
      <c r="S448" t="s">
        <v>74</v>
      </c>
      <c r="T448" t="s">
        <v>74</v>
      </c>
      <c r="U448" t="s">
        <v>8938</v>
      </c>
      <c r="V448" t="s">
        <v>8939</v>
      </c>
      <c r="W448" t="s">
        <v>8940</v>
      </c>
      <c r="X448" t="s">
        <v>8941</v>
      </c>
      <c r="Y448" t="s">
        <v>8942</v>
      </c>
      <c r="Z448" t="s">
        <v>8943</v>
      </c>
      <c r="AA448" t="s">
        <v>8944</v>
      </c>
      <c r="AB448" t="s">
        <v>8945</v>
      </c>
      <c r="AC448" t="s">
        <v>8946</v>
      </c>
      <c r="AD448" t="s">
        <v>8947</v>
      </c>
      <c r="AE448" t="s">
        <v>8948</v>
      </c>
      <c r="AF448" t="s">
        <v>74</v>
      </c>
      <c r="AG448">
        <v>43</v>
      </c>
      <c r="AH448">
        <v>27</v>
      </c>
      <c r="AI448">
        <v>28</v>
      </c>
      <c r="AJ448">
        <v>1</v>
      </c>
      <c r="AK448">
        <v>62</v>
      </c>
      <c r="AL448" t="s">
        <v>946</v>
      </c>
      <c r="AM448" t="s">
        <v>947</v>
      </c>
      <c r="AN448" t="s">
        <v>948</v>
      </c>
      <c r="AO448" t="s">
        <v>949</v>
      </c>
      <c r="AP448" t="s">
        <v>74</v>
      </c>
      <c r="AQ448" t="s">
        <v>74</v>
      </c>
      <c r="AR448" t="s">
        <v>936</v>
      </c>
      <c r="AS448" t="s">
        <v>950</v>
      </c>
      <c r="AT448" t="s">
        <v>8905</v>
      </c>
      <c r="AU448">
        <v>2015</v>
      </c>
      <c r="AV448">
        <v>10</v>
      </c>
      <c r="AW448">
        <v>3</v>
      </c>
      <c r="AX448" t="s">
        <v>74</v>
      </c>
      <c r="AY448" t="s">
        <v>74</v>
      </c>
      <c r="AZ448" t="s">
        <v>74</v>
      </c>
      <c r="BA448" t="s">
        <v>74</v>
      </c>
      <c r="BB448" t="s">
        <v>74</v>
      </c>
      <c r="BC448" t="s">
        <v>74</v>
      </c>
      <c r="BD448" t="s">
        <v>8949</v>
      </c>
      <c r="BE448" t="s">
        <v>8950</v>
      </c>
      <c r="BF448" t="str">
        <f>HYPERLINK("http://dx.doi.org/10.1371/journal.pone.0118113","http://dx.doi.org/10.1371/journal.pone.0118113")</f>
        <v>http://dx.doi.org/10.1371/journal.pone.0118113</v>
      </c>
      <c r="BG448" t="s">
        <v>74</v>
      </c>
      <c r="BH448" t="s">
        <v>74</v>
      </c>
      <c r="BI448">
        <v>14</v>
      </c>
      <c r="BJ448" t="s">
        <v>429</v>
      </c>
      <c r="BK448" t="s">
        <v>100</v>
      </c>
      <c r="BL448" t="s">
        <v>430</v>
      </c>
      <c r="BM448" t="s">
        <v>8951</v>
      </c>
      <c r="BN448">
        <v>25738698</v>
      </c>
      <c r="BO448" t="s">
        <v>8952</v>
      </c>
      <c r="BP448" t="s">
        <v>74</v>
      </c>
      <c r="BQ448" t="s">
        <v>74</v>
      </c>
      <c r="BR448" t="s">
        <v>104</v>
      </c>
      <c r="BS448" t="s">
        <v>8953</v>
      </c>
      <c r="BT448" t="str">
        <f>HYPERLINK("https%3A%2F%2Fwww.webofscience.com%2Fwos%2Fwoscc%2Ffull-record%2FWOS:000350685900022","View Full Record in Web of Science")</f>
        <v>View Full Record in Web of Science</v>
      </c>
    </row>
    <row r="449" spans="1:72" x14ac:dyDescent="0.15">
      <c r="A449" t="s">
        <v>72</v>
      </c>
      <c r="B449" t="s">
        <v>8954</v>
      </c>
      <c r="C449" t="s">
        <v>74</v>
      </c>
      <c r="D449" t="s">
        <v>74</v>
      </c>
      <c r="E449" t="s">
        <v>74</v>
      </c>
      <c r="F449" t="s">
        <v>8955</v>
      </c>
      <c r="G449" t="s">
        <v>74</v>
      </c>
      <c r="H449" t="s">
        <v>74</v>
      </c>
      <c r="I449" t="s">
        <v>8956</v>
      </c>
      <c r="J449" t="s">
        <v>8957</v>
      </c>
      <c r="K449" t="s">
        <v>74</v>
      </c>
      <c r="L449" t="s">
        <v>74</v>
      </c>
      <c r="M449" t="s">
        <v>78</v>
      </c>
      <c r="N449" t="s">
        <v>79</v>
      </c>
      <c r="O449" t="s">
        <v>74</v>
      </c>
      <c r="P449" t="s">
        <v>74</v>
      </c>
      <c r="Q449" t="s">
        <v>74</v>
      </c>
      <c r="R449" t="s">
        <v>74</v>
      </c>
      <c r="S449" t="s">
        <v>74</v>
      </c>
      <c r="T449" t="s">
        <v>8958</v>
      </c>
      <c r="U449" t="s">
        <v>8959</v>
      </c>
      <c r="V449" t="s">
        <v>8960</v>
      </c>
      <c r="W449" t="s">
        <v>8961</v>
      </c>
      <c r="X449" t="s">
        <v>8962</v>
      </c>
      <c r="Y449" t="s">
        <v>8963</v>
      </c>
      <c r="Z449" t="s">
        <v>8964</v>
      </c>
      <c r="AA449" t="s">
        <v>8965</v>
      </c>
      <c r="AB449" t="s">
        <v>74</v>
      </c>
      <c r="AC449" t="s">
        <v>8966</v>
      </c>
      <c r="AD449" t="s">
        <v>7847</v>
      </c>
      <c r="AE449" t="s">
        <v>8967</v>
      </c>
      <c r="AF449" t="s">
        <v>74</v>
      </c>
      <c r="AG449">
        <v>62</v>
      </c>
      <c r="AH449">
        <v>31</v>
      </c>
      <c r="AI449">
        <v>32</v>
      </c>
      <c r="AJ449">
        <v>0</v>
      </c>
      <c r="AK449">
        <v>15</v>
      </c>
      <c r="AL449" t="s">
        <v>8968</v>
      </c>
      <c r="AM449" t="s">
        <v>8969</v>
      </c>
      <c r="AN449" t="s">
        <v>8970</v>
      </c>
      <c r="AO449" t="s">
        <v>8971</v>
      </c>
      <c r="AP449" t="s">
        <v>8972</v>
      </c>
      <c r="AQ449" t="s">
        <v>74</v>
      </c>
      <c r="AR449" t="s">
        <v>8973</v>
      </c>
      <c r="AS449" t="s">
        <v>8974</v>
      </c>
      <c r="AT449" t="s">
        <v>8975</v>
      </c>
      <c r="AU449">
        <v>2015</v>
      </c>
      <c r="AV449">
        <v>53</v>
      </c>
      <c r="AW449">
        <v>2</v>
      </c>
      <c r="AX449" t="s">
        <v>74</v>
      </c>
      <c r="AY449" t="s">
        <v>74</v>
      </c>
      <c r="AZ449" t="s">
        <v>74</v>
      </c>
      <c r="BA449" t="s">
        <v>74</v>
      </c>
      <c r="BB449">
        <v>249</v>
      </c>
      <c r="BC449">
        <v>271</v>
      </c>
      <c r="BD449" t="s">
        <v>74</v>
      </c>
      <c r="BE449" t="s">
        <v>8976</v>
      </c>
      <c r="BF449" t="str">
        <f>HYPERLINK("http://dx.doi.org/10.3749/canmin.1400081","http://dx.doi.org/10.3749/canmin.1400081")</f>
        <v>http://dx.doi.org/10.3749/canmin.1400081</v>
      </c>
      <c r="BG449" t="s">
        <v>74</v>
      </c>
      <c r="BH449" t="s">
        <v>74</v>
      </c>
      <c r="BI449">
        <v>23</v>
      </c>
      <c r="BJ449" t="s">
        <v>8977</v>
      </c>
      <c r="BK449" t="s">
        <v>100</v>
      </c>
      <c r="BL449" t="s">
        <v>8977</v>
      </c>
      <c r="BM449" t="s">
        <v>8978</v>
      </c>
      <c r="BN449" t="s">
        <v>74</v>
      </c>
      <c r="BO449" t="s">
        <v>74</v>
      </c>
      <c r="BP449" t="s">
        <v>74</v>
      </c>
      <c r="BQ449" t="s">
        <v>74</v>
      </c>
      <c r="BR449" t="s">
        <v>104</v>
      </c>
      <c r="BS449" t="s">
        <v>8979</v>
      </c>
      <c r="BT449" t="str">
        <f>HYPERLINK("https%3A%2F%2Fwww.webofscience.com%2Fwos%2Fwoscc%2Ffull-record%2FWOS:000362880900007","View Full Record in Web of Science")</f>
        <v>View Full Record in Web of Science</v>
      </c>
    </row>
    <row r="450" spans="1:72" x14ac:dyDescent="0.15">
      <c r="A450" t="s">
        <v>72</v>
      </c>
      <c r="B450" t="s">
        <v>8980</v>
      </c>
      <c r="C450" t="s">
        <v>74</v>
      </c>
      <c r="D450" t="s">
        <v>74</v>
      </c>
      <c r="E450" t="s">
        <v>74</v>
      </c>
      <c r="F450" t="s">
        <v>8981</v>
      </c>
      <c r="G450" t="s">
        <v>74</v>
      </c>
      <c r="H450" t="s">
        <v>74</v>
      </c>
      <c r="I450" t="s">
        <v>8982</v>
      </c>
      <c r="J450" t="s">
        <v>8983</v>
      </c>
      <c r="K450" t="s">
        <v>74</v>
      </c>
      <c r="L450" t="s">
        <v>74</v>
      </c>
      <c r="M450" t="s">
        <v>78</v>
      </c>
      <c r="N450" t="s">
        <v>79</v>
      </c>
      <c r="O450" t="s">
        <v>74</v>
      </c>
      <c r="P450" t="s">
        <v>74</v>
      </c>
      <c r="Q450" t="s">
        <v>74</v>
      </c>
      <c r="R450" t="s">
        <v>74</v>
      </c>
      <c r="S450" t="s">
        <v>74</v>
      </c>
      <c r="T450" t="s">
        <v>8984</v>
      </c>
      <c r="U450" t="s">
        <v>8985</v>
      </c>
      <c r="V450" t="s">
        <v>8986</v>
      </c>
      <c r="W450" t="s">
        <v>8987</v>
      </c>
      <c r="X450" t="s">
        <v>74</v>
      </c>
      <c r="Y450" t="s">
        <v>8988</v>
      </c>
      <c r="Z450" t="s">
        <v>8989</v>
      </c>
      <c r="AA450" t="s">
        <v>8990</v>
      </c>
      <c r="AB450" t="s">
        <v>8991</v>
      </c>
      <c r="AC450" t="s">
        <v>74</v>
      </c>
      <c r="AD450" t="s">
        <v>74</v>
      </c>
      <c r="AE450" t="s">
        <v>74</v>
      </c>
      <c r="AF450" t="s">
        <v>74</v>
      </c>
      <c r="AG450">
        <v>16</v>
      </c>
      <c r="AH450">
        <v>2</v>
      </c>
      <c r="AI450">
        <v>3</v>
      </c>
      <c r="AJ450">
        <v>0</v>
      </c>
      <c r="AK450">
        <v>11</v>
      </c>
      <c r="AL450" t="s">
        <v>8992</v>
      </c>
      <c r="AM450" t="s">
        <v>8993</v>
      </c>
      <c r="AN450" t="s">
        <v>8994</v>
      </c>
      <c r="AO450" t="s">
        <v>8995</v>
      </c>
      <c r="AP450" t="s">
        <v>74</v>
      </c>
      <c r="AQ450" t="s">
        <v>74</v>
      </c>
      <c r="AR450" t="s">
        <v>8996</v>
      </c>
      <c r="AS450" t="s">
        <v>8997</v>
      </c>
      <c r="AT450" t="s">
        <v>8998</v>
      </c>
      <c r="AU450">
        <v>2015</v>
      </c>
      <c r="AV450">
        <v>1</v>
      </c>
      <c r="AW450">
        <v>2</v>
      </c>
      <c r="AX450" t="s">
        <v>74</v>
      </c>
      <c r="AY450" t="s">
        <v>74</v>
      </c>
      <c r="AZ450" t="s">
        <v>74</v>
      </c>
      <c r="BA450" t="s">
        <v>74</v>
      </c>
      <c r="BB450">
        <v>137</v>
      </c>
      <c r="BC450">
        <v>144</v>
      </c>
      <c r="BD450" t="s">
        <v>74</v>
      </c>
      <c r="BE450" t="s">
        <v>8999</v>
      </c>
      <c r="BF450" t="str">
        <f>HYPERLINK("http://dx.doi.org/10.7508/gjesm.2015.02.005","http://dx.doi.org/10.7508/gjesm.2015.02.005")</f>
        <v>http://dx.doi.org/10.7508/gjesm.2015.02.005</v>
      </c>
      <c r="BG450" t="s">
        <v>74</v>
      </c>
      <c r="BH450" t="s">
        <v>74</v>
      </c>
      <c r="BI450">
        <v>8</v>
      </c>
      <c r="BJ450" t="s">
        <v>2957</v>
      </c>
      <c r="BK450" t="s">
        <v>888</v>
      </c>
      <c r="BL450" t="s">
        <v>1048</v>
      </c>
      <c r="BM450" t="s">
        <v>9000</v>
      </c>
      <c r="BN450" t="s">
        <v>74</v>
      </c>
      <c r="BO450" t="s">
        <v>74</v>
      </c>
      <c r="BP450" t="s">
        <v>74</v>
      </c>
      <c r="BQ450" t="s">
        <v>74</v>
      </c>
      <c r="BR450" t="s">
        <v>104</v>
      </c>
      <c r="BS450" t="s">
        <v>9001</v>
      </c>
      <c r="BT450" t="str">
        <f>HYPERLINK("https%3A%2F%2Fwww.webofscience.com%2Fwos%2Fwoscc%2Ffull-record%2FWOS:000359991900005","View Full Record in Web of Science")</f>
        <v>View Full Record in Web of Science</v>
      </c>
    </row>
    <row r="451" spans="1:72" x14ac:dyDescent="0.15">
      <c r="A451" t="s">
        <v>72</v>
      </c>
      <c r="B451" t="s">
        <v>9002</v>
      </c>
      <c r="C451" t="s">
        <v>74</v>
      </c>
      <c r="D451" t="s">
        <v>74</v>
      </c>
      <c r="E451" t="s">
        <v>74</v>
      </c>
      <c r="F451" t="s">
        <v>9003</v>
      </c>
      <c r="G451" t="s">
        <v>74</v>
      </c>
      <c r="H451" t="s">
        <v>74</v>
      </c>
      <c r="I451" t="s">
        <v>9004</v>
      </c>
      <c r="J451" t="s">
        <v>9005</v>
      </c>
      <c r="K451" t="s">
        <v>74</v>
      </c>
      <c r="L451" t="s">
        <v>74</v>
      </c>
      <c r="M451" t="s">
        <v>78</v>
      </c>
      <c r="N451" t="s">
        <v>79</v>
      </c>
      <c r="O451" t="s">
        <v>74</v>
      </c>
      <c r="P451" t="s">
        <v>74</v>
      </c>
      <c r="Q451" t="s">
        <v>74</v>
      </c>
      <c r="R451" t="s">
        <v>74</v>
      </c>
      <c r="S451" t="s">
        <v>74</v>
      </c>
      <c r="T451" t="s">
        <v>9006</v>
      </c>
      <c r="U451" t="s">
        <v>74</v>
      </c>
      <c r="V451" t="s">
        <v>9007</v>
      </c>
      <c r="W451" t="s">
        <v>9008</v>
      </c>
      <c r="X451" t="s">
        <v>9009</v>
      </c>
      <c r="Y451" t="s">
        <v>9010</v>
      </c>
      <c r="Z451" t="s">
        <v>9011</v>
      </c>
      <c r="AA451" t="s">
        <v>74</v>
      </c>
      <c r="AB451" t="s">
        <v>74</v>
      </c>
      <c r="AC451" t="s">
        <v>9012</v>
      </c>
      <c r="AD451" t="s">
        <v>9013</v>
      </c>
      <c r="AE451" t="s">
        <v>9014</v>
      </c>
      <c r="AF451" t="s">
        <v>74</v>
      </c>
      <c r="AG451">
        <v>14</v>
      </c>
      <c r="AH451">
        <v>1</v>
      </c>
      <c r="AI451">
        <v>1</v>
      </c>
      <c r="AJ451">
        <v>0</v>
      </c>
      <c r="AK451">
        <v>1</v>
      </c>
      <c r="AL451" t="s">
        <v>9015</v>
      </c>
      <c r="AM451" t="s">
        <v>9016</v>
      </c>
      <c r="AN451" t="s">
        <v>9017</v>
      </c>
      <c r="AO451" t="s">
        <v>9018</v>
      </c>
      <c r="AP451" t="s">
        <v>74</v>
      </c>
      <c r="AQ451" t="s">
        <v>74</v>
      </c>
      <c r="AR451" t="s">
        <v>9019</v>
      </c>
      <c r="AS451" t="s">
        <v>9020</v>
      </c>
      <c r="AT451" t="s">
        <v>8975</v>
      </c>
      <c r="AU451">
        <v>2015</v>
      </c>
      <c r="AV451">
        <v>23</v>
      </c>
      <c r="AW451">
        <v>1</v>
      </c>
      <c r="AX451" t="s">
        <v>74</v>
      </c>
      <c r="AY451" t="s">
        <v>74</v>
      </c>
      <c r="AZ451" t="s">
        <v>74</v>
      </c>
      <c r="BA451" t="s">
        <v>74</v>
      </c>
      <c r="BB451">
        <v>29</v>
      </c>
      <c r="BC451">
        <v>30</v>
      </c>
      <c r="BD451" t="s">
        <v>74</v>
      </c>
      <c r="BE451" t="s">
        <v>74</v>
      </c>
      <c r="BF451" t="s">
        <v>74</v>
      </c>
      <c r="BG451" t="s">
        <v>74</v>
      </c>
      <c r="BH451" t="s">
        <v>74</v>
      </c>
      <c r="BI451">
        <v>2</v>
      </c>
      <c r="BJ451" t="s">
        <v>2124</v>
      </c>
      <c r="BK451" t="s">
        <v>100</v>
      </c>
      <c r="BL451" t="s">
        <v>509</v>
      </c>
      <c r="BM451" t="s">
        <v>9021</v>
      </c>
      <c r="BN451" t="s">
        <v>74</v>
      </c>
      <c r="BO451" t="s">
        <v>74</v>
      </c>
      <c r="BP451" t="s">
        <v>74</v>
      </c>
      <c r="BQ451" t="s">
        <v>74</v>
      </c>
      <c r="BR451" t="s">
        <v>104</v>
      </c>
      <c r="BS451" t="s">
        <v>9022</v>
      </c>
      <c r="BT451" t="str">
        <f>HYPERLINK("https%3A%2F%2Fwww.webofscience.com%2Fwos%2Fwoscc%2Ffull-record%2FWOS:000358385300008","View Full Record in Web of Science")</f>
        <v>View Full Record in Web of Science</v>
      </c>
    </row>
    <row r="452" spans="1:72" x14ac:dyDescent="0.15">
      <c r="A452" t="s">
        <v>72</v>
      </c>
      <c r="B452" t="s">
        <v>9023</v>
      </c>
      <c r="C452" t="s">
        <v>74</v>
      </c>
      <c r="D452" t="s">
        <v>74</v>
      </c>
      <c r="E452" t="s">
        <v>74</v>
      </c>
      <c r="F452" t="s">
        <v>9024</v>
      </c>
      <c r="G452" t="s">
        <v>74</v>
      </c>
      <c r="H452" t="s">
        <v>74</v>
      </c>
      <c r="I452" t="s">
        <v>9025</v>
      </c>
      <c r="J452" t="s">
        <v>1427</v>
      </c>
      <c r="K452" t="s">
        <v>74</v>
      </c>
      <c r="L452" t="s">
        <v>74</v>
      </c>
      <c r="M452" t="s">
        <v>78</v>
      </c>
      <c r="N452" t="s">
        <v>79</v>
      </c>
      <c r="O452" t="s">
        <v>74</v>
      </c>
      <c r="P452" t="s">
        <v>74</v>
      </c>
      <c r="Q452" t="s">
        <v>74</v>
      </c>
      <c r="R452" t="s">
        <v>74</v>
      </c>
      <c r="S452" t="s">
        <v>74</v>
      </c>
      <c r="T452" t="s">
        <v>9026</v>
      </c>
      <c r="U452" t="s">
        <v>9027</v>
      </c>
      <c r="V452" t="s">
        <v>9028</v>
      </c>
      <c r="W452" t="s">
        <v>9029</v>
      </c>
      <c r="X452" t="s">
        <v>9030</v>
      </c>
      <c r="Y452" t="s">
        <v>9031</v>
      </c>
      <c r="Z452" t="s">
        <v>9032</v>
      </c>
      <c r="AA452" t="s">
        <v>9033</v>
      </c>
      <c r="AB452" t="s">
        <v>9034</v>
      </c>
      <c r="AC452" t="s">
        <v>9035</v>
      </c>
      <c r="AD452" t="s">
        <v>9036</v>
      </c>
      <c r="AE452" t="s">
        <v>9037</v>
      </c>
      <c r="AF452" t="s">
        <v>74</v>
      </c>
      <c r="AG452">
        <v>38</v>
      </c>
      <c r="AH452">
        <v>4</v>
      </c>
      <c r="AI452">
        <v>4</v>
      </c>
      <c r="AJ452">
        <v>3</v>
      </c>
      <c r="AK452">
        <v>35</v>
      </c>
      <c r="AL452" t="s">
        <v>266</v>
      </c>
      <c r="AM452" t="s">
        <v>267</v>
      </c>
      <c r="AN452" t="s">
        <v>268</v>
      </c>
      <c r="AO452" t="s">
        <v>74</v>
      </c>
      <c r="AP452" t="s">
        <v>1436</v>
      </c>
      <c r="AQ452" t="s">
        <v>74</v>
      </c>
      <c r="AR452" t="s">
        <v>1427</v>
      </c>
      <c r="AS452" t="s">
        <v>1437</v>
      </c>
      <c r="AT452" t="s">
        <v>8975</v>
      </c>
      <c r="AU452">
        <v>2015</v>
      </c>
      <c r="AV452">
        <v>3</v>
      </c>
      <c r="AW452">
        <v>3</v>
      </c>
      <c r="AX452" t="s">
        <v>74</v>
      </c>
      <c r="AY452" t="s">
        <v>74</v>
      </c>
      <c r="AZ452" t="s">
        <v>74</v>
      </c>
      <c r="BA452" t="s">
        <v>74</v>
      </c>
      <c r="BB452">
        <v>95</v>
      </c>
      <c r="BC452">
        <v>109</v>
      </c>
      <c r="BD452" t="s">
        <v>74</v>
      </c>
      <c r="BE452" t="s">
        <v>9038</v>
      </c>
      <c r="BF452" t="str">
        <f>HYPERLINK("http://dx.doi.org/10.1002/2014EF000270","http://dx.doi.org/10.1002/2014EF000270")</f>
        <v>http://dx.doi.org/10.1002/2014EF000270</v>
      </c>
      <c r="BG452" t="s">
        <v>74</v>
      </c>
      <c r="BH452" t="s">
        <v>74</v>
      </c>
      <c r="BI452">
        <v>15</v>
      </c>
      <c r="BJ452" t="s">
        <v>1439</v>
      </c>
      <c r="BK452" t="s">
        <v>100</v>
      </c>
      <c r="BL452" t="s">
        <v>1440</v>
      </c>
      <c r="BM452" t="s">
        <v>9039</v>
      </c>
      <c r="BN452" t="s">
        <v>74</v>
      </c>
      <c r="BO452" t="s">
        <v>559</v>
      </c>
      <c r="BP452" t="s">
        <v>74</v>
      </c>
      <c r="BQ452" t="s">
        <v>74</v>
      </c>
      <c r="BR452" t="s">
        <v>104</v>
      </c>
      <c r="BS452" t="s">
        <v>9040</v>
      </c>
      <c r="BT452" t="str">
        <f>HYPERLINK("https%3A%2F%2Fwww.webofscience.com%2Fwos%2Fwoscc%2Ffull-record%2FWOS:000358139800001","View Full Record in Web of Science")</f>
        <v>View Full Record in Web of Science</v>
      </c>
    </row>
    <row r="453" spans="1:72" x14ac:dyDescent="0.15">
      <c r="A453" t="s">
        <v>72</v>
      </c>
      <c r="B453" t="s">
        <v>9041</v>
      </c>
      <c r="C453" t="s">
        <v>74</v>
      </c>
      <c r="D453" t="s">
        <v>74</v>
      </c>
      <c r="E453" t="s">
        <v>74</v>
      </c>
      <c r="F453" t="s">
        <v>9042</v>
      </c>
      <c r="G453" t="s">
        <v>74</v>
      </c>
      <c r="H453" t="s">
        <v>74</v>
      </c>
      <c r="I453" t="s">
        <v>9043</v>
      </c>
      <c r="J453" t="s">
        <v>9044</v>
      </c>
      <c r="K453" t="s">
        <v>74</v>
      </c>
      <c r="L453" t="s">
        <v>74</v>
      </c>
      <c r="M453" t="s">
        <v>78</v>
      </c>
      <c r="N453" t="s">
        <v>79</v>
      </c>
      <c r="O453" t="s">
        <v>74</v>
      </c>
      <c r="P453" t="s">
        <v>74</v>
      </c>
      <c r="Q453" t="s">
        <v>74</v>
      </c>
      <c r="R453" t="s">
        <v>74</v>
      </c>
      <c r="S453" t="s">
        <v>74</v>
      </c>
      <c r="T453" t="s">
        <v>9045</v>
      </c>
      <c r="U453" t="s">
        <v>9046</v>
      </c>
      <c r="V453" t="s">
        <v>9047</v>
      </c>
      <c r="W453" t="s">
        <v>9048</v>
      </c>
      <c r="X453" t="s">
        <v>9049</v>
      </c>
      <c r="Y453" t="s">
        <v>9050</v>
      </c>
      <c r="Z453" t="s">
        <v>9051</v>
      </c>
      <c r="AA453" t="s">
        <v>9052</v>
      </c>
      <c r="AB453" t="s">
        <v>9053</v>
      </c>
      <c r="AC453" t="s">
        <v>74</v>
      </c>
      <c r="AD453" t="s">
        <v>74</v>
      </c>
      <c r="AE453" t="s">
        <v>74</v>
      </c>
      <c r="AF453" t="s">
        <v>74</v>
      </c>
      <c r="AG453">
        <v>49</v>
      </c>
      <c r="AH453">
        <v>7</v>
      </c>
      <c r="AI453">
        <v>8</v>
      </c>
      <c r="AJ453">
        <v>0</v>
      </c>
      <c r="AK453">
        <v>11</v>
      </c>
      <c r="AL453" t="s">
        <v>9054</v>
      </c>
      <c r="AM453" t="s">
        <v>9055</v>
      </c>
      <c r="AN453" t="s">
        <v>9056</v>
      </c>
      <c r="AO453" t="s">
        <v>9057</v>
      </c>
      <c r="AP453" t="s">
        <v>9058</v>
      </c>
      <c r="AQ453" t="s">
        <v>74</v>
      </c>
      <c r="AR453" t="s">
        <v>9059</v>
      </c>
      <c r="AS453" t="s">
        <v>9060</v>
      </c>
      <c r="AT453" t="s">
        <v>9061</v>
      </c>
      <c r="AU453">
        <v>2015</v>
      </c>
      <c r="AV453">
        <v>49</v>
      </c>
      <c r="AW453">
        <v>2</v>
      </c>
      <c r="AX453" t="s">
        <v>74</v>
      </c>
      <c r="AY453" t="s">
        <v>74</v>
      </c>
      <c r="AZ453" t="s">
        <v>74</v>
      </c>
      <c r="BA453" t="s">
        <v>74</v>
      </c>
      <c r="BB453">
        <v>87</v>
      </c>
      <c r="BC453">
        <v>98</v>
      </c>
      <c r="BD453" t="s">
        <v>74</v>
      </c>
      <c r="BE453" t="s">
        <v>9062</v>
      </c>
      <c r="BF453" t="str">
        <f>HYPERLINK("http://dx.doi.org/10.4031/MTSJ.49.2.9","http://dx.doi.org/10.4031/MTSJ.49.2.9")</f>
        <v>http://dx.doi.org/10.4031/MTSJ.49.2.9</v>
      </c>
      <c r="BG453" t="s">
        <v>74</v>
      </c>
      <c r="BH453" t="s">
        <v>74</v>
      </c>
      <c r="BI453">
        <v>12</v>
      </c>
      <c r="BJ453" t="s">
        <v>9063</v>
      </c>
      <c r="BK453" t="s">
        <v>100</v>
      </c>
      <c r="BL453" t="s">
        <v>9064</v>
      </c>
      <c r="BM453" t="s">
        <v>9065</v>
      </c>
      <c r="BN453" t="s">
        <v>74</v>
      </c>
      <c r="BO453" t="s">
        <v>2481</v>
      </c>
      <c r="BP453" t="s">
        <v>74</v>
      </c>
      <c r="BQ453" t="s">
        <v>74</v>
      </c>
      <c r="BR453" t="s">
        <v>104</v>
      </c>
      <c r="BS453" t="s">
        <v>9066</v>
      </c>
      <c r="BT453" t="str">
        <f>HYPERLINK("https%3A%2F%2Fwww.webofscience.com%2Fwos%2Fwoscc%2Ffull-record%2FWOS:000355064500010","View Full Record in Web of Science")</f>
        <v>View Full Record in Web of Science</v>
      </c>
    </row>
    <row r="454" spans="1:72" x14ac:dyDescent="0.15">
      <c r="A454" t="s">
        <v>72</v>
      </c>
      <c r="B454" t="s">
        <v>9067</v>
      </c>
      <c r="C454" t="s">
        <v>74</v>
      </c>
      <c r="D454" t="s">
        <v>74</v>
      </c>
      <c r="E454" t="s">
        <v>74</v>
      </c>
      <c r="F454" t="s">
        <v>9068</v>
      </c>
      <c r="G454" t="s">
        <v>74</v>
      </c>
      <c r="H454" t="s">
        <v>74</v>
      </c>
      <c r="I454" t="s">
        <v>9069</v>
      </c>
      <c r="J454" t="s">
        <v>9070</v>
      </c>
      <c r="K454" t="s">
        <v>74</v>
      </c>
      <c r="L454" t="s">
        <v>74</v>
      </c>
      <c r="M454" t="s">
        <v>78</v>
      </c>
      <c r="N454" t="s">
        <v>79</v>
      </c>
      <c r="O454" t="s">
        <v>74</v>
      </c>
      <c r="P454" t="s">
        <v>74</v>
      </c>
      <c r="Q454" t="s">
        <v>74</v>
      </c>
      <c r="R454" t="s">
        <v>74</v>
      </c>
      <c r="S454" t="s">
        <v>74</v>
      </c>
      <c r="T454" t="s">
        <v>9071</v>
      </c>
      <c r="U454" t="s">
        <v>9072</v>
      </c>
      <c r="V454" t="s">
        <v>9073</v>
      </c>
      <c r="W454" t="s">
        <v>9074</v>
      </c>
      <c r="X454" t="s">
        <v>9075</v>
      </c>
      <c r="Y454" t="s">
        <v>9076</v>
      </c>
      <c r="Z454" t="s">
        <v>9077</v>
      </c>
      <c r="AA454" t="s">
        <v>9078</v>
      </c>
      <c r="AB454" t="s">
        <v>9079</v>
      </c>
      <c r="AC454" t="s">
        <v>74</v>
      </c>
      <c r="AD454" t="s">
        <v>74</v>
      </c>
      <c r="AE454" t="s">
        <v>74</v>
      </c>
      <c r="AF454" t="s">
        <v>74</v>
      </c>
      <c r="AG454">
        <v>58</v>
      </c>
      <c r="AH454">
        <v>13</v>
      </c>
      <c r="AI454">
        <v>14</v>
      </c>
      <c r="AJ454">
        <v>1</v>
      </c>
      <c r="AK454">
        <v>33</v>
      </c>
      <c r="AL454" t="s">
        <v>9080</v>
      </c>
      <c r="AM454" t="s">
        <v>121</v>
      </c>
      <c r="AN454" t="s">
        <v>9081</v>
      </c>
      <c r="AO454" t="s">
        <v>9082</v>
      </c>
      <c r="AP454" t="s">
        <v>9083</v>
      </c>
      <c r="AQ454" t="s">
        <v>74</v>
      </c>
      <c r="AR454" t="s">
        <v>9084</v>
      </c>
      <c r="AS454" t="s">
        <v>9085</v>
      </c>
      <c r="AT454" t="s">
        <v>8975</v>
      </c>
      <c r="AU454">
        <v>2015</v>
      </c>
      <c r="AV454">
        <v>49</v>
      </c>
      <c r="AW454">
        <v>2</v>
      </c>
      <c r="AX454" t="s">
        <v>74</v>
      </c>
      <c r="AY454" t="s">
        <v>74</v>
      </c>
      <c r="AZ454" t="s">
        <v>74</v>
      </c>
      <c r="BA454" t="s">
        <v>74</v>
      </c>
      <c r="BB454">
        <v>139</v>
      </c>
      <c r="BC454">
        <v>145</v>
      </c>
      <c r="BD454" t="s">
        <v>74</v>
      </c>
      <c r="BE454" t="s">
        <v>9086</v>
      </c>
      <c r="BF454" t="str">
        <f>HYPERLINK("http://dx.doi.org/10.3103/S0095452715020085","http://dx.doi.org/10.3103/S0095452715020085")</f>
        <v>http://dx.doi.org/10.3103/S0095452715020085</v>
      </c>
      <c r="BG454" t="s">
        <v>74</v>
      </c>
      <c r="BH454" t="s">
        <v>74</v>
      </c>
      <c r="BI454">
        <v>7</v>
      </c>
      <c r="BJ454" t="s">
        <v>9087</v>
      </c>
      <c r="BK454" t="s">
        <v>100</v>
      </c>
      <c r="BL454" t="s">
        <v>9087</v>
      </c>
      <c r="BM454" t="s">
        <v>9088</v>
      </c>
      <c r="BN454" t="s">
        <v>74</v>
      </c>
      <c r="BO454" t="s">
        <v>74</v>
      </c>
      <c r="BP454" t="s">
        <v>74</v>
      </c>
      <c r="BQ454" t="s">
        <v>74</v>
      </c>
      <c r="BR454" t="s">
        <v>104</v>
      </c>
      <c r="BS454" t="s">
        <v>9089</v>
      </c>
      <c r="BT454" t="str">
        <f>HYPERLINK("https%3A%2F%2Fwww.webofscience.com%2Fwos%2Fwoscc%2Ffull-record%2FWOS:000354612300011","View Full Record in Web of Science")</f>
        <v>View Full Record in Web of Science</v>
      </c>
    </row>
    <row r="455" spans="1:72" x14ac:dyDescent="0.15">
      <c r="A455" t="s">
        <v>72</v>
      </c>
      <c r="B455" t="s">
        <v>9090</v>
      </c>
      <c r="C455" t="s">
        <v>74</v>
      </c>
      <c r="D455" t="s">
        <v>74</v>
      </c>
      <c r="E455" t="s">
        <v>74</v>
      </c>
      <c r="F455" t="s">
        <v>9091</v>
      </c>
      <c r="G455" t="s">
        <v>74</v>
      </c>
      <c r="H455" t="s">
        <v>74</v>
      </c>
      <c r="I455" t="s">
        <v>9092</v>
      </c>
      <c r="J455" t="s">
        <v>5429</v>
      </c>
      <c r="K455" t="s">
        <v>74</v>
      </c>
      <c r="L455" t="s">
        <v>74</v>
      </c>
      <c r="M455" t="s">
        <v>78</v>
      </c>
      <c r="N455" t="s">
        <v>79</v>
      </c>
      <c r="O455" t="s">
        <v>74</v>
      </c>
      <c r="P455" t="s">
        <v>74</v>
      </c>
      <c r="Q455" t="s">
        <v>74</v>
      </c>
      <c r="R455" t="s">
        <v>74</v>
      </c>
      <c r="S455" t="s">
        <v>74</v>
      </c>
      <c r="T455" t="s">
        <v>74</v>
      </c>
      <c r="U455" t="s">
        <v>9093</v>
      </c>
      <c r="V455" t="s">
        <v>9094</v>
      </c>
      <c r="W455" t="s">
        <v>9095</v>
      </c>
      <c r="X455" t="s">
        <v>9096</v>
      </c>
      <c r="Y455" t="s">
        <v>9097</v>
      </c>
      <c r="Z455" t="s">
        <v>9098</v>
      </c>
      <c r="AA455" t="s">
        <v>9099</v>
      </c>
      <c r="AB455" t="s">
        <v>9100</v>
      </c>
      <c r="AC455" t="s">
        <v>9101</v>
      </c>
      <c r="AD455" t="s">
        <v>9102</v>
      </c>
      <c r="AE455" t="s">
        <v>9103</v>
      </c>
      <c r="AF455" t="s">
        <v>74</v>
      </c>
      <c r="AG455">
        <v>110</v>
      </c>
      <c r="AH455">
        <v>39</v>
      </c>
      <c r="AI455">
        <v>40</v>
      </c>
      <c r="AJ455">
        <v>6</v>
      </c>
      <c r="AK455">
        <v>47</v>
      </c>
      <c r="AL455" t="s">
        <v>266</v>
      </c>
      <c r="AM455" t="s">
        <v>267</v>
      </c>
      <c r="AN455" t="s">
        <v>268</v>
      </c>
      <c r="AO455" t="s">
        <v>5441</v>
      </c>
      <c r="AP455" t="s">
        <v>5442</v>
      </c>
      <c r="AQ455" t="s">
        <v>74</v>
      </c>
      <c r="AR455" t="s">
        <v>5443</v>
      </c>
      <c r="AS455" t="s">
        <v>5444</v>
      </c>
      <c r="AT455" t="s">
        <v>8975</v>
      </c>
      <c r="AU455">
        <v>2015</v>
      </c>
      <c r="AV455">
        <v>29</v>
      </c>
      <c r="AW455">
        <v>3</v>
      </c>
      <c r="AX455" t="s">
        <v>74</v>
      </c>
      <c r="AY455" t="s">
        <v>74</v>
      </c>
      <c r="AZ455" t="s">
        <v>74</v>
      </c>
      <c r="BA455" t="s">
        <v>74</v>
      </c>
      <c r="BB455">
        <v>357</v>
      </c>
      <c r="BC455">
        <v>374</v>
      </c>
      <c r="BD455" t="s">
        <v>74</v>
      </c>
      <c r="BE455" t="s">
        <v>9104</v>
      </c>
      <c r="BF455" t="str">
        <f>HYPERLINK("http://dx.doi.org/10.1002/2014GB004898","http://dx.doi.org/10.1002/2014GB004898")</f>
        <v>http://dx.doi.org/10.1002/2014GB004898</v>
      </c>
      <c r="BG455" t="s">
        <v>74</v>
      </c>
      <c r="BH455" t="s">
        <v>74</v>
      </c>
      <c r="BI455">
        <v>18</v>
      </c>
      <c r="BJ455" t="s">
        <v>1439</v>
      </c>
      <c r="BK455" t="s">
        <v>100</v>
      </c>
      <c r="BL455" t="s">
        <v>1440</v>
      </c>
      <c r="BM455" t="s">
        <v>9105</v>
      </c>
      <c r="BN455" t="s">
        <v>74</v>
      </c>
      <c r="BO455" t="s">
        <v>733</v>
      </c>
      <c r="BP455" t="s">
        <v>74</v>
      </c>
      <c r="BQ455" t="s">
        <v>74</v>
      </c>
      <c r="BR455" t="s">
        <v>104</v>
      </c>
      <c r="BS455" t="s">
        <v>9106</v>
      </c>
      <c r="BT455" t="str">
        <f>HYPERLINK("https%3A%2F%2Fwww.webofscience.com%2Fwos%2Fwoscc%2Ffull-record%2FWOS:000354382600006","View Full Record in Web of Science")</f>
        <v>View Full Record in Web of Science</v>
      </c>
    </row>
    <row r="456" spans="1:72" x14ac:dyDescent="0.15">
      <c r="A456" t="s">
        <v>72</v>
      </c>
      <c r="B456" t="s">
        <v>9107</v>
      </c>
      <c r="C456" t="s">
        <v>74</v>
      </c>
      <c r="D456" t="s">
        <v>74</v>
      </c>
      <c r="E456" t="s">
        <v>74</v>
      </c>
      <c r="F456" t="s">
        <v>9108</v>
      </c>
      <c r="G456" t="s">
        <v>74</v>
      </c>
      <c r="H456" t="s">
        <v>74</v>
      </c>
      <c r="I456" t="s">
        <v>9109</v>
      </c>
      <c r="J456" t="s">
        <v>3299</v>
      </c>
      <c r="K456" t="s">
        <v>74</v>
      </c>
      <c r="L456" t="s">
        <v>74</v>
      </c>
      <c r="M456" t="s">
        <v>78</v>
      </c>
      <c r="N456" t="s">
        <v>79</v>
      </c>
      <c r="O456" t="s">
        <v>74</v>
      </c>
      <c r="P456" t="s">
        <v>74</v>
      </c>
      <c r="Q456" t="s">
        <v>74</v>
      </c>
      <c r="R456" t="s">
        <v>74</v>
      </c>
      <c r="S456" t="s">
        <v>74</v>
      </c>
      <c r="T456" t="s">
        <v>74</v>
      </c>
      <c r="U456" t="s">
        <v>9110</v>
      </c>
      <c r="V456" t="s">
        <v>9111</v>
      </c>
      <c r="W456" t="s">
        <v>9112</v>
      </c>
      <c r="X456" t="s">
        <v>9113</v>
      </c>
      <c r="Y456" t="s">
        <v>9114</v>
      </c>
      <c r="Z456" t="s">
        <v>9115</v>
      </c>
      <c r="AA456" t="s">
        <v>74</v>
      </c>
      <c r="AB456" t="s">
        <v>74</v>
      </c>
      <c r="AC456" t="s">
        <v>9116</v>
      </c>
      <c r="AD456" t="s">
        <v>9116</v>
      </c>
      <c r="AE456" t="s">
        <v>9117</v>
      </c>
      <c r="AF456" t="s">
        <v>74</v>
      </c>
      <c r="AG456">
        <v>64</v>
      </c>
      <c r="AH456">
        <v>13</v>
      </c>
      <c r="AI456">
        <v>13</v>
      </c>
      <c r="AJ456">
        <v>0</v>
      </c>
      <c r="AK456">
        <v>11</v>
      </c>
      <c r="AL456" t="s">
        <v>2730</v>
      </c>
      <c r="AM456" t="s">
        <v>2731</v>
      </c>
      <c r="AN456" t="s">
        <v>2732</v>
      </c>
      <c r="AO456" t="s">
        <v>3310</v>
      </c>
      <c r="AP456" t="s">
        <v>3311</v>
      </c>
      <c r="AQ456" t="s">
        <v>74</v>
      </c>
      <c r="AR456" t="s">
        <v>3312</v>
      </c>
      <c r="AS456" t="s">
        <v>3313</v>
      </c>
      <c r="AT456" t="s">
        <v>8975</v>
      </c>
      <c r="AU456">
        <v>2015</v>
      </c>
      <c r="AV456">
        <v>123</v>
      </c>
      <c r="AW456">
        <v>2</v>
      </c>
      <c r="AX456" t="s">
        <v>74</v>
      </c>
      <c r="AY456" t="s">
        <v>74</v>
      </c>
      <c r="AZ456" t="s">
        <v>74</v>
      </c>
      <c r="BA456" t="s">
        <v>74</v>
      </c>
      <c r="BB456">
        <v>113</v>
      </c>
      <c r="BC456">
        <v>132</v>
      </c>
      <c r="BD456" t="s">
        <v>74</v>
      </c>
      <c r="BE456" t="s">
        <v>9118</v>
      </c>
      <c r="BF456" t="str">
        <f>HYPERLINK("http://dx.doi.org/10.1086/680339","http://dx.doi.org/10.1086/680339")</f>
        <v>http://dx.doi.org/10.1086/680339</v>
      </c>
      <c r="BG456" t="s">
        <v>74</v>
      </c>
      <c r="BH456" t="s">
        <v>74</v>
      </c>
      <c r="BI456">
        <v>20</v>
      </c>
      <c r="BJ456" t="s">
        <v>220</v>
      </c>
      <c r="BK456" t="s">
        <v>100</v>
      </c>
      <c r="BL456" t="s">
        <v>220</v>
      </c>
      <c r="BM456" t="s">
        <v>9119</v>
      </c>
      <c r="BN456" t="s">
        <v>74</v>
      </c>
      <c r="BO456" t="s">
        <v>74</v>
      </c>
      <c r="BP456" t="s">
        <v>74</v>
      </c>
      <c r="BQ456" t="s">
        <v>74</v>
      </c>
      <c r="BR456" t="s">
        <v>104</v>
      </c>
      <c r="BS456" t="s">
        <v>9120</v>
      </c>
      <c r="BT456" t="str">
        <f>HYPERLINK("https%3A%2F%2Fwww.webofscience.com%2Fwos%2Fwoscc%2Ffull-record%2FWOS:000354138300002","View Full Record in Web of Science")</f>
        <v>View Full Record in Web of Science</v>
      </c>
    </row>
    <row r="457" spans="1:72" x14ac:dyDescent="0.15">
      <c r="A457" t="s">
        <v>72</v>
      </c>
      <c r="B457" t="s">
        <v>9121</v>
      </c>
      <c r="C457" t="s">
        <v>74</v>
      </c>
      <c r="D457" t="s">
        <v>74</v>
      </c>
      <c r="E457" t="s">
        <v>74</v>
      </c>
      <c r="F457" t="s">
        <v>9122</v>
      </c>
      <c r="G457" t="s">
        <v>74</v>
      </c>
      <c r="H457" t="s">
        <v>74</v>
      </c>
      <c r="I457" t="s">
        <v>9123</v>
      </c>
      <c r="J457" t="s">
        <v>1519</v>
      </c>
      <c r="K457" t="s">
        <v>74</v>
      </c>
      <c r="L457" t="s">
        <v>74</v>
      </c>
      <c r="M457" t="s">
        <v>78</v>
      </c>
      <c r="N457" t="s">
        <v>79</v>
      </c>
      <c r="O457" t="s">
        <v>74</v>
      </c>
      <c r="P457" t="s">
        <v>74</v>
      </c>
      <c r="Q457" t="s">
        <v>74</v>
      </c>
      <c r="R457" t="s">
        <v>74</v>
      </c>
      <c r="S457" t="s">
        <v>74</v>
      </c>
      <c r="T457" t="s">
        <v>9124</v>
      </c>
      <c r="U457" t="s">
        <v>9125</v>
      </c>
      <c r="V457" t="s">
        <v>9126</v>
      </c>
      <c r="W457" t="s">
        <v>9127</v>
      </c>
      <c r="X457" t="s">
        <v>9128</v>
      </c>
      <c r="Y457" t="s">
        <v>9129</v>
      </c>
      <c r="Z457" t="s">
        <v>9130</v>
      </c>
      <c r="AA457" t="s">
        <v>9131</v>
      </c>
      <c r="AB457" t="s">
        <v>9132</v>
      </c>
      <c r="AC457" t="s">
        <v>9133</v>
      </c>
      <c r="AD457" t="s">
        <v>9134</v>
      </c>
      <c r="AE457" t="s">
        <v>9135</v>
      </c>
      <c r="AF457" t="s">
        <v>74</v>
      </c>
      <c r="AG457">
        <v>40</v>
      </c>
      <c r="AH457">
        <v>31</v>
      </c>
      <c r="AI457">
        <v>31</v>
      </c>
      <c r="AJ457">
        <v>0</v>
      </c>
      <c r="AK457">
        <v>13</v>
      </c>
      <c r="AL457" t="s">
        <v>266</v>
      </c>
      <c r="AM457" t="s">
        <v>267</v>
      </c>
      <c r="AN457" t="s">
        <v>268</v>
      </c>
      <c r="AO457" t="s">
        <v>1535</v>
      </c>
      <c r="AP457" t="s">
        <v>1536</v>
      </c>
      <c r="AQ457" t="s">
        <v>74</v>
      </c>
      <c r="AR457" t="s">
        <v>1537</v>
      </c>
      <c r="AS457" t="s">
        <v>1538</v>
      </c>
      <c r="AT457" t="s">
        <v>8975</v>
      </c>
      <c r="AU457">
        <v>2015</v>
      </c>
      <c r="AV457">
        <v>120</v>
      </c>
      <c r="AW457">
        <v>3</v>
      </c>
      <c r="AX457" t="s">
        <v>74</v>
      </c>
      <c r="AY457" t="s">
        <v>74</v>
      </c>
      <c r="AZ457" t="s">
        <v>74</v>
      </c>
      <c r="BA457" t="s">
        <v>74</v>
      </c>
      <c r="BB457">
        <v>1841</v>
      </c>
      <c r="BC457">
        <v>1855</v>
      </c>
      <c r="BD457" t="s">
        <v>74</v>
      </c>
      <c r="BE457" t="s">
        <v>9136</v>
      </c>
      <c r="BF457" t="str">
        <f>HYPERLINK("http://dx.doi.org/10.1002/2014JC010397","http://dx.doi.org/10.1002/2014JC010397")</f>
        <v>http://dx.doi.org/10.1002/2014JC010397</v>
      </c>
      <c r="BG457" t="s">
        <v>74</v>
      </c>
      <c r="BH457" t="s">
        <v>74</v>
      </c>
      <c r="BI457">
        <v>15</v>
      </c>
      <c r="BJ457" t="s">
        <v>1540</v>
      </c>
      <c r="BK457" t="s">
        <v>100</v>
      </c>
      <c r="BL457" t="s">
        <v>1540</v>
      </c>
      <c r="BM457" t="s">
        <v>9137</v>
      </c>
      <c r="BN457" t="s">
        <v>74</v>
      </c>
      <c r="BO457" t="s">
        <v>9138</v>
      </c>
      <c r="BP457" t="s">
        <v>74</v>
      </c>
      <c r="BQ457" t="s">
        <v>74</v>
      </c>
      <c r="BR457" t="s">
        <v>104</v>
      </c>
      <c r="BS457" t="s">
        <v>9139</v>
      </c>
      <c r="BT457" t="str">
        <f>HYPERLINK("https%3A%2F%2Fwww.webofscience.com%2Fwos%2Fwoscc%2Ffull-record%2FWOS:000353900000021","View Full Record in Web of Science")</f>
        <v>View Full Record in Web of Science</v>
      </c>
    </row>
    <row r="458" spans="1:72" x14ac:dyDescent="0.15">
      <c r="A458" t="s">
        <v>72</v>
      </c>
      <c r="B458" t="s">
        <v>9140</v>
      </c>
      <c r="C458" t="s">
        <v>74</v>
      </c>
      <c r="D458" t="s">
        <v>74</v>
      </c>
      <c r="E458" t="s">
        <v>74</v>
      </c>
      <c r="F458" t="s">
        <v>9141</v>
      </c>
      <c r="G458" t="s">
        <v>74</v>
      </c>
      <c r="H458" t="s">
        <v>74</v>
      </c>
      <c r="I458" t="s">
        <v>9142</v>
      </c>
      <c r="J458" t="s">
        <v>1519</v>
      </c>
      <c r="K458" t="s">
        <v>74</v>
      </c>
      <c r="L458" t="s">
        <v>74</v>
      </c>
      <c r="M458" t="s">
        <v>78</v>
      </c>
      <c r="N458" t="s">
        <v>79</v>
      </c>
      <c r="O458" t="s">
        <v>74</v>
      </c>
      <c r="P458" t="s">
        <v>74</v>
      </c>
      <c r="Q458" t="s">
        <v>74</v>
      </c>
      <c r="R458" t="s">
        <v>74</v>
      </c>
      <c r="S458" t="s">
        <v>74</v>
      </c>
      <c r="T458" t="s">
        <v>9143</v>
      </c>
      <c r="U458" t="s">
        <v>9144</v>
      </c>
      <c r="V458" t="s">
        <v>9145</v>
      </c>
      <c r="W458" t="s">
        <v>9146</v>
      </c>
      <c r="X458" t="s">
        <v>9147</v>
      </c>
      <c r="Y458" t="s">
        <v>9148</v>
      </c>
      <c r="Z458" t="s">
        <v>9149</v>
      </c>
      <c r="AA458" t="s">
        <v>74</v>
      </c>
      <c r="AB458" t="s">
        <v>74</v>
      </c>
      <c r="AC458" t="s">
        <v>9150</v>
      </c>
      <c r="AD458" t="s">
        <v>7847</v>
      </c>
      <c r="AE458" t="s">
        <v>9151</v>
      </c>
      <c r="AF458" t="s">
        <v>74</v>
      </c>
      <c r="AG458">
        <v>48</v>
      </c>
      <c r="AH458">
        <v>1</v>
      </c>
      <c r="AI458">
        <v>1</v>
      </c>
      <c r="AJ458">
        <v>1</v>
      </c>
      <c r="AK458">
        <v>10</v>
      </c>
      <c r="AL458" t="s">
        <v>266</v>
      </c>
      <c r="AM458" t="s">
        <v>267</v>
      </c>
      <c r="AN458" t="s">
        <v>268</v>
      </c>
      <c r="AO458" t="s">
        <v>1535</v>
      </c>
      <c r="AP458" t="s">
        <v>1536</v>
      </c>
      <c r="AQ458" t="s">
        <v>74</v>
      </c>
      <c r="AR458" t="s">
        <v>1537</v>
      </c>
      <c r="AS458" t="s">
        <v>1538</v>
      </c>
      <c r="AT458" t="s">
        <v>8975</v>
      </c>
      <c r="AU458">
        <v>2015</v>
      </c>
      <c r="AV458">
        <v>120</v>
      </c>
      <c r="AW458">
        <v>3</v>
      </c>
      <c r="AX458" t="s">
        <v>74</v>
      </c>
      <c r="AY458" t="s">
        <v>74</v>
      </c>
      <c r="AZ458" t="s">
        <v>74</v>
      </c>
      <c r="BA458" t="s">
        <v>74</v>
      </c>
      <c r="BB458">
        <v>2259</v>
      </c>
      <c r="BC458">
        <v>2269</v>
      </c>
      <c r="BD458" t="s">
        <v>74</v>
      </c>
      <c r="BE458" t="s">
        <v>9152</v>
      </c>
      <c r="BF458" t="str">
        <f>HYPERLINK("http://dx.doi.org/10.1002/2015JC010772","http://dx.doi.org/10.1002/2015JC010772")</f>
        <v>http://dx.doi.org/10.1002/2015JC010772</v>
      </c>
      <c r="BG458" t="s">
        <v>74</v>
      </c>
      <c r="BH458" t="s">
        <v>74</v>
      </c>
      <c r="BI458">
        <v>11</v>
      </c>
      <c r="BJ458" t="s">
        <v>1540</v>
      </c>
      <c r="BK458" t="s">
        <v>100</v>
      </c>
      <c r="BL458" t="s">
        <v>1540</v>
      </c>
      <c r="BM458" t="s">
        <v>9137</v>
      </c>
      <c r="BN458" t="s">
        <v>74</v>
      </c>
      <c r="BO458" t="s">
        <v>156</v>
      </c>
      <c r="BP458" t="s">
        <v>74</v>
      </c>
      <c r="BQ458" t="s">
        <v>74</v>
      </c>
      <c r="BR458" t="s">
        <v>104</v>
      </c>
      <c r="BS458" t="s">
        <v>9153</v>
      </c>
      <c r="BT458" t="str">
        <f>HYPERLINK("https%3A%2F%2Fwww.webofscience.com%2Fwos%2Fwoscc%2Ffull-record%2FWOS:000353900000043","View Full Record in Web of Science")</f>
        <v>View Full Record in Web of Science</v>
      </c>
    </row>
    <row r="459" spans="1:72" x14ac:dyDescent="0.15">
      <c r="A459" t="s">
        <v>72</v>
      </c>
      <c r="B459" t="s">
        <v>9154</v>
      </c>
      <c r="C459" t="s">
        <v>74</v>
      </c>
      <c r="D459" t="s">
        <v>74</v>
      </c>
      <c r="E459" t="s">
        <v>74</v>
      </c>
      <c r="F459" t="s">
        <v>9155</v>
      </c>
      <c r="G459" t="s">
        <v>74</v>
      </c>
      <c r="H459" t="s">
        <v>74</v>
      </c>
      <c r="I459" t="s">
        <v>9156</v>
      </c>
      <c r="J459" t="s">
        <v>1519</v>
      </c>
      <c r="K459" t="s">
        <v>74</v>
      </c>
      <c r="L459" t="s">
        <v>74</v>
      </c>
      <c r="M459" t="s">
        <v>78</v>
      </c>
      <c r="N459" t="s">
        <v>79</v>
      </c>
      <c r="O459" t="s">
        <v>74</v>
      </c>
      <c r="P459" t="s">
        <v>74</v>
      </c>
      <c r="Q459" t="s">
        <v>74</v>
      </c>
      <c r="R459" t="s">
        <v>74</v>
      </c>
      <c r="S459" t="s">
        <v>74</v>
      </c>
      <c r="T459" t="s">
        <v>9157</v>
      </c>
      <c r="U459" t="s">
        <v>9158</v>
      </c>
      <c r="V459" t="s">
        <v>9159</v>
      </c>
      <c r="W459" t="s">
        <v>9160</v>
      </c>
      <c r="X459" t="s">
        <v>6086</v>
      </c>
      <c r="Y459" t="s">
        <v>9161</v>
      </c>
      <c r="Z459" t="s">
        <v>9162</v>
      </c>
      <c r="AA459" t="s">
        <v>74</v>
      </c>
      <c r="AB459" t="s">
        <v>74</v>
      </c>
      <c r="AC459" t="s">
        <v>9163</v>
      </c>
      <c r="AD459" t="s">
        <v>9164</v>
      </c>
      <c r="AE459" t="s">
        <v>9165</v>
      </c>
      <c r="AF459" t="s">
        <v>74</v>
      </c>
      <c r="AG459">
        <v>57</v>
      </c>
      <c r="AH459">
        <v>12</v>
      </c>
      <c r="AI459">
        <v>15</v>
      </c>
      <c r="AJ459">
        <v>0</v>
      </c>
      <c r="AK459">
        <v>24</v>
      </c>
      <c r="AL459" t="s">
        <v>266</v>
      </c>
      <c r="AM459" t="s">
        <v>267</v>
      </c>
      <c r="AN459" t="s">
        <v>268</v>
      </c>
      <c r="AO459" t="s">
        <v>1535</v>
      </c>
      <c r="AP459" t="s">
        <v>1536</v>
      </c>
      <c r="AQ459" t="s">
        <v>74</v>
      </c>
      <c r="AR459" t="s">
        <v>1537</v>
      </c>
      <c r="AS459" t="s">
        <v>1538</v>
      </c>
      <c r="AT459" t="s">
        <v>8975</v>
      </c>
      <c r="AU459">
        <v>2015</v>
      </c>
      <c r="AV459">
        <v>120</v>
      </c>
      <c r="AW459">
        <v>3</v>
      </c>
      <c r="AX459" t="s">
        <v>74</v>
      </c>
      <c r="AY459" t="s">
        <v>74</v>
      </c>
      <c r="AZ459" t="s">
        <v>74</v>
      </c>
      <c r="BA459" t="s">
        <v>74</v>
      </c>
      <c r="BB459">
        <v>2401</v>
      </c>
      <c r="BC459">
        <v>2411</v>
      </c>
      <c r="BD459" t="s">
        <v>74</v>
      </c>
      <c r="BE459" t="s">
        <v>9166</v>
      </c>
      <c r="BF459" t="str">
        <f>HYPERLINK("http://dx.doi.org/10.1002/2014JC010337","http://dx.doi.org/10.1002/2014JC010337")</f>
        <v>http://dx.doi.org/10.1002/2014JC010337</v>
      </c>
      <c r="BG459" t="s">
        <v>74</v>
      </c>
      <c r="BH459" t="s">
        <v>74</v>
      </c>
      <c r="BI459">
        <v>11</v>
      </c>
      <c r="BJ459" t="s">
        <v>1540</v>
      </c>
      <c r="BK459" t="s">
        <v>100</v>
      </c>
      <c r="BL459" t="s">
        <v>1540</v>
      </c>
      <c r="BM459" t="s">
        <v>9137</v>
      </c>
      <c r="BN459" t="s">
        <v>74</v>
      </c>
      <c r="BO459" t="s">
        <v>156</v>
      </c>
      <c r="BP459" t="s">
        <v>74</v>
      </c>
      <c r="BQ459" t="s">
        <v>74</v>
      </c>
      <c r="BR459" t="s">
        <v>104</v>
      </c>
      <c r="BS459" t="s">
        <v>9167</v>
      </c>
      <c r="BT459" t="str">
        <f>HYPERLINK("https%3A%2F%2Fwww.webofscience.com%2Fwos%2Fwoscc%2Ffull-record%2FWOS:000353900000051","View Full Record in Web of Science")</f>
        <v>View Full Record in Web of Science</v>
      </c>
    </row>
    <row r="460" spans="1:72" x14ac:dyDescent="0.15">
      <c r="A460" t="s">
        <v>72</v>
      </c>
      <c r="B460" t="s">
        <v>9168</v>
      </c>
      <c r="C460" t="s">
        <v>74</v>
      </c>
      <c r="D460" t="s">
        <v>74</v>
      </c>
      <c r="E460" t="s">
        <v>74</v>
      </c>
      <c r="F460" t="s">
        <v>9169</v>
      </c>
      <c r="G460" t="s">
        <v>74</v>
      </c>
      <c r="H460" t="s">
        <v>74</v>
      </c>
      <c r="I460" t="s">
        <v>9170</v>
      </c>
      <c r="J460" t="s">
        <v>7558</v>
      </c>
      <c r="K460" t="s">
        <v>74</v>
      </c>
      <c r="L460" t="s">
        <v>74</v>
      </c>
      <c r="M460" t="s">
        <v>78</v>
      </c>
      <c r="N460" t="s">
        <v>79</v>
      </c>
      <c r="O460" t="s">
        <v>74</v>
      </c>
      <c r="P460" t="s">
        <v>74</v>
      </c>
      <c r="Q460" t="s">
        <v>74</v>
      </c>
      <c r="R460" t="s">
        <v>74</v>
      </c>
      <c r="S460" t="s">
        <v>74</v>
      </c>
      <c r="T460" t="s">
        <v>9171</v>
      </c>
      <c r="U460" t="s">
        <v>9172</v>
      </c>
      <c r="V460" t="s">
        <v>9173</v>
      </c>
      <c r="W460" t="s">
        <v>9174</v>
      </c>
      <c r="X460" t="s">
        <v>9175</v>
      </c>
      <c r="Y460" t="s">
        <v>9176</v>
      </c>
      <c r="Z460" t="s">
        <v>9177</v>
      </c>
      <c r="AA460" t="s">
        <v>9178</v>
      </c>
      <c r="AB460" t="s">
        <v>9179</v>
      </c>
      <c r="AC460" t="s">
        <v>9180</v>
      </c>
      <c r="AD460" t="s">
        <v>9181</v>
      </c>
      <c r="AE460" t="s">
        <v>9182</v>
      </c>
      <c r="AF460" t="s">
        <v>74</v>
      </c>
      <c r="AG460">
        <v>54</v>
      </c>
      <c r="AH460">
        <v>25</v>
      </c>
      <c r="AI460">
        <v>25</v>
      </c>
      <c r="AJ460">
        <v>0</v>
      </c>
      <c r="AK460">
        <v>16</v>
      </c>
      <c r="AL460" t="s">
        <v>266</v>
      </c>
      <c r="AM460" t="s">
        <v>267</v>
      </c>
      <c r="AN460" t="s">
        <v>268</v>
      </c>
      <c r="AO460" t="s">
        <v>7571</v>
      </c>
      <c r="AP460" t="s">
        <v>7572</v>
      </c>
      <c r="AQ460" t="s">
        <v>74</v>
      </c>
      <c r="AR460" t="s">
        <v>7573</v>
      </c>
      <c r="AS460" t="s">
        <v>7574</v>
      </c>
      <c r="AT460" t="s">
        <v>8975</v>
      </c>
      <c r="AU460">
        <v>2015</v>
      </c>
      <c r="AV460">
        <v>120</v>
      </c>
      <c r="AW460">
        <v>3</v>
      </c>
      <c r="AX460" t="s">
        <v>74</v>
      </c>
      <c r="AY460" t="s">
        <v>74</v>
      </c>
      <c r="AZ460" t="s">
        <v>74</v>
      </c>
      <c r="BA460" t="s">
        <v>74</v>
      </c>
      <c r="BB460">
        <v>490</v>
      </c>
      <c r="BC460">
        <v>506</v>
      </c>
      <c r="BD460" t="s">
        <v>74</v>
      </c>
      <c r="BE460" t="s">
        <v>9183</v>
      </c>
      <c r="BF460" t="str">
        <f>HYPERLINK("http://dx.doi.org/10.1002/2014JF003223","http://dx.doi.org/10.1002/2014JF003223")</f>
        <v>http://dx.doi.org/10.1002/2014JF003223</v>
      </c>
      <c r="BG460" t="s">
        <v>74</v>
      </c>
      <c r="BH460" t="s">
        <v>74</v>
      </c>
      <c r="BI460">
        <v>17</v>
      </c>
      <c r="BJ460" t="s">
        <v>219</v>
      </c>
      <c r="BK460" t="s">
        <v>100</v>
      </c>
      <c r="BL460" t="s">
        <v>220</v>
      </c>
      <c r="BM460" t="s">
        <v>9184</v>
      </c>
      <c r="BN460" t="s">
        <v>74</v>
      </c>
      <c r="BO460" t="s">
        <v>559</v>
      </c>
      <c r="BP460" t="s">
        <v>74</v>
      </c>
      <c r="BQ460" t="s">
        <v>74</v>
      </c>
      <c r="BR460" t="s">
        <v>104</v>
      </c>
      <c r="BS460" t="s">
        <v>9185</v>
      </c>
      <c r="BT460" t="str">
        <f>HYPERLINK("https%3A%2F%2Fwww.webofscience.com%2Fwos%2Fwoscc%2Ffull-record%2FWOS:000353694200007","View Full Record in Web of Science")</f>
        <v>View Full Record in Web of Science</v>
      </c>
    </row>
    <row r="461" spans="1:72" x14ac:dyDescent="0.15">
      <c r="A461" t="s">
        <v>72</v>
      </c>
      <c r="B461" t="s">
        <v>9186</v>
      </c>
      <c r="C461" t="s">
        <v>74</v>
      </c>
      <c r="D461" t="s">
        <v>74</v>
      </c>
      <c r="E461" t="s">
        <v>74</v>
      </c>
      <c r="F461" t="s">
        <v>9187</v>
      </c>
      <c r="G461" t="s">
        <v>74</v>
      </c>
      <c r="H461" t="s">
        <v>74</v>
      </c>
      <c r="I461" t="s">
        <v>9188</v>
      </c>
      <c r="J461" t="s">
        <v>1547</v>
      </c>
      <c r="K461" t="s">
        <v>74</v>
      </c>
      <c r="L461" t="s">
        <v>74</v>
      </c>
      <c r="M461" t="s">
        <v>78</v>
      </c>
      <c r="N461" t="s">
        <v>79</v>
      </c>
      <c r="O461" t="s">
        <v>74</v>
      </c>
      <c r="P461" t="s">
        <v>74</v>
      </c>
      <c r="Q461" t="s">
        <v>74</v>
      </c>
      <c r="R461" t="s">
        <v>74</v>
      </c>
      <c r="S461" t="s">
        <v>74</v>
      </c>
      <c r="T461" t="s">
        <v>9189</v>
      </c>
      <c r="U461" t="s">
        <v>9190</v>
      </c>
      <c r="V461" t="s">
        <v>9191</v>
      </c>
      <c r="W461" t="s">
        <v>9192</v>
      </c>
      <c r="X461" t="s">
        <v>9193</v>
      </c>
      <c r="Y461" t="s">
        <v>9194</v>
      </c>
      <c r="Z461" t="s">
        <v>9195</v>
      </c>
      <c r="AA461" t="s">
        <v>9196</v>
      </c>
      <c r="AB461" t="s">
        <v>9197</v>
      </c>
      <c r="AC461" t="s">
        <v>9198</v>
      </c>
      <c r="AD461" t="s">
        <v>9199</v>
      </c>
      <c r="AE461" t="s">
        <v>9200</v>
      </c>
      <c r="AF461" t="s">
        <v>74</v>
      </c>
      <c r="AG461">
        <v>49</v>
      </c>
      <c r="AH461">
        <v>32</v>
      </c>
      <c r="AI461">
        <v>40</v>
      </c>
      <c r="AJ461">
        <v>0</v>
      </c>
      <c r="AK461">
        <v>32</v>
      </c>
      <c r="AL461" t="s">
        <v>266</v>
      </c>
      <c r="AM461" t="s">
        <v>267</v>
      </c>
      <c r="AN461" t="s">
        <v>268</v>
      </c>
      <c r="AO461" t="s">
        <v>1560</v>
      </c>
      <c r="AP461" t="s">
        <v>1561</v>
      </c>
      <c r="AQ461" t="s">
        <v>74</v>
      </c>
      <c r="AR461" t="s">
        <v>1562</v>
      </c>
      <c r="AS461" t="s">
        <v>1563</v>
      </c>
      <c r="AT461" t="s">
        <v>8975</v>
      </c>
      <c r="AU461">
        <v>2015</v>
      </c>
      <c r="AV461">
        <v>120</v>
      </c>
      <c r="AW461">
        <v>3</v>
      </c>
      <c r="AX461" t="s">
        <v>74</v>
      </c>
      <c r="AY461" t="s">
        <v>74</v>
      </c>
      <c r="AZ461" t="s">
        <v>74</v>
      </c>
      <c r="BA461" t="s">
        <v>74</v>
      </c>
      <c r="BB461">
        <v>1804</v>
      </c>
      <c r="BC461">
        <v>1819</v>
      </c>
      <c r="BD461" t="s">
        <v>74</v>
      </c>
      <c r="BE461" t="s">
        <v>9201</v>
      </c>
      <c r="BF461" t="str">
        <f>HYPERLINK("http://dx.doi.org/10.1002/2014JB011470","http://dx.doi.org/10.1002/2014JB011470")</f>
        <v>http://dx.doi.org/10.1002/2014JB011470</v>
      </c>
      <c r="BG461" t="s">
        <v>74</v>
      </c>
      <c r="BH461" t="s">
        <v>74</v>
      </c>
      <c r="BI461">
        <v>16</v>
      </c>
      <c r="BJ461" t="s">
        <v>863</v>
      </c>
      <c r="BK461" t="s">
        <v>100</v>
      </c>
      <c r="BL461" t="s">
        <v>863</v>
      </c>
      <c r="BM461" t="s">
        <v>9202</v>
      </c>
      <c r="BN461" t="s">
        <v>74</v>
      </c>
      <c r="BO461" t="s">
        <v>74</v>
      </c>
      <c r="BP461" t="s">
        <v>74</v>
      </c>
      <c r="BQ461" t="s">
        <v>74</v>
      </c>
      <c r="BR461" t="s">
        <v>104</v>
      </c>
      <c r="BS461" t="s">
        <v>9203</v>
      </c>
      <c r="BT461" t="str">
        <f>HYPERLINK("https%3A%2F%2Fwww.webofscience.com%2Fwos%2Fwoscc%2Ffull-record%2FWOS:000353160200025","View Full Record in Web of Science")</f>
        <v>View Full Record in Web of Science</v>
      </c>
    </row>
    <row r="462" spans="1:72" x14ac:dyDescent="0.15">
      <c r="A462" t="s">
        <v>72</v>
      </c>
      <c r="B462" t="s">
        <v>9204</v>
      </c>
      <c r="C462" t="s">
        <v>74</v>
      </c>
      <c r="D462" t="s">
        <v>74</v>
      </c>
      <c r="E462" t="s">
        <v>74</v>
      </c>
      <c r="F462" t="s">
        <v>9205</v>
      </c>
      <c r="G462" t="s">
        <v>74</v>
      </c>
      <c r="H462" t="s">
        <v>74</v>
      </c>
      <c r="I462" t="s">
        <v>9206</v>
      </c>
      <c r="J462" t="s">
        <v>3338</v>
      </c>
      <c r="K462" t="s">
        <v>74</v>
      </c>
      <c r="L462" t="s">
        <v>74</v>
      </c>
      <c r="M462" t="s">
        <v>78</v>
      </c>
      <c r="N462" t="s">
        <v>79</v>
      </c>
      <c r="O462" t="s">
        <v>74</v>
      </c>
      <c r="P462" t="s">
        <v>74</v>
      </c>
      <c r="Q462" t="s">
        <v>74</v>
      </c>
      <c r="R462" t="s">
        <v>74</v>
      </c>
      <c r="S462" t="s">
        <v>74</v>
      </c>
      <c r="T462" t="s">
        <v>9207</v>
      </c>
      <c r="U462" t="s">
        <v>9208</v>
      </c>
      <c r="V462" t="s">
        <v>9209</v>
      </c>
      <c r="W462" t="s">
        <v>9210</v>
      </c>
      <c r="X462" t="s">
        <v>9211</v>
      </c>
      <c r="Y462" t="s">
        <v>9212</v>
      </c>
      <c r="Z462" t="s">
        <v>9213</v>
      </c>
      <c r="AA462" t="s">
        <v>9214</v>
      </c>
      <c r="AB462" t="s">
        <v>9215</v>
      </c>
      <c r="AC462" t="s">
        <v>9216</v>
      </c>
      <c r="AD462" t="s">
        <v>9217</v>
      </c>
      <c r="AE462" t="s">
        <v>9218</v>
      </c>
      <c r="AF462" t="s">
        <v>74</v>
      </c>
      <c r="AG462">
        <v>65</v>
      </c>
      <c r="AH462">
        <v>16</v>
      </c>
      <c r="AI462">
        <v>18</v>
      </c>
      <c r="AJ462">
        <v>1</v>
      </c>
      <c r="AK462">
        <v>9</v>
      </c>
      <c r="AL462" t="s">
        <v>266</v>
      </c>
      <c r="AM462" t="s">
        <v>267</v>
      </c>
      <c r="AN462" t="s">
        <v>268</v>
      </c>
      <c r="AO462" t="s">
        <v>3350</v>
      </c>
      <c r="AP462" t="s">
        <v>3351</v>
      </c>
      <c r="AQ462" t="s">
        <v>74</v>
      </c>
      <c r="AR462" t="s">
        <v>3352</v>
      </c>
      <c r="AS462" t="s">
        <v>3353</v>
      </c>
      <c r="AT462" t="s">
        <v>8975</v>
      </c>
      <c r="AU462">
        <v>2015</v>
      </c>
      <c r="AV462">
        <v>120</v>
      </c>
      <c r="AW462">
        <v>3</v>
      </c>
      <c r="AX462" t="s">
        <v>74</v>
      </c>
      <c r="AY462" t="s">
        <v>74</v>
      </c>
      <c r="AZ462" t="s">
        <v>74</v>
      </c>
      <c r="BA462" t="s">
        <v>74</v>
      </c>
      <c r="BB462">
        <v>2015</v>
      </c>
      <c r="BC462">
        <v>2035</v>
      </c>
      <c r="BD462" t="s">
        <v>74</v>
      </c>
      <c r="BE462" t="s">
        <v>9219</v>
      </c>
      <c r="BF462" t="str">
        <f>HYPERLINK("http://dx.doi.org/10.1002/2014JA020743","http://dx.doi.org/10.1002/2014JA020743")</f>
        <v>http://dx.doi.org/10.1002/2014JA020743</v>
      </c>
      <c r="BG462" t="s">
        <v>74</v>
      </c>
      <c r="BH462" t="s">
        <v>74</v>
      </c>
      <c r="BI462">
        <v>21</v>
      </c>
      <c r="BJ462" t="s">
        <v>246</v>
      </c>
      <c r="BK462" t="s">
        <v>100</v>
      </c>
      <c r="BL462" t="s">
        <v>246</v>
      </c>
      <c r="BM462" t="s">
        <v>9220</v>
      </c>
      <c r="BN462" t="s">
        <v>74</v>
      </c>
      <c r="BO462" t="s">
        <v>559</v>
      </c>
      <c r="BP462" t="s">
        <v>74</v>
      </c>
      <c r="BQ462" t="s">
        <v>74</v>
      </c>
      <c r="BR462" t="s">
        <v>104</v>
      </c>
      <c r="BS462" t="s">
        <v>9221</v>
      </c>
      <c r="BT462" t="str">
        <f>HYPERLINK("https%3A%2F%2Fwww.webofscience.com%2Fwos%2Fwoscc%2Ffull-record%2FWOS:000353237600036","View Full Record in Web of Science")</f>
        <v>View Full Record in Web of Science</v>
      </c>
    </row>
    <row r="463" spans="1:72" x14ac:dyDescent="0.15">
      <c r="A463" t="s">
        <v>72</v>
      </c>
      <c r="B463" t="s">
        <v>9222</v>
      </c>
      <c r="C463" t="s">
        <v>74</v>
      </c>
      <c r="D463" t="s">
        <v>74</v>
      </c>
      <c r="E463" t="s">
        <v>74</v>
      </c>
      <c r="F463" t="s">
        <v>9223</v>
      </c>
      <c r="G463" t="s">
        <v>74</v>
      </c>
      <c r="H463" t="s">
        <v>74</v>
      </c>
      <c r="I463" t="s">
        <v>9224</v>
      </c>
      <c r="J463" t="s">
        <v>3338</v>
      </c>
      <c r="K463" t="s">
        <v>74</v>
      </c>
      <c r="L463" t="s">
        <v>74</v>
      </c>
      <c r="M463" t="s">
        <v>78</v>
      </c>
      <c r="N463" t="s">
        <v>79</v>
      </c>
      <c r="O463" t="s">
        <v>74</v>
      </c>
      <c r="P463" t="s">
        <v>74</v>
      </c>
      <c r="Q463" t="s">
        <v>74</v>
      </c>
      <c r="R463" t="s">
        <v>74</v>
      </c>
      <c r="S463" t="s">
        <v>74</v>
      </c>
      <c r="T463" t="s">
        <v>9225</v>
      </c>
      <c r="U463" t="s">
        <v>9226</v>
      </c>
      <c r="V463" t="s">
        <v>9227</v>
      </c>
      <c r="W463" t="s">
        <v>9228</v>
      </c>
      <c r="X463" t="s">
        <v>9229</v>
      </c>
      <c r="Y463" t="s">
        <v>9230</v>
      </c>
      <c r="Z463" t="s">
        <v>9231</v>
      </c>
      <c r="AA463" t="s">
        <v>9232</v>
      </c>
      <c r="AB463" t="s">
        <v>9233</v>
      </c>
      <c r="AC463" t="s">
        <v>9234</v>
      </c>
      <c r="AD463" t="s">
        <v>9235</v>
      </c>
      <c r="AE463" t="s">
        <v>9236</v>
      </c>
      <c r="AF463" t="s">
        <v>74</v>
      </c>
      <c r="AG463">
        <v>36</v>
      </c>
      <c r="AH463">
        <v>9</v>
      </c>
      <c r="AI463">
        <v>10</v>
      </c>
      <c r="AJ463">
        <v>0</v>
      </c>
      <c r="AK463">
        <v>4</v>
      </c>
      <c r="AL463" t="s">
        <v>266</v>
      </c>
      <c r="AM463" t="s">
        <v>267</v>
      </c>
      <c r="AN463" t="s">
        <v>268</v>
      </c>
      <c r="AO463" t="s">
        <v>3350</v>
      </c>
      <c r="AP463" t="s">
        <v>3351</v>
      </c>
      <c r="AQ463" t="s">
        <v>74</v>
      </c>
      <c r="AR463" t="s">
        <v>3352</v>
      </c>
      <c r="AS463" t="s">
        <v>3353</v>
      </c>
      <c r="AT463" t="s">
        <v>8975</v>
      </c>
      <c r="AU463">
        <v>2015</v>
      </c>
      <c r="AV463">
        <v>120</v>
      </c>
      <c r="AW463">
        <v>3</v>
      </c>
      <c r="AX463" t="s">
        <v>74</v>
      </c>
      <c r="AY463" t="s">
        <v>74</v>
      </c>
      <c r="AZ463" t="s">
        <v>74</v>
      </c>
      <c r="BA463" t="s">
        <v>74</v>
      </c>
      <c r="BB463">
        <v>2061</v>
      </c>
      <c r="BC463">
        <v>2075</v>
      </c>
      <c r="BD463" t="s">
        <v>74</v>
      </c>
      <c r="BE463" t="s">
        <v>9237</v>
      </c>
      <c r="BF463" t="str">
        <f>HYPERLINK("http://dx.doi.org/10.1002/2014JA020977","http://dx.doi.org/10.1002/2014JA020977")</f>
        <v>http://dx.doi.org/10.1002/2014JA020977</v>
      </c>
      <c r="BG463" t="s">
        <v>74</v>
      </c>
      <c r="BH463" t="s">
        <v>74</v>
      </c>
      <c r="BI463">
        <v>15</v>
      </c>
      <c r="BJ463" t="s">
        <v>246</v>
      </c>
      <c r="BK463" t="s">
        <v>100</v>
      </c>
      <c r="BL463" t="s">
        <v>246</v>
      </c>
      <c r="BM463" t="s">
        <v>9220</v>
      </c>
      <c r="BN463" t="s">
        <v>74</v>
      </c>
      <c r="BO463" t="s">
        <v>156</v>
      </c>
      <c r="BP463" t="s">
        <v>74</v>
      </c>
      <c r="BQ463" t="s">
        <v>74</v>
      </c>
      <c r="BR463" t="s">
        <v>104</v>
      </c>
      <c r="BS463" t="s">
        <v>9238</v>
      </c>
      <c r="BT463" t="str">
        <f>HYPERLINK("https%3A%2F%2Fwww.webofscience.com%2Fwos%2Fwoscc%2Ffull-record%2FWOS:000353237600039","View Full Record in Web of Science")</f>
        <v>View Full Record in Web of Science</v>
      </c>
    </row>
    <row r="464" spans="1:72" x14ac:dyDescent="0.15">
      <c r="A464" t="s">
        <v>72</v>
      </c>
      <c r="B464" t="s">
        <v>9239</v>
      </c>
      <c r="C464" t="s">
        <v>74</v>
      </c>
      <c r="D464" t="s">
        <v>74</v>
      </c>
      <c r="E464" t="s">
        <v>74</v>
      </c>
      <c r="F464" t="s">
        <v>9240</v>
      </c>
      <c r="G464" t="s">
        <v>74</v>
      </c>
      <c r="H464" t="s">
        <v>74</v>
      </c>
      <c r="I464" t="s">
        <v>9241</v>
      </c>
      <c r="J464" t="s">
        <v>3338</v>
      </c>
      <c r="K464" t="s">
        <v>74</v>
      </c>
      <c r="L464" t="s">
        <v>74</v>
      </c>
      <c r="M464" t="s">
        <v>78</v>
      </c>
      <c r="N464" t="s">
        <v>79</v>
      </c>
      <c r="O464" t="s">
        <v>74</v>
      </c>
      <c r="P464" t="s">
        <v>74</v>
      </c>
      <c r="Q464" t="s">
        <v>74</v>
      </c>
      <c r="R464" t="s">
        <v>74</v>
      </c>
      <c r="S464" t="s">
        <v>74</v>
      </c>
      <c r="T464" t="s">
        <v>9242</v>
      </c>
      <c r="U464" t="s">
        <v>9243</v>
      </c>
      <c r="V464" t="s">
        <v>9244</v>
      </c>
      <c r="W464" t="s">
        <v>9245</v>
      </c>
      <c r="X464" t="s">
        <v>9246</v>
      </c>
      <c r="Y464" t="s">
        <v>9247</v>
      </c>
      <c r="Z464" t="s">
        <v>9248</v>
      </c>
      <c r="AA464" t="s">
        <v>9249</v>
      </c>
      <c r="AB464" t="s">
        <v>9250</v>
      </c>
      <c r="AC464" t="s">
        <v>9251</v>
      </c>
      <c r="AD464" t="s">
        <v>9252</v>
      </c>
      <c r="AE464" t="s">
        <v>9253</v>
      </c>
      <c r="AF464" t="s">
        <v>74</v>
      </c>
      <c r="AG464">
        <v>45</v>
      </c>
      <c r="AH464">
        <v>8</v>
      </c>
      <c r="AI464">
        <v>9</v>
      </c>
      <c r="AJ464">
        <v>1</v>
      </c>
      <c r="AK464">
        <v>1</v>
      </c>
      <c r="AL464" t="s">
        <v>266</v>
      </c>
      <c r="AM464" t="s">
        <v>267</v>
      </c>
      <c r="AN464" t="s">
        <v>268</v>
      </c>
      <c r="AO464" t="s">
        <v>3350</v>
      </c>
      <c r="AP464" t="s">
        <v>3351</v>
      </c>
      <c r="AQ464" t="s">
        <v>74</v>
      </c>
      <c r="AR464" t="s">
        <v>3352</v>
      </c>
      <c r="AS464" t="s">
        <v>3353</v>
      </c>
      <c r="AT464" t="s">
        <v>8975</v>
      </c>
      <c r="AU464">
        <v>2015</v>
      </c>
      <c r="AV464">
        <v>120</v>
      </c>
      <c r="AW464">
        <v>3</v>
      </c>
      <c r="AX464" t="s">
        <v>74</v>
      </c>
      <c r="AY464" t="s">
        <v>74</v>
      </c>
      <c r="AZ464" t="s">
        <v>74</v>
      </c>
      <c r="BA464" t="s">
        <v>74</v>
      </c>
      <c r="BB464">
        <v>2148</v>
      </c>
      <c r="BC464">
        <v>2165</v>
      </c>
      <c r="BD464" t="s">
        <v>74</v>
      </c>
      <c r="BE464" t="s">
        <v>9254</v>
      </c>
      <c r="BF464" t="str">
        <f>HYPERLINK("http://dx.doi.org/10.1002/2014JA020844","http://dx.doi.org/10.1002/2014JA020844")</f>
        <v>http://dx.doi.org/10.1002/2014JA020844</v>
      </c>
      <c r="BG464" t="s">
        <v>74</v>
      </c>
      <c r="BH464" t="s">
        <v>74</v>
      </c>
      <c r="BI464">
        <v>18</v>
      </c>
      <c r="BJ464" t="s">
        <v>246</v>
      </c>
      <c r="BK464" t="s">
        <v>100</v>
      </c>
      <c r="BL464" t="s">
        <v>246</v>
      </c>
      <c r="BM464" t="s">
        <v>9220</v>
      </c>
      <c r="BN464" t="s">
        <v>74</v>
      </c>
      <c r="BO464" t="s">
        <v>74</v>
      </c>
      <c r="BP464" t="s">
        <v>74</v>
      </c>
      <c r="BQ464" t="s">
        <v>74</v>
      </c>
      <c r="BR464" t="s">
        <v>104</v>
      </c>
      <c r="BS464" t="s">
        <v>9255</v>
      </c>
      <c r="BT464" t="str">
        <f>HYPERLINK("https%3A%2F%2Fwww.webofscience.com%2Fwos%2Fwoscc%2Ffull-record%2FWOS:000353237600046","View Full Record in Web of Science")</f>
        <v>View Full Record in Web of Science</v>
      </c>
    </row>
    <row r="465" spans="1:72" x14ac:dyDescent="0.15">
      <c r="A465" t="s">
        <v>72</v>
      </c>
      <c r="B465" t="s">
        <v>9256</v>
      </c>
      <c r="C465" t="s">
        <v>74</v>
      </c>
      <c r="D465" t="s">
        <v>74</v>
      </c>
      <c r="E465" t="s">
        <v>74</v>
      </c>
      <c r="F465" t="s">
        <v>9257</v>
      </c>
      <c r="G465" t="s">
        <v>74</v>
      </c>
      <c r="H465" t="s">
        <v>74</v>
      </c>
      <c r="I465" t="s">
        <v>9258</v>
      </c>
      <c r="J465" t="s">
        <v>9259</v>
      </c>
      <c r="K465" t="s">
        <v>74</v>
      </c>
      <c r="L465" t="s">
        <v>74</v>
      </c>
      <c r="M465" t="s">
        <v>78</v>
      </c>
      <c r="N465" t="s">
        <v>79</v>
      </c>
      <c r="O465" t="s">
        <v>74</v>
      </c>
      <c r="P465" t="s">
        <v>74</v>
      </c>
      <c r="Q465" t="s">
        <v>74</v>
      </c>
      <c r="R465" t="s">
        <v>74</v>
      </c>
      <c r="S465" t="s">
        <v>74</v>
      </c>
      <c r="T465" t="s">
        <v>74</v>
      </c>
      <c r="U465" t="s">
        <v>9260</v>
      </c>
      <c r="V465" t="s">
        <v>9261</v>
      </c>
      <c r="W465" t="s">
        <v>9262</v>
      </c>
      <c r="X465" t="s">
        <v>2432</v>
      </c>
      <c r="Y465" t="s">
        <v>9263</v>
      </c>
      <c r="Z465" t="s">
        <v>9264</v>
      </c>
      <c r="AA465" t="s">
        <v>9265</v>
      </c>
      <c r="AB465" t="s">
        <v>9266</v>
      </c>
      <c r="AC465" t="s">
        <v>9267</v>
      </c>
      <c r="AD465" t="s">
        <v>2094</v>
      </c>
      <c r="AE465" t="s">
        <v>9268</v>
      </c>
      <c r="AF465" t="s">
        <v>74</v>
      </c>
      <c r="AG465">
        <v>9</v>
      </c>
      <c r="AH465">
        <v>12</v>
      </c>
      <c r="AI465">
        <v>12</v>
      </c>
      <c r="AJ465">
        <v>0</v>
      </c>
      <c r="AK465">
        <v>4</v>
      </c>
      <c r="AL465" t="s">
        <v>2440</v>
      </c>
      <c r="AM465" t="s">
        <v>121</v>
      </c>
      <c r="AN465" t="s">
        <v>2441</v>
      </c>
      <c r="AO465" t="s">
        <v>9269</v>
      </c>
      <c r="AP465" t="s">
        <v>9270</v>
      </c>
      <c r="AQ465" t="s">
        <v>74</v>
      </c>
      <c r="AR465" t="s">
        <v>9271</v>
      </c>
      <c r="AS465" t="s">
        <v>9272</v>
      </c>
      <c r="AT465" t="s">
        <v>8975</v>
      </c>
      <c r="AU465">
        <v>2015</v>
      </c>
      <c r="AV465">
        <v>55</v>
      </c>
      <c r="AW465">
        <v>2</v>
      </c>
      <c r="AX465" t="s">
        <v>74</v>
      </c>
      <c r="AY465" t="s">
        <v>74</v>
      </c>
      <c r="AZ465" t="s">
        <v>74</v>
      </c>
      <c r="BA465" t="s">
        <v>74</v>
      </c>
      <c r="BB465">
        <v>153</v>
      </c>
      <c r="BC465">
        <v>161</v>
      </c>
      <c r="BD465" t="s">
        <v>74</v>
      </c>
      <c r="BE465" t="s">
        <v>9273</v>
      </c>
      <c r="BF465" t="str">
        <f>HYPERLINK("http://dx.doi.org/10.1134/S0001437015010166","http://dx.doi.org/10.1134/S0001437015010166")</f>
        <v>http://dx.doi.org/10.1134/S0001437015010166</v>
      </c>
      <c r="BG465" t="s">
        <v>74</v>
      </c>
      <c r="BH465" t="s">
        <v>74</v>
      </c>
      <c r="BI465">
        <v>9</v>
      </c>
      <c r="BJ465" t="s">
        <v>1540</v>
      </c>
      <c r="BK465" t="s">
        <v>100</v>
      </c>
      <c r="BL465" t="s">
        <v>1540</v>
      </c>
      <c r="BM465" t="s">
        <v>9274</v>
      </c>
      <c r="BN465" t="s">
        <v>74</v>
      </c>
      <c r="BO465" t="s">
        <v>74</v>
      </c>
      <c r="BP465" t="s">
        <v>74</v>
      </c>
      <c r="BQ465" t="s">
        <v>74</v>
      </c>
      <c r="BR465" t="s">
        <v>104</v>
      </c>
      <c r="BS465" t="s">
        <v>9275</v>
      </c>
      <c r="BT465" t="str">
        <f>HYPERLINK("https%3A%2F%2Fwww.webofscience.com%2Fwos%2Fwoscc%2Ffull-record%2FWOS:000353336100001","View Full Record in Web of Science")</f>
        <v>View Full Record in Web of Science</v>
      </c>
    </row>
    <row r="466" spans="1:72" x14ac:dyDescent="0.15">
      <c r="A466" t="s">
        <v>72</v>
      </c>
      <c r="B466" t="s">
        <v>9276</v>
      </c>
      <c r="C466" t="s">
        <v>74</v>
      </c>
      <c r="D466" t="s">
        <v>74</v>
      </c>
      <c r="E466" t="s">
        <v>74</v>
      </c>
      <c r="F466" t="s">
        <v>9277</v>
      </c>
      <c r="G466" t="s">
        <v>74</v>
      </c>
      <c r="H466" t="s">
        <v>74</v>
      </c>
      <c r="I466" t="s">
        <v>9278</v>
      </c>
      <c r="J466" t="s">
        <v>9259</v>
      </c>
      <c r="K466" t="s">
        <v>74</v>
      </c>
      <c r="L466" t="s">
        <v>74</v>
      </c>
      <c r="M466" t="s">
        <v>78</v>
      </c>
      <c r="N466" t="s">
        <v>79</v>
      </c>
      <c r="O466" t="s">
        <v>74</v>
      </c>
      <c r="P466" t="s">
        <v>74</v>
      </c>
      <c r="Q466" t="s">
        <v>74</v>
      </c>
      <c r="R466" t="s">
        <v>74</v>
      </c>
      <c r="S466" t="s">
        <v>74</v>
      </c>
      <c r="T466" t="s">
        <v>74</v>
      </c>
      <c r="U466" t="s">
        <v>9279</v>
      </c>
      <c r="V466" t="s">
        <v>9280</v>
      </c>
      <c r="W466" t="s">
        <v>9281</v>
      </c>
      <c r="X466" t="s">
        <v>9282</v>
      </c>
      <c r="Y466" t="s">
        <v>9283</v>
      </c>
      <c r="Z466" t="s">
        <v>9284</v>
      </c>
      <c r="AA466" t="s">
        <v>9285</v>
      </c>
      <c r="AB466" t="s">
        <v>74</v>
      </c>
      <c r="AC466" t="s">
        <v>74</v>
      </c>
      <c r="AD466" t="s">
        <v>74</v>
      </c>
      <c r="AE466" t="s">
        <v>74</v>
      </c>
      <c r="AF466" t="s">
        <v>74</v>
      </c>
      <c r="AG466">
        <v>19</v>
      </c>
      <c r="AH466">
        <v>2</v>
      </c>
      <c r="AI466">
        <v>2</v>
      </c>
      <c r="AJ466">
        <v>0</v>
      </c>
      <c r="AK466">
        <v>7</v>
      </c>
      <c r="AL466" t="s">
        <v>2440</v>
      </c>
      <c r="AM466" t="s">
        <v>121</v>
      </c>
      <c r="AN466" t="s">
        <v>2441</v>
      </c>
      <c r="AO466" t="s">
        <v>9269</v>
      </c>
      <c r="AP466" t="s">
        <v>9270</v>
      </c>
      <c r="AQ466" t="s">
        <v>74</v>
      </c>
      <c r="AR466" t="s">
        <v>9271</v>
      </c>
      <c r="AS466" t="s">
        <v>9272</v>
      </c>
      <c r="AT466" t="s">
        <v>8975</v>
      </c>
      <c r="AU466">
        <v>2015</v>
      </c>
      <c r="AV466">
        <v>55</v>
      </c>
      <c r="AW466">
        <v>2</v>
      </c>
      <c r="AX466" t="s">
        <v>74</v>
      </c>
      <c r="AY466" t="s">
        <v>74</v>
      </c>
      <c r="AZ466" t="s">
        <v>74</v>
      </c>
      <c r="BA466" t="s">
        <v>74</v>
      </c>
      <c r="BB466">
        <v>207</v>
      </c>
      <c r="BC466">
        <v>215</v>
      </c>
      <c r="BD466" t="s">
        <v>74</v>
      </c>
      <c r="BE466" t="s">
        <v>9286</v>
      </c>
      <c r="BF466" t="str">
        <f>HYPERLINK("http://dx.doi.org/10.1134/S0001437015020034","http://dx.doi.org/10.1134/S0001437015020034")</f>
        <v>http://dx.doi.org/10.1134/S0001437015020034</v>
      </c>
      <c r="BG466" t="s">
        <v>74</v>
      </c>
      <c r="BH466" t="s">
        <v>74</v>
      </c>
      <c r="BI466">
        <v>9</v>
      </c>
      <c r="BJ466" t="s">
        <v>1540</v>
      </c>
      <c r="BK466" t="s">
        <v>100</v>
      </c>
      <c r="BL466" t="s">
        <v>1540</v>
      </c>
      <c r="BM466" t="s">
        <v>9274</v>
      </c>
      <c r="BN466" t="s">
        <v>74</v>
      </c>
      <c r="BO466" t="s">
        <v>74</v>
      </c>
      <c r="BP466" t="s">
        <v>74</v>
      </c>
      <c r="BQ466" t="s">
        <v>74</v>
      </c>
      <c r="BR466" t="s">
        <v>104</v>
      </c>
      <c r="BS466" t="s">
        <v>9287</v>
      </c>
      <c r="BT466" t="str">
        <f>HYPERLINK("https%3A%2F%2Fwww.webofscience.com%2Fwos%2Fwoscc%2Ffull-record%2FWOS:000353336100007","View Full Record in Web of Science")</f>
        <v>View Full Record in Web of Science</v>
      </c>
    </row>
    <row r="467" spans="1:72" x14ac:dyDescent="0.15">
      <c r="A467" t="s">
        <v>72</v>
      </c>
      <c r="B467" t="s">
        <v>9288</v>
      </c>
      <c r="C467" t="s">
        <v>74</v>
      </c>
      <c r="D467" t="s">
        <v>74</v>
      </c>
      <c r="E467" t="s">
        <v>74</v>
      </c>
      <c r="F467" t="s">
        <v>9289</v>
      </c>
      <c r="G467" t="s">
        <v>74</v>
      </c>
      <c r="H467" t="s">
        <v>74</v>
      </c>
      <c r="I467" t="s">
        <v>9290</v>
      </c>
      <c r="J467" t="s">
        <v>9291</v>
      </c>
      <c r="K467" t="s">
        <v>74</v>
      </c>
      <c r="L467" t="s">
        <v>74</v>
      </c>
      <c r="M467" t="s">
        <v>78</v>
      </c>
      <c r="N467" t="s">
        <v>79</v>
      </c>
      <c r="O467" t="s">
        <v>74</v>
      </c>
      <c r="P467" t="s">
        <v>74</v>
      </c>
      <c r="Q467" t="s">
        <v>74</v>
      </c>
      <c r="R467" t="s">
        <v>74</v>
      </c>
      <c r="S467" t="s">
        <v>74</v>
      </c>
      <c r="T467" t="s">
        <v>74</v>
      </c>
      <c r="U467" t="s">
        <v>74</v>
      </c>
      <c r="V467" t="s">
        <v>9292</v>
      </c>
      <c r="W467" t="s">
        <v>74</v>
      </c>
      <c r="X467" t="s">
        <v>74</v>
      </c>
      <c r="Y467" t="s">
        <v>9293</v>
      </c>
      <c r="Z467" t="s">
        <v>9294</v>
      </c>
      <c r="AA467" t="s">
        <v>74</v>
      </c>
      <c r="AB467" t="s">
        <v>74</v>
      </c>
      <c r="AC467" t="s">
        <v>74</v>
      </c>
      <c r="AD467" t="s">
        <v>74</v>
      </c>
      <c r="AE467" t="s">
        <v>74</v>
      </c>
      <c r="AF467" t="s">
        <v>74</v>
      </c>
      <c r="AG467">
        <v>68</v>
      </c>
      <c r="AH467">
        <v>0</v>
      </c>
      <c r="AI467">
        <v>0</v>
      </c>
      <c r="AJ467">
        <v>0</v>
      </c>
      <c r="AK467">
        <v>1</v>
      </c>
      <c r="AL467" t="s">
        <v>2167</v>
      </c>
      <c r="AM467" t="s">
        <v>121</v>
      </c>
      <c r="AN467" t="s">
        <v>5926</v>
      </c>
      <c r="AO467" t="s">
        <v>9295</v>
      </c>
      <c r="AP467" t="s">
        <v>9296</v>
      </c>
      <c r="AQ467" t="s">
        <v>74</v>
      </c>
      <c r="AR467" t="s">
        <v>9297</v>
      </c>
      <c r="AS467" t="s">
        <v>9298</v>
      </c>
      <c r="AT467" t="s">
        <v>8975</v>
      </c>
      <c r="AU467">
        <v>2015</v>
      </c>
      <c r="AV467">
        <v>51</v>
      </c>
      <c r="AW467">
        <v>2</v>
      </c>
      <c r="AX467" t="s">
        <v>74</v>
      </c>
      <c r="AY467" t="s">
        <v>74</v>
      </c>
      <c r="AZ467" t="s">
        <v>74</v>
      </c>
      <c r="BA467" t="s">
        <v>74</v>
      </c>
      <c r="BB467">
        <v>111</v>
      </c>
      <c r="BC467">
        <v>129</v>
      </c>
      <c r="BD467" t="s">
        <v>74</v>
      </c>
      <c r="BE467" t="s">
        <v>9299</v>
      </c>
      <c r="BF467" t="str">
        <f>HYPERLINK("http://dx.doi.org/10.1017/S0032247413000697","http://dx.doi.org/10.1017/S0032247413000697")</f>
        <v>http://dx.doi.org/10.1017/S0032247413000697</v>
      </c>
      <c r="BG467" t="s">
        <v>74</v>
      </c>
      <c r="BH467" t="s">
        <v>74</v>
      </c>
      <c r="BI467">
        <v>19</v>
      </c>
      <c r="BJ467" t="s">
        <v>9300</v>
      </c>
      <c r="BK467" t="s">
        <v>100</v>
      </c>
      <c r="BL467" t="s">
        <v>1048</v>
      </c>
      <c r="BM467" t="s">
        <v>9301</v>
      </c>
      <c r="BN467" t="s">
        <v>74</v>
      </c>
      <c r="BO467" t="s">
        <v>74</v>
      </c>
      <c r="BP467" t="s">
        <v>74</v>
      </c>
      <c r="BQ467" t="s">
        <v>74</v>
      </c>
      <c r="BR467" t="s">
        <v>104</v>
      </c>
      <c r="BS467" t="s">
        <v>9302</v>
      </c>
      <c r="BT467" t="str">
        <f>HYPERLINK("https%3A%2F%2Fwww.webofscience.com%2Fwos%2Fwoscc%2Ffull-record%2FWOS:000353023200003","View Full Record in Web of Science")</f>
        <v>View Full Record in Web of Science</v>
      </c>
    </row>
    <row r="468" spans="1:72" x14ac:dyDescent="0.15">
      <c r="A468" t="s">
        <v>72</v>
      </c>
      <c r="B468" t="s">
        <v>9303</v>
      </c>
      <c r="C468" t="s">
        <v>74</v>
      </c>
      <c r="D468" t="s">
        <v>74</v>
      </c>
      <c r="E468" t="s">
        <v>74</v>
      </c>
      <c r="F468" t="s">
        <v>9304</v>
      </c>
      <c r="G468" t="s">
        <v>74</v>
      </c>
      <c r="H468" t="s">
        <v>74</v>
      </c>
      <c r="I468" t="s">
        <v>9305</v>
      </c>
      <c r="J468" t="s">
        <v>9291</v>
      </c>
      <c r="K468" t="s">
        <v>74</v>
      </c>
      <c r="L468" t="s">
        <v>74</v>
      </c>
      <c r="M468" t="s">
        <v>78</v>
      </c>
      <c r="N468" t="s">
        <v>79</v>
      </c>
      <c r="O468" t="s">
        <v>74</v>
      </c>
      <c r="P468" t="s">
        <v>74</v>
      </c>
      <c r="Q468" t="s">
        <v>74</v>
      </c>
      <c r="R468" t="s">
        <v>74</v>
      </c>
      <c r="S468" t="s">
        <v>74</v>
      </c>
      <c r="T468" t="s">
        <v>74</v>
      </c>
      <c r="U468" t="s">
        <v>9306</v>
      </c>
      <c r="V468" t="s">
        <v>9307</v>
      </c>
      <c r="W468" t="s">
        <v>9308</v>
      </c>
      <c r="X468" t="s">
        <v>9309</v>
      </c>
      <c r="Y468" t="s">
        <v>9310</v>
      </c>
      <c r="Z468" t="s">
        <v>9311</v>
      </c>
      <c r="AA468" t="s">
        <v>74</v>
      </c>
      <c r="AB468" t="s">
        <v>9312</v>
      </c>
      <c r="AC468" t="s">
        <v>9313</v>
      </c>
      <c r="AD468" t="s">
        <v>4217</v>
      </c>
      <c r="AE468" t="s">
        <v>9314</v>
      </c>
      <c r="AF468" t="s">
        <v>74</v>
      </c>
      <c r="AG468">
        <v>49</v>
      </c>
      <c r="AH468">
        <v>6</v>
      </c>
      <c r="AI468">
        <v>6</v>
      </c>
      <c r="AJ468">
        <v>0</v>
      </c>
      <c r="AK468">
        <v>18</v>
      </c>
      <c r="AL468" t="s">
        <v>2167</v>
      </c>
      <c r="AM468" t="s">
        <v>121</v>
      </c>
      <c r="AN468" t="s">
        <v>5926</v>
      </c>
      <c r="AO468" t="s">
        <v>9295</v>
      </c>
      <c r="AP468" t="s">
        <v>9296</v>
      </c>
      <c r="AQ468" t="s">
        <v>74</v>
      </c>
      <c r="AR468" t="s">
        <v>9297</v>
      </c>
      <c r="AS468" t="s">
        <v>9298</v>
      </c>
      <c r="AT468" t="s">
        <v>8975</v>
      </c>
      <c r="AU468">
        <v>2015</v>
      </c>
      <c r="AV468">
        <v>51</v>
      </c>
      <c r="AW468">
        <v>2</v>
      </c>
      <c r="AX468" t="s">
        <v>74</v>
      </c>
      <c r="AY468" t="s">
        <v>74</v>
      </c>
      <c r="AZ468" t="s">
        <v>74</v>
      </c>
      <c r="BA468" t="s">
        <v>74</v>
      </c>
      <c r="BB468">
        <v>151</v>
      </c>
      <c r="BC468">
        <v>159</v>
      </c>
      <c r="BD468" t="s">
        <v>74</v>
      </c>
      <c r="BE468" t="s">
        <v>9315</v>
      </c>
      <c r="BF468" t="str">
        <f>HYPERLINK("http://dx.doi.org/10.1017/S0032247413000740","http://dx.doi.org/10.1017/S0032247413000740")</f>
        <v>http://dx.doi.org/10.1017/S0032247413000740</v>
      </c>
      <c r="BG468" t="s">
        <v>74</v>
      </c>
      <c r="BH468" t="s">
        <v>74</v>
      </c>
      <c r="BI468">
        <v>9</v>
      </c>
      <c r="BJ468" t="s">
        <v>9300</v>
      </c>
      <c r="BK468" t="s">
        <v>100</v>
      </c>
      <c r="BL468" t="s">
        <v>1048</v>
      </c>
      <c r="BM468" t="s">
        <v>9301</v>
      </c>
      <c r="BN468" t="s">
        <v>74</v>
      </c>
      <c r="BO468" t="s">
        <v>74</v>
      </c>
      <c r="BP468" t="s">
        <v>74</v>
      </c>
      <c r="BQ468" t="s">
        <v>74</v>
      </c>
      <c r="BR468" t="s">
        <v>104</v>
      </c>
      <c r="BS468" t="s">
        <v>9316</v>
      </c>
      <c r="BT468" t="str">
        <f>HYPERLINK("https%3A%2F%2Fwww.webofscience.com%2Fwos%2Fwoscc%2Ffull-record%2FWOS:000353023200006","View Full Record in Web of Science")</f>
        <v>View Full Record in Web of Science</v>
      </c>
    </row>
    <row r="469" spans="1:72" x14ac:dyDescent="0.15">
      <c r="A469" t="s">
        <v>72</v>
      </c>
      <c r="B469" t="s">
        <v>9317</v>
      </c>
      <c r="C469" t="s">
        <v>74</v>
      </c>
      <c r="D469" t="s">
        <v>74</v>
      </c>
      <c r="E469" t="s">
        <v>74</v>
      </c>
      <c r="F469" t="s">
        <v>9318</v>
      </c>
      <c r="G469" t="s">
        <v>74</v>
      </c>
      <c r="H469" t="s">
        <v>74</v>
      </c>
      <c r="I469" t="s">
        <v>9319</v>
      </c>
      <c r="J469" t="s">
        <v>9320</v>
      </c>
      <c r="K469" t="s">
        <v>74</v>
      </c>
      <c r="L469" t="s">
        <v>74</v>
      </c>
      <c r="M469" t="s">
        <v>78</v>
      </c>
      <c r="N469" t="s">
        <v>79</v>
      </c>
      <c r="O469" t="s">
        <v>74</v>
      </c>
      <c r="P469" t="s">
        <v>74</v>
      </c>
      <c r="Q469" t="s">
        <v>74</v>
      </c>
      <c r="R469" t="s">
        <v>74</v>
      </c>
      <c r="S469" t="s">
        <v>74</v>
      </c>
      <c r="T469" t="s">
        <v>74</v>
      </c>
      <c r="U469" t="s">
        <v>9321</v>
      </c>
      <c r="V469" t="s">
        <v>9322</v>
      </c>
      <c r="W469" t="s">
        <v>9323</v>
      </c>
      <c r="X469" t="s">
        <v>9324</v>
      </c>
      <c r="Y469" t="s">
        <v>9325</v>
      </c>
      <c r="Z469" t="s">
        <v>9326</v>
      </c>
      <c r="AA469" t="s">
        <v>74</v>
      </c>
      <c r="AB469" t="s">
        <v>74</v>
      </c>
      <c r="AC469" t="s">
        <v>9327</v>
      </c>
      <c r="AD469" t="s">
        <v>9328</v>
      </c>
      <c r="AE469" t="s">
        <v>9329</v>
      </c>
      <c r="AF469" t="s">
        <v>74</v>
      </c>
      <c r="AG469">
        <v>32</v>
      </c>
      <c r="AH469">
        <v>7</v>
      </c>
      <c r="AI469">
        <v>7</v>
      </c>
      <c r="AJ469">
        <v>0</v>
      </c>
      <c r="AK469">
        <v>9</v>
      </c>
      <c r="AL469" t="s">
        <v>9330</v>
      </c>
      <c r="AM469" t="s">
        <v>9331</v>
      </c>
      <c r="AN469" t="s">
        <v>9332</v>
      </c>
      <c r="AO469" t="s">
        <v>9333</v>
      </c>
      <c r="AP469" t="s">
        <v>9334</v>
      </c>
      <c r="AQ469" t="s">
        <v>74</v>
      </c>
      <c r="AR469" t="s">
        <v>9320</v>
      </c>
      <c r="AS469" t="s">
        <v>9335</v>
      </c>
      <c r="AT469" t="s">
        <v>8975</v>
      </c>
      <c r="AU469">
        <v>2015</v>
      </c>
      <c r="AV469">
        <v>103</v>
      </c>
      <c r="AW469">
        <v>1</v>
      </c>
      <c r="AX469" t="s">
        <v>74</v>
      </c>
      <c r="AY469" t="s">
        <v>74</v>
      </c>
      <c r="AZ469" t="s">
        <v>74</v>
      </c>
      <c r="BA469" t="s">
        <v>74</v>
      </c>
      <c r="BB469">
        <v>64</v>
      </c>
      <c r="BC469">
        <v>71</v>
      </c>
      <c r="BD469" t="s">
        <v>74</v>
      </c>
      <c r="BE469" t="s">
        <v>9336</v>
      </c>
      <c r="BF469" t="str">
        <f>HYPERLINK("http://dx.doi.org/10.1643/CI-14-139","http://dx.doi.org/10.1643/CI-14-139")</f>
        <v>http://dx.doi.org/10.1643/CI-14-139</v>
      </c>
      <c r="BG469" t="s">
        <v>74</v>
      </c>
      <c r="BH469" t="s">
        <v>74</v>
      </c>
      <c r="BI469">
        <v>8</v>
      </c>
      <c r="BJ469" t="s">
        <v>509</v>
      </c>
      <c r="BK469" t="s">
        <v>100</v>
      </c>
      <c r="BL469" t="s">
        <v>509</v>
      </c>
      <c r="BM469" t="s">
        <v>9337</v>
      </c>
      <c r="BN469" t="s">
        <v>74</v>
      </c>
      <c r="BO469" t="s">
        <v>156</v>
      </c>
      <c r="BP469" t="s">
        <v>74</v>
      </c>
      <c r="BQ469" t="s">
        <v>74</v>
      </c>
      <c r="BR469" t="s">
        <v>104</v>
      </c>
      <c r="BS469" t="s">
        <v>9338</v>
      </c>
      <c r="BT469" t="str">
        <f>HYPERLINK("https%3A%2F%2Fwww.webofscience.com%2Fwos%2Fwoscc%2Ffull-record%2FWOS:000352465300008","View Full Record in Web of Science")</f>
        <v>View Full Record in Web of Science</v>
      </c>
    </row>
    <row r="470" spans="1:72" x14ac:dyDescent="0.15">
      <c r="A470" t="s">
        <v>72</v>
      </c>
      <c r="B470" t="s">
        <v>9339</v>
      </c>
      <c r="C470" t="s">
        <v>74</v>
      </c>
      <c r="D470" t="s">
        <v>74</v>
      </c>
      <c r="E470" t="s">
        <v>74</v>
      </c>
      <c r="F470" t="s">
        <v>9340</v>
      </c>
      <c r="G470" t="s">
        <v>74</v>
      </c>
      <c r="H470" t="s">
        <v>74</v>
      </c>
      <c r="I470" t="s">
        <v>9341</v>
      </c>
      <c r="J470" t="s">
        <v>9320</v>
      </c>
      <c r="K470" t="s">
        <v>74</v>
      </c>
      <c r="L470" t="s">
        <v>74</v>
      </c>
      <c r="M470" t="s">
        <v>78</v>
      </c>
      <c r="N470" t="s">
        <v>79</v>
      </c>
      <c r="O470" t="s">
        <v>74</v>
      </c>
      <c r="P470" t="s">
        <v>74</v>
      </c>
      <c r="Q470" t="s">
        <v>74</v>
      </c>
      <c r="R470" t="s">
        <v>74</v>
      </c>
      <c r="S470" t="s">
        <v>74</v>
      </c>
      <c r="T470" t="s">
        <v>74</v>
      </c>
      <c r="U470" t="s">
        <v>9342</v>
      </c>
      <c r="V470" t="s">
        <v>9343</v>
      </c>
      <c r="W470" t="s">
        <v>9344</v>
      </c>
      <c r="X470" t="s">
        <v>9345</v>
      </c>
      <c r="Y470" t="s">
        <v>9346</v>
      </c>
      <c r="Z470" t="s">
        <v>9347</v>
      </c>
      <c r="AA470" t="s">
        <v>9348</v>
      </c>
      <c r="AB470" t="s">
        <v>9349</v>
      </c>
      <c r="AC470" t="s">
        <v>9350</v>
      </c>
      <c r="AD470" t="s">
        <v>9351</v>
      </c>
      <c r="AE470" t="s">
        <v>9352</v>
      </c>
      <c r="AF470" t="s">
        <v>74</v>
      </c>
      <c r="AG470">
        <v>45</v>
      </c>
      <c r="AH470">
        <v>10</v>
      </c>
      <c r="AI470">
        <v>10</v>
      </c>
      <c r="AJ470">
        <v>1</v>
      </c>
      <c r="AK470">
        <v>19</v>
      </c>
      <c r="AL470" t="s">
        <v>9330</v>
      </c>
      <c r="AM470" t="s">
        <v>9331</v>
      </c>
      <c r="AN470" t="s">
        <v>9332</v>
      </c>
      <c r="AO470" t="s">
        <v>9333</v>
      </c>
      <c r="AP470" t="s">
        <v>9334</v>
      </c>
      <c r="AQ470" t="s">
        <v>74</v>
      </c>
      <c r="AR470" t="s">
        <v>9320</v>
      </c>
      <c r="AS470" t="s">
        <v>9335</v>
      </c>
      <c r="AT470" t="s">
        <v>8975</v>
      </c>
      <c r="AU470">
        <v>2015</v>
      </c>
      <c r="AV470">
        <v>103</v>
      </c>
      <c r="AW470">
        <v>1</v>
      </c>
      <c r="AX470" t="s">
        <v>74</v>
      </c>
      <c r="AY470" t="s">
        <v>74</v>
      </c>
      <c r="AZ470" t="s">
        <v>74</v>
      </c>
      <c r="BA470" t="s">
        <v>74</v>
      </c>
      <c r="BB470">
        <v>78</v>
      </c>
      <c r="BC470">
        <v>86</v>
      </c>
      <c r="BD470" t="s">
        <v>74</v>
      </c>
      <c r="BE470" t="s">
        <v>9353</v>
      </c>
      <c r="BF470" t="str">
        <f>HYPERLINK("http://dx.doi.org/10.1643/CG-14-119","http://dx.doi.org/10.1643/CG-14-119")</f>
        <v>http://dx.doi.org/10.1643/CG-14-119</v>
      </c>
      <c r="BG470" t="s">
        <v>74</v>
      </c>
      <c r="BH470" t="s">
        <v>74</v>
      </c>
      <c r="BI470">
        <v>9</v>
      </c>
      <c r="BJ470" t="s">
        <v>509</v>
      </c>
      <c r="BK470" t="s">
        <v>100</v>
      </c>
      <c r="BL470" t="s">
        <v>509</v>
      </c>
      <c r="BM470" t="s">
        <v>9337</v>
      </c>
      <c r="BN470" t="s">
        <v>74</v>
      </c>
      <c r="BO470" t="s">
        <v>74</v>
      </c>
      <c r="BP470" t="s">
        <v>74</v>
      </c>
      <c r="BQ470" t="s">
        <v>74</v>
      </c>
      <c r="BR470" t="s">
        <v>104</v>
      </c>
      <c r="BS470" t="s">
        <v>9354</v>
      </c>
      <c r="BT470" t="str">
        <f>HYPERLINK("https%3A%2F%2Fwww.webofscience.com%2Fwos%2Fwoscc%2Ffull-record%2FWOS:000352465300010","View Full Record in Web of Science")</f>
        <v>View Full Record in Web of Science</v>
      </c>
    </row>
    <row r="471" spans="1:72" x14ac:dyDescent="0.15">
      <c r="A471" t="s">
        <v>72</v>
      </c>
      <c r="B471" t="s">
        <v>9355</v>
      </c>
      <c r="C471" t="s">
        <v>74</v>
      </c>
      <c r="D471" t="s">
        <v>74</v>
      </c>
      <c r="E471" t="s">
        <v>74</v>
      </c>
      <c r="F471" t="s">
        <v>9356</v>
      </c>
      <c r="G471" t="s">
        <v>74</v>
      </c>
      <c r="H471" t="s">
        <v>74</v>
      </c>
      <c r="I471" t="s">
        <v>9357</v>
      </c>
      <c r="J471" t="s">
        <v>9358</v>
      </c>
      <c r="K471" t="s">
        <v>74</v>
      </c>
      <c r="L471" t="s">
        <v>74</v>
      </c>
      <c r="M471" t="s">
        <v>78</v>
      </c>
      <c r="N471" t="s">
        <v>1291</v>
      </c>
      <c r="O471" t="s">
        <v>74</v>
      </c>
      <c r="P471" t="s">
        <v>74</v>
      </c>
      <c r="Q471" t="s">
        <v>74</v>
      </c>
      <c r="R471" t="s">
        <v>74</v>
      </c>
      <c r="S471" t="s">
        <v>74</v>
      </c>
      <c r="T471" t="s">
        <v>9359</v>
      </c>
      <c r="U471" t="s">
        <v>9360</v>
      </c>
      <c r="V471" t="s">
        <v>9361</v>
      </c>
      <c r="W471" t="s">
        <v>9362</v>
      </c>
      <c r="X471" t="s">
        <v>9363</v>
      </c>
      <c r="Y471" t="s">
        <v>9364</v>
      </c>
      <c r="Z471" t="s">
        <v>9365</v>
      </c>
      <c r="AA471" t="s">
        <v>9366</v>
      </c>
      <c r="AB471" t="s">
        <v>9367</v>
      </c>
      <c r="AC471" t="s">
        <v>74</v>
      </c>
      <c r="AD471" t="s">
        <v>74</v>
      </c>
      <c r="AE471" t="s">
        <v>74</v>
      </c>
      <c r="AF471" t="s">
        <v>74</v>
      </c>
      <c r="AG471">
        <v>28</v>
      </c>
      <c r="AH471">
        <v>1</v>
      </c>
      <c r="AI471">
        <v>1</v>
      </c>
      <c r="AJ471">
        <v>1</v>
      </c>
      <c r="AK471">
        <v>32</v>
      </c>
      <c r="AL471" t="s">
        <v>2440</v>
      </c>
      <c r="AM471" t="s">
        <v>121</v>
      </c>
      <c r="AN471" t="s">
        <v>2441</v>
      </c>
      <c r="AO471" t="s">
        <v>9368</v>
      </c>
      <c r="AP471" t="s">
        <v>9369</v>
      </c>
      <c r="AQ471" t="s">
        <v>74</v>
      </c>
      <c r="AR471" t="s">
        <v>9370</v>
      </c>
      <c r="AS471" t="s">
        <v>483</v>
      </c>
      <c r="AT471" t="s">
        <v>8975</v>
      </c>
      <c r="AU471">
        <v>2015</v>
      </c>
      <c r="AV471">
        <v>84</v>
      </c>
      <c r="AW471">
        <v>2</v>
      </c>
      <c r="AX471" t="s">
        <v>74</v>
      </c>
      <c r="AY471" t="s">
        <v>74</v>
      </c>
      <c r="AZ471" t="s">
        <v>74</v>
      </c>
      <c r="BA471" t="s">
        <v>74</v>
      </c>
      <c r="BB471">
        <v>125</v>
      </c>
      <c r="BC471">
        <v>129</v>
      </c>
      <c r="BD471" t="s">
        <v>74</v>
      </c>
      <c r="BE471" t="s">
        <v>9371</v>
      </c>
      <c r="BF471" t="str">
        <f>HYPERLINK("http://dx.doi.org/10.1134/S0026261715020083","http://dx.doi.org/10.1134/S0026261715020083")</f>
        <v>http://dx.doi.org/10.1134/S0026261715020083</v>
      </c>
      <c r="BG471" t="s">
        <v>74</v>
      </c>
      <c r="BH471" t="s">
        <v>74</v>
      </c>
      <c r="BI471">
        <v>5</v>
      </c>
      <c r="BJ471" t="s">
        <v>483</v>
      </c>
      <c r="BK471" t="s">
        <v>100</v>
      </c>
      <c r="BL471" t="s">
        <v>483</v>
      </c>
      <c r="BM471" t="s">
        <v>9372</v>
      </c>
      <c r="BN471" t="s">
        <v>74</v>
      </c>
      <c r="BO471" t="s">
        <v>74</v>
      </c>
      <c r="BP471" t="s">
        <v>74</v>
      </c>
      <c r="BQ471" t="s">
        <v>74</v>
      </c>
      <c r="BR471" t="s">
        <v>104</v>
      </c>
      <c r="BS471" t="s">
        <v>9373</v>
      </c>
      <c r="BT471" t="str">
        <f>HYPERLINK("https%3A%2F%2Fwww.webofscience.com%2Fwos%2Fwoscc%2Ffull-record%2FWOS:000352482300003","View Full Record in Web of Science")</f>
        <v>View Full Record in Web of Science</v>
      </c>
    </row>
    <row r="472" spans="1:72" x14ac:dyDescent="0.15">
      <c r="A472" t="s">
        <v>72</v>
      </c>
      <c r="B472" t="s">
        <v>9374</v>
      </c>
      <c r="C472" t="s">
        <v>74</v>
      </c>
      <c r="D472" t="s">
        <v>74</v>
      </c>
      <c r="E472" t="s">
        <v>74</v>
      </c>
      <c r="F472" t="s">
        <v>9375</v>
      </c>
      <c r="G472" t="s">
        <v>74</v>
      </c>
      <c r="H472" t="s">
        <v>74</v>
      </c>
      <c r="I472" t="s">
        <v>9376</v>
      </c>
      <c r="J472" t="s">
        <v>2019</v>
      </c>
      <c r="K472" t="s">
        <v>74</v>
      </c>
      <c r="L472" t="s">
        <v>74</v>
      </c>
      <c r="M472" t="s">
        <v>2020</v>
      </c>
      <c r="N472" t="s">
        <v>79</v>
      </c>
      <c r="O472" t="s">
        <v>74</v>
      </c>
      <c r="P472" t="s">
        <v>74</v>
      </c>
      <c r="Q472" t="s">
        <v>74</v>
      </c>
      <c r="R472" t="s">
        <v>74</v>
      </c>
      <c r="S472" t="s">
        <v>74</v>
      </c>
      <c r="T472" t="s">
        <v>9377</v>
      </c>
      <c r="U472" t="s">
        <v>9378</v>
      </c>
      <c r="V472" t="s">
        <v>9379</v>
      </c>
      <c r="W472" t="s">
        <v>9380</v>
      </c>
      <c r="X472" t="s">
        <v>9381</v>
      </c>
      <c r="Y472" t="s">
        <v>9382</v>
      </c>
      <c r="Z472" t="s">
        <v>9383</v>
      </c>
      <c r="AA472" t="s">
        <v>9384</v>
      </c>
      <c r="AB472" t="s">
        <v>74</v>
      </c>
      <c r="AC472" t="s">
        <v>74</v>
      </c>
      <c r="AD472" t="s">
        <v>74</v>
      </c>
      <c r="AE472" t="s">
        <v>74</v>
      </c>
      <c r="AF472" t="s">
        <v>74</v>
      </c>
      <c r="AG472">
        <v>58</v>
      </c>
      <c r="AH472">
        <v>13</v>
      </c>
      <c r="AI472">
        <v>23</v>
      </c>
      <c r="AJ472">
        <v>1</v>
      </c>
      <c r="AK472">
        <v>52</v>
      </c>
      <c r="AL472" t="s">
        <v>2028</v>
      </c>
      <c r="AM472" t="s">
        <v>2029</v>
      </c>
      <c r="AN472" t="s">
        <v>2030</v>
      </c>
      <c r="AO472" t="s">
        <v>2031</v>
      </c>
      <c r="AP472" t="s">
        <v>74</v>
      </c>
      <c r="AQ472" t="s">
        <v>74</v>
      </c>
      <c r="AR472" t="s">
        <v>2032</v>
      </c>
      <c r="AS472" t="s">
        <v>2033</v>
      </c>
      <c r="AT472" t="s">
        <v>8975</v>
      </c>
      <c r="AU472">
        <v>2015</v>
      </c>
      <c r="AV472">
        <v>58</v>
      </c>
      <c r="AW472">
        <v>3</v>
      </c>
      <c r="AX472" t="s">
        <v>74</v>
      </c>
      <c r="AY472" t="s">
        <v>74</v>
      </c>
      <c r="AZ472" t="s">
        <v>74</v>
      </c>
      <c r="BA472" t="s">
        <v>74</v>
      </c>
      <c r="BB472">
        <v>780</v>
      </c>
      <c r="BC472">
        <v>792</v>
      </c>
      <c r="BD472" t="s">
        <v>74</v>
      </c>
      <c r="BE472" t="s">
        <v>9385</v>
      </c>
      <c r="BF472" t="str">
        <f>HYPERLINK("http://dx.doi.org/10.6038/cjg20150308","http://dx.doi.org/10.6038/cjg20150308")</f>
        <v>http://dx.doi.org/10.6038/cjg20150308</v>
      </c>
      <c r="BG472" t="s">
        <v>74</v>
      </c>
      <c r="BH472" t="s">
        <v>74</v>
      </c>
      <c r="BI472">
        <v>13</v>
      </c>
      <c r="BJ472" t="s">
        <v>863</v>
      </c>
      <c r="BK472" t="s">
        <v>100</v>
      </c>
      <c r="BL472" t="s">
        <v>863</v>
      </c>
      <c r="BM472" t="s">
        <v>9386</v>
      </c>
      <c r="BN472" t="s">
        <v>74</v>
      </c>
      <c r="BO472" t="s">
        <v>74</v>
      </c>
      <c r="BP472" t="s">
        <v>74</v>
      </c>
      <c r="BQ472" t="s">
        <v>74</v>
      </c>
      <c r="BR472" t="s">
        <v>104</v>
      </c>
      <c r="BS472" t="s">
        <v>9387</v>
      </c>
      <c r="BT472" t="str">
        <f>HYPERLINK("https%3A%2F%2Fwww.webofscience.com%2Fwos%2Fwoscc%2Ffull-record%2FWOS:000352185700008","View Full Record in Web of Science")</f>
        <v>View Full Record in Web of Science</v>
      </c>
    </row>
    <row r="473" spans="1:72" x14ac:dyDescent="0.15">
      <c r="A473" t="s">
        <v>72</v>
      </c>
      <c r="B473" t="s">
        <v>9388</v>
      </c>
      <c r="C473" t="s">
        <v>74</v>
      </c>
      <c r="D473" t="s">
        <v>74</v>
      </c>
      <c r="E473" t="s">
        <v>74</v>
      </c>
      <c r="F473" t="s">
        <v>9389</v>
      </c>
      <c r="G473" t="s">
        <v>74</v>
      </c>
      <c r="H473" t="s">
        <v>74</v>
      </c>
      <c r="I473" t="s">
        <v>9390</v>
      </c>
      <c r="J473" t="s">
        <v>9391</v>
      </c>
      <c r="K473" t="s">
        <v>74</v>
      </c>
      <c r="L473" t="s">
        <v>74</v>
      </c>
      <c r="M473" t="s">
        <v>78</v>
      </c>
      <c r="N473" t="s">
        <v>79</v>
      </c>
      <c r="O473" t="s">
        <v>74</v>
      </c>
      <c r="P473" t="s">
        <v>74</v>
      </c>
      <c r="Q473" t="s">
        <v>74</v>
      </c>
      <c r="R473" t="s">
        <v>74</v>
      </c>
      <c r="S473" t="s">
        <v>74</v>
      </c>
      <c r="T473" t="s">
        <v>74</v>
      </c>
      <c r="U473" t="s">
        <v>9392</v>
      </c>
      <c r="V473" t="s">
        <v>9393</v>
      </c>
      <c r="W473" t="s">
        <v>9394</v>
      </c>
      <c r="X473" t="s">
        <v>9395</v>
      </c>
      <c r="Y473" t="s">
        <v>9396</v>
      </c>
      <c r="Z473" t="s">
        <v>9397</v>
      </c>
      <c r="AA473" t="s">
        <v>74</v>
      </c>
      <c r="AB473" t="s">
        <v>74</v>
      </c>
      <c r="AC473" t="s">
        <v>9398</v>
      </c>
      <c r="AD473" t="s">
        <v>9399</v>
      </c>
      <c r="AE473" t="s">
        <v>9400</v>
      </c>
      <c r="AF473" t="s">
        <v>74</v>
      </c>
      <c r="AG473">
        <v>48</v>
      </c>
      <c r="AH473">
        <v>4</v>
      </c>
      <c r="AI473">
        <v>4</v>
      </c>
      <c r="AJ473">
        <v>0</v>
      </c>
      <c r="AK473">
        <v>11</v>
      </c>
      <c r="AL473" t="s">
        <v>9401</v>
      </c>
      <c r="AM473" t="s">
        <v>9402</v>
      </c>
      <c r="AN473" t="s">
        <v>9403</v>
      </c>
      <c r="AO473" t="s">
        <v>9404</v>
      </c>
      <c r="AP473" t="s">
        <v>9405</v>
      </c>
      <c r="AQ473" t="s">
        <v>74</v>
      </c>
      <c r="AR473" t="s">
        <v>9391</v>
      </c>
      <c r="AS473" t="s">
        <v>9406</v>
      </c>
      <c r="AT473" t="s">
        <v>9061</v>
      </c>
      <c r="AU473">
        <v>2015</v>
      </c>
      <c r="AV473">
        <v>80</v>
      </c>
      <c r="AW473">
        <v>2</v>
      </c>
      <c r="AX473" t="s">
        <v>74</v>
      </c>
      <c r="AY473" t="s">
        <v>74</v>
      </c>
      <c r="AZ473" t="s">
        <v>74</v>
      </c>
      <c r="BA473" t="s">
        <v>74</v>
      </c>
      <c r="BB473" t="s">
        <v>9407</v>
      </c>
      <c r="BC473" t="s">
        <v>9408</v>
      </c>
      <c r="BD473" t="s">
        <v>74</v>
      </c>
      <c r="BE473" t="s">
        <v>9409</v>
      </c>
      <c r="BF473" t="str">
        <f>HYPERLINK("http://dx.doi.org/10.1190/GEO2014-0117.1","http://dx.doi.org/10.1190/GEO2014-0117.1")</f>
        <v>http://dx.doi.org/10.1190/GEO2014-0117.1</v>
      </c>
      <c r="BG473" t="s">
        <v>74</v>
      </c>
      <c r="BH473" t="s">
        <v>74</v>
      </c>
      <c r="BI473">
        <v>10</v>
      </c>
      <c r="BJ473" t="s">
        <v>863</v>
      </c>
      <c r="BK473" t="s">
        <v>100</v>
      </c>
      <c r="BL473" t="s">
        <v>863</v>
      </c>
      <c r="BM473" t="s">
        <v>9410</v>
      </c>
      <c r="BN473" t="s">
        <v>74</v>
      </c>
      <c r="BO473" t="s">
        <v>74</v>
      </c>
      <c r="BP473" t="s">
        <v>74</v>
      </c>
      <c r="BQ473" t="s">
        <v>74</v>
      </c>
      <c r="BR473" t="s">
        <v>104</v>
      </c>
      <c r="BS473" t="s">
        <v>9411</v>
      </c>
      <c r="BT473" t="str">
        <f>HYPERLINK("https%3A%2F%2Fwww.webofscience.com%2Fwos%2Fwoscc%2Ffull-record%2FWOS:000352218700034","View Full Record in Web of Science")</f>
        <v>View Full Record in Web of Science</v>
      </c>
    </row>
    <row r="474" spans="1:72" x14ac:dyDescent="0.15">
      <c r="A474" t="s">
        <v>72</v>
      </c>
      <c r="B474" t="s">
        <v>9412</v>
      </c>
      <c r="C474" t="s">
        <v>74</v>
      </c>
      <c r="D474" t="s">
        <v>74</v>
      </c>
      <c r="E474" t="s">
        <v>74</v>
      </c>
      <c r="F474" t="s">
        <v>9413</v>
      </c>
      <c r="G474" t="s">
        <v>74</v>
      </c>
      <c r="H474" t="s">
        <v>74</v>
      </c>
      <c r="I474" t="s">
        <v>9414</v>
      </c>
      <c r="J474" t="s">
        <v>9415</v>
      </c>
      <c r="K474" t="s">
        <v>74</v>
      </c>
      <c r="L474" t="s">
        <v>74</v>
      </c>
      <c r="M474" t="s">
        <v>78</v>
      </c>
      <c r="N474" t="s">
        <v>79</v>
      </c>
      <c r="O474" t="s">
        <v>74</v>
      </c>
      <c r="P474" t="s">
        <v>74</v>
      </c>
      <c r="Q474" t="s">
        <v>74</v>
      </c>
      <c r="R474" t="s">
        <v>74</v>
      </c>
      <c r="S474" t="s">
        <v>74</v>
      </c>
      <c r="T474" t="s">
        <v>9416</v>
      </c>
      <c r="U474" t="s">
        <v>9417</v>
      </c>
      <c r="V474" t="s">
        <v>9418</v>
      </c>
      <c r="W474" t="s">
        <v>9419</v>
      </c>
      <c r="X474" t="s">
        <v>9420</v>
      </c>
      <c r="Y474" t="s">
        <v>9421</v>
      </c>
      <c r="Z474" t="s">
        <v>9422</v>
      </c>
      <c r="AA474" t="s">
        <v>9423</v>
      </c>
      <c r="AB474" t="s">
        <v>9424</v>
      </c>
      <c r="AC474" t="s">
        <v>9425</v>
      </c>
      <c r="AD474" t="s">
        <v>9426</v>
      </c>
      <c r="AE474" t="s">
        <v>9427</v>
      </c>
      <c r="AF474" t="s">
        <v>74</v>
      </c>
      <c r="AG474">
        <v>36</v>
      </c>
      <c r="AH474">
        <v>11</v>
      </c>
      <c r="AI474">
        <v>12</v>
      </c>
      <c r="AJ474">
        <v>0</v>
      </c>
      <c r="AK474">
        <v>20</v>
      </c>
      <c r="AL474" t="s">
        <v>9428</v>
      </c>
      <c r="AM474" t="s">
        <v>9429</v>
      </c>
      <c r="AN474" t="s">
        <v>9430</v>
      </c>
      <c r="AO474" t="s">
        <v>9431</v>
      </c>
      <c r="AP474" t="s">
        <v>9432</v>
      </c>
      <c r="AQ474" t="s">
        <v>74</v>
      </c>
      <c r="AR474" t="s">
        <v>9433</v>
      </c>
      <c r="AS474" t="s">
        <v>9434</v>
      </c>
      <c r="AT474" t="s">
        <v>8975</v>
      </c>
      <c r="AU474">
        <v>2015</v>
      </c>
      <c r="AV474">
        <v>87</v>
      </c>
      <c r="AW474">
        <v>1</v>
      </c>
      <c r="AX474" t="s">
        <v>74</v>
      </c>
      <c r="AY474" t="s">
        <v>74</v>
      </c>
      <c r="AZ474" t="s">
        <v>74</v>
      </c>
      <c r="BA474" t="s">
        <v>74</v>
      </c>
      <c r="BB474">
        <v>109</v>
      </c>
      <c r="BC474">
        <v>119</v>
      </c>
      <c r="BD474" t="s">
        <v>74</v>
      </c>
      <c r="BE474" t="s">
        <v>9435</v>
      </c>
      <c r="BF474" t="str">
        <f>HYPERLINK("http://dx.doi.org/10.1590/0001-3765201520130519","http://dx.doi.org/10.1590/0001-3765201520130519")</f>
        <v>http://dx.doi.org/10.1590/0001-3765201520130519</v>
      </c>
      <c r="BG474" t="s">
        <v>74</v>
      </c>
      <c r="BH474" t="s">
        <v>74</v>
      </c>
      <c r="BI474">
        <v>11</v>
      </c>
      <c r="BJ474" t="s">
        <v>429</v>
      </c>
      <c r="BK474" t="s">
        <v>100</v>
      </c>
      <c r="BL474" t="s">
        <v>430</v>
      </c>
      <c r="BM474" t="s">
        <v>9436</v>
      </c>
      <c r="BN474">
        <v>25806979</v>
      </c>
      <c r="BO474" t="s">
        <v>9437</v>
      </c>
      <c r="BP474" t="s">
        <v>74</v>
      </c>
      <c r="BQ474" t="s">
        <v>74</v>
      </c>
      <c r="BR474" t="s">
        <v>104</v>
      </c>
      <c r="BS474" t="s">
        <v>9438</v>
      </c>
      <c r="BT474" t="str">
        <f>HYPERLINK("https%3A%2F%2Fwww.webofscience.com%2Fwos%2Fwoscc%2Ffull-record%2FWOS:000351560600011","View Full Record in Web of Science")</f>
        <v>View Full Record in Web of Science</v>
      </c>
    </row>
    <row r="475" spans="1:72" x14ac:dyDescent="0.15">
      <c r="A475" t="s">
        <v>72</v>
      </c>
      <c r="B475" t="s">
        <v>9439</v>
      </c>
      <c r="C475" t="s">
        <v>74</v>
      </c>
      <c r="D475" t="s">
        <v>74</v>
      </c>
      <c r="E475" t="s">
        <v>74</v>
      </c>
      <c r="F475" t="s">
        <v>9440</v>
      </c>
      <c r="G475" t="s">
        <v>74</v>
      </c>
      <c r="H475" t="s">
        <v>74</v>
      </c>
      <c r="I475" t="s">
        <v>9441</v>
      </c>
      <c r="J475" t="s">
        <v>9442</v>
      </c>
      <c r="K475" t="s">
        <v>74</v>
      </c>
      <c r="L475" t="s">
        <v>74</v>
      </c>
      <c r="M475" t="s">
        <v>78</v>
      </c>
      <c r="N475" t="s">
        <v>79</v>
      </c>
      <c r="O475" t="s">
        <v>74</v>
      </c>
      <c r="P475" t="s">
        <v>74</v>
      </c>
      <c r="Q475" t="s">
        <v>74</v>
      </c>
      <c r="R475" t="s">
        <v>74</v>
      </c>
      <c r="S475" t="s">
        <v>74</v>
      </c>
      <c r="T475" t="s">
        <v>9443</v>
      </c>
      <c r="U475" t="s">
        <v>9444</v>
      </c>
      <c r="V475" t="s">
        <v>9445</v>
      </c>
      <c r="W475" t="s">
        <v>9446</v>
      </c>
      <c r="X475" t="s">
        <v>9447</v>
      </c>
      <c r="Y475" t="s">
        <v>9448</v>
      </c>
      <c r="Z475" t="s">
        <v>9449</v>
      </c>
      <c r="AA475" t="s">
        <v>74</v>
      </c>
      <c r="AB475" t="s">
        <v>9450</v>
      </c>
      <c r="AC475" t="s">
        <v>74</v>
      </c>
      <c r="AD475" t="s">
        <v>74</v>
      </c>
      <c r="AE475" t="s">
        <v>74</v>
      </c>
      <c r="AF475" t="s">
        <v>74</v>
      </c>
      <c r="AG475">
        <v>25</v>
      </c>
      <c r="AH475">
        <v>3</v>
      </c>
      <c r="AI475">
        <v>3</v>
      </c>
      <c r="AJ475">
        <v>0</v>
      </c>
      <c r="AK475">
        <v>4</v>
      </c>
      <c r="AL475" t="s">
        <v>1391</v>
      </c>
      <c r="AM475" t="s">
        <v>1392</v>
      </c>
      <c r="AN475" t="s">
        <v>1393</v>
      </c>
      <c r="AO475" t="s">
        <v>9451</v>
      </c>
      <c r="AP475" t="s">
        <v>9452</v>
      </c>
      <c r="AQ475" t="s">
        <v>74</v>
      </c>
      <c r="AR475" t="s">
        <v>9453</v>
      </c>
      <c r="AS475" t="s">
        <v>9454</v>
      </c>
      <c r="AT475" t="s">
        <v>8975</v>
      </c>
      <c r="AU475">
        <v>2015</v>
      </c>
      <c r="AV475">
        <v>40</v>
      </c>
      <c r="AW475">
        <v>3</v>
      </c>
      <c r="AX475" t="s">
        <v>74</v>
      </c>
      <c r="AY475" t="s">
        <v>74</v>
      </c>
      <c r="AZ475" t="s">
        <v>74</v>
      </c>
      <c r="BA475" t="s">
        <v>74</v>
      </c>
      <c r="BB475">
        <v>292</v>
      </c>
      <c r="BC475">
        <v>297</v>
      </c>
      <c r="BD475" t="s">
        <v>74</v>
      </c>
      <c r="BE475" t="s">
        <v>9455</v>
      </c>
      <c r="BF475" t="str">
        <f>HYPERLINK("http://dx.doi.org/10.1139/apnm-2014-0418","http://dx.doi.org/10.1139/apnm-2014-0418")</f>
        <v>http://dx.doi.org/10.1139/apnm-2014-0418</v>
      </c>
      <c r="BG475" t="s">
        <v>74</v>
      </c>
      <c r="BH475" t="s">
        <v>74</v>
      </c>
      <c r="BI475">
        <v>6</v>
      </c>
      <c r="BJ475" t="s">
        <v>9456</v>
      </c>
      <c r="BK475" t="s">
        <v>100</v>
      </c>
      <c r="BL475" t="s">
        <v>9456</v>
      </c>
      <c r="BM475" t="s">
        <v>9457</v>
      </c>
      <c r="BN475">
        <v>26688869</v>
      </c>
      <c r="BO475" t="s">
        <v>408</v>
      </c>
      <c r="BP475" t="s">
        <v>74</v>
      </c>
      <c r="BQ475" t="s">
        <v>74</v>
      </c>
      <c r="BR475" t="s">
        <v>104</v>
      </c>
      <c r="BS475" t="s">
        <v>9458</v>
      </c>
      <c r="BT475" t="str">
        <f>HYPERLINK("https%3A%2F%2Fwww.webofscience.com%2Fwos%2Fwoscc%2Ffull-record%2FWOS:000351949000012","View Full Record in Web of Science")</f>
        <v>View Full Record in Web of Science</v>
      </c>
    </row>
    <row r="476" spans="1:72" x14ac:dyDescent="0.15">
      <c r="A476" t="s">
        <v>72</v>
      </c>
      <c r="B476" t="s">
        <v>9459</v>
      </c>
      <c r="C476" t="s">
        <v>74</v>
      </c>
      <c r="D476" t="s">
        <v>74</v>
      </c>
      <c r="E476" t="s">
        <v>74</v>
      </c>
      <c r="F476" t="s">
        <v>9460</v>
      </c>
      <c r="G476" t="s">
        <v>74</v>
      </c>
      <c r="H476" t="s">
        <v>74</v>
      </c>
      <c r="I476" t="s">
        <v>9461</v>
      </c>
      <c r="J476" t="s">
        <v>2131</v>
      </c>
      <c r="K476" t="s">
        <v>74</v>
      </c>
      <c r="L476" t="s">
        <v>74</v>
      </c>
      <c r="M476" t="s">
        <v>78</v>
      </c>
      <c r="N476" t="s">
        <v>79</v>
      </c>
      <c r="O476" t="s">
        <v>74</v>
      </c>
      <c r="P476" t="s">
        <v>74</v>
      </c>
      <c r="Q476" t="s">
        <v>74</v>
      </c>
      <c r="R476" t="s">
        <v>74</v>
      </c>
      <c r="S476" t="s">
        <v>74</v>
      </c>
      <c r="T476" t="s">
        <v>9462</v>
      </c>
      <c r="U476" t="s">
        <v>9463</v>
      </c>
      <c r="V476" t="s">
        <v>9464</v>
      </c>
      <c r="W476" t="s">
        <v>9465</v>
      </c>
      <c r="X476" t="s">
        <v>9466</v>
      </c>
      <c r="Y476" t="s">
        <v>9467</v>
      </c>
      <c r="Z476" t="s">
        <v>9468</v>
      </c>
      <c r="AA476" t="s">
        <v>9469</v>
      </c>
      <c r="AB476" t="s">
        <v>9470</v>
      </c>
      <c r="AC476" t="s">
        <v>9471</v>
      </c>
      <c r="AD476" t="s">
        <v>9472</v>
      </c>
      <c r="AE476" t="s">
        <v>9473</v>
      </c>
      <c r="AF476" t="s">
        <v>74</v>
      </c>
      <c r="AG476">
        <v>78</v>
      </c>
      <c r="AH476">
        <v>52</v>
      </c>
      <c r="AI476">
        <v>57</v>
      </c>
      <c r="AJ476">
        <v>1</v>
      </c>
      <c r="AK476">
        <v>63</v>
      </c>
      <c r="AL476" t="s">
        <v>786</v>
      </c>
      <c r="AM476" t="s">
        <v>787</v>
      </c>
      <c r="AN476" t="s">
        <v>788</v>
      </c>
      <c r="AO476" t="s">
        <v>2144</v>
      </c>
      <c r="AP476" t="s">
        <v>2145</v>
      </c>
      <c r="AQ476" t="s">
        <v>74</v>
      </c>
      <c r="AR476" t="s">
        <v>2146</v>
      </c>
      <c r="AS476" t="s">
        <v>2147</v>
      </c>
      <c r="AT476" t="s">
        <v>8975</v>
      </c>
      <c r="AU476">
        <v>2015</v>
      </c>
      <c r="AV476">
        <v>113</v>
      </c>
      <c r="AW476" t="s">
        <v>74</v>
      </c>
      <c r="AX476" t="s">
        <v>74</v>
      </c>
      <c r="AY476" t="s">
        <v>74</v>
      </c>
      <c r="AZ476" t="s">
        <v>454</v>
      </c>
      <c r="BA476" t="s">
        <v>74</v>
      </c>
      <c r="BB476">
        <v>225</v>
      </c>
      <c r="BC476">
        <v>234</v>
      </c>
      <c r="BD476" t="s">
        <v>74</v>
      </c>
      <c r="BE476" t="s">
        <v>9474</v>
      </c>
      <c r="BF476" t="str">
        <f>HYPERLINK("http://dx.doi.org/10.1016/j.dsr2.2014.04.007","http://dx.doi.org/10.1016/j.dsr2.2014.04.007")</f>
        <v>http://dx.doi.org/10.1016/j.dsr2.2014.04.007</v>
      </c>
      <c r="BG476" t="s">
        <v>74</v>
      </c>
      <c r="BH476" t="s">
        <v>74</v>
      </c>
      <c r="BI476">
        <v>10</v>
      </c>
      <c r="BJ476" t="s">
        <v>1540</v>
      </c>
      <c r="BK476" t="s">
        <v>100</v>
      </c>
      <c r="BL476" t="s">
        <v>1540</v>
      </c>
      <c r="BM476" t="s">
        <v>9475</v>
      </c>
      <c r="BN476" t="s">
        <v>74</v>
      </c>
      <c r="BO476" t="s">
        <v>74</v>
      </c>
      <c r="BP476" t="s">
        <v>74</v>
      </c>
      <c r="BQ476" t="s">
        <v>74</v>
      </c>
      <c r="BR476" t="s">
        <v>104</v>
      </c>
      <c r="BS476" t="s">
        <v>9476</v>
      </c>
      <c r="BT476" t="str">
        <f>HYPERLINK("https%3A%2F%2Fwww.webofscience.com%2Fwos%2Fwoscc%2Ffull-record%2FWOS:000351978700018","View Full Record in Web of Science")</f>
        <v>View Full Record in Web of Science</v>
      </c>
    </row>
    <row r="477" spans="1:72" x14ac:dyDescent="0.15">
      <c r="A477" t="s">
        <v>72</v>
      </c>
      <c r="B477" t="s">
        <v>9477</v>
      </c>
      <c r="C477" t="s">
        <v>74</v>
      </c>
      <c r="D477" t="s">
        <v>74</v>
      </c>
      <c r="E477" t="s">
        <v>74</v>
      </c>
      <c r="F477" t="s">
        <v>9478</v>
      </c>
      <c r="G477" t="s">
        <v>74</v>
      </c>
      <c r="H477" t="s">
        <v>74</v>
      </c>
      <c r="I477" t="s">
        <v>9479</v>
      </c>
      <c r="J477" t="s">
        <v>2131</v>
      </c>
      <c r="K477" t="s">
        <v>74</v>
      </c>
      <c r="L477" t="s">
        <v>74</v>
      </c>
      <c r="M477" t="s">
        <v>78</v>
      </c>
      <c r="N477" t="s">
        <v>79</v>
      </c>
      <c r="O477" t="s">
        <v>74</v>
      </c>
      <c r="P477" t="s">
        <v>74</v>
      </c>
      <c r="Q477" t="s">
        <v>74</v>
      </c>
      <c r="R477" t="s">
        <v>74</v>
      </c>
      <c r="S477" t="s">
        <v>74</v>
      </c>
      <c r="T477" t="s">
        <v>9480</v>
      </c>
      <c r="U477" t="s">
        <v>9481</v>
      </c>
      <c r="V477" t="s">
        <v>9482</v>
      </c>
      <c r="W477" t="s">
        <v>9483</v>
      </c>
      <c r="X477" t="s">
        <v>9484</v>
      </c>
      <c r="Y477" t="s">
        <v>9485</v>
      </c>
      <c r="Z477" t="s">
        <v>9486</v>
      </c>
      <c r="AA477" t="s">
        <v>9487</v>
      </c>
      <c r="AB477" t="s">
        <v>9488</v>
      </c>
      <c r="AC477" t="s">
        <v>9489</v>
      </c>
      <c r="AD477" t="s">
        <v>9490</v>
      </c>
      <c r="AE477" t="s">
        <v>9491</v>
      </c>
      <c r="AF477" t="s">
        <v>74</v>
      </c>
      <c r="AG477">
        <v>63</v>
      </c>
      <c r="AH477">
        <v>20</v>
      </c>
      <c r="AI477">
        <v>21</v>
      </c>
      <c r="AJ477">
        <v>0</v>
      </c>
      <c r="AK477">
        <v>31</v>
      </c>
      <c r="AL477" t="s">
        <v>786</v>
      </c>
      <c r="AM477" t="s">
        <v>787</v>
      </c>
      <c r="AN477" t="s">
        <v>788</v>
      </c>
      <c r="AO477" t="s">
        <v>2144</v>
      </c>
      <c r="AP477" t="s">
        <v>2145</v>
      </c>
      <c r="AQ477" t="s">
        <v>74</v>
      </c>
      <c r="AR477" t="s">
        <v>2146</v>
      </c>
      <c r="AS477" t="s">
        <v>2147</v>
      </c>
      <c r="AT477" t="s">
        <v>8975</v>
      </c>
      <c r="AU477">
        <v>2015</v>
      </c>
      <c r="AV477">
        <v>113</v>
      </c>
      <c r="AW477" t="s">
        <v>74</v>
      </c>
      <c r="AX477" t="s">
        <v>74</v>
      </c>
      <c r="AY477" t="s">
        <v>74</v>
      </c>
      <c r="AZ477" t="s">
        <v>454</v>
      </c>
      <c r="BA477" t="s">
        <v>74</v>
      </c>
      <c r="BB477">
        <v>235</v>
      </c>
      <c r="BC477">
        <v>245</v>
      </c>
      <c r="BD477" t="s">
        <v>74</v>
      </c>
      <c r="BE477" t="s">
        <v>9492</v>
      </c>
      <c r="BF477" t="str">
        <f>HYPERLINK("http://dx.doi.org/10.1016/j.dsr2.2014.07.002","http://dx.doi.org/10.1016/j.dsr2.2014.07.002")</f>
        <v>http://dx.doi.org/10.1016/j.dsr2.2014.07.002</v>
      </c>
      <c r="BG477" t="s">
        <v>74</v>
      </c>
      <c r="BH477" t="s">
        <v>74</v>
      </c>
      <c r="BI477">
        <v>11</v>
      </c>
      <c r="BJ477" t="s">
        <v>1540</v>
      </c>
      <c r="BK477" t="s">
        <v>100</v>
      </c>
      <c r="BL477" t="s">
        <v>1540</v>
      </c>
      <c r="BM477" t="s">
        <v>9475</v>
      </c>
      <c r="BN477" t="s">
        <v>74</v>
      </c>
      <c r="BO477" t="s">
        <v>74</v>
      </c>
      <c r="BP477" t="s">
        <v>74</v>
      </c>
      <c r="BQ477" t="s">
        <v>74</v>
      </c>
      <c r="BR477" t="s">
        <v>104</v>
      </c>
      <c r="BS477" t="s">
        <v>9493</v>
      </c>
      <c r="BT477" t="str">
        <f>HYPERLINK("https%3A%2F%2Fwww.webofscience.com%2Fwos%2Fwoscc%2Ffull-record%2FWOS:000351978700019","View Full Record in Web of Science")</f>
        <v>View Full Record in Web of Science</v>
      </c>
    </row>
    <row r="478" spans="1:72" x14ac:dyDescent="0.15">
      <c r="A478" t="s">
        <v>72</v>
      </c>
      <c r="B478" t="s">
        <v>9494</v>
      </c>
      <c r="C478" t="s">
        <v>74</v>
      </c>
      <c r="D478" t="s">
        <v>74</v>
      </c>
      <c r="E478" t="s">
        <v>74</v>
      </c>
      <c r="F478" t="s">
        <v>9495</v>
      </c>
      <c r="G478" t="s">
        <v>74</v>
      </c>
      <c r="H478" t="s">
        <v>74</v>
      </c>
      <c r="I478" t="s">
        <v>9496</v>
      </c>
      <c r="J478" t="s">
        <v>9497</v>
      </c>
      <c r="K478" t="s">
        <v>74</v>
      </c>
      <c r="L478" t="s">
        <v>74</v>
      </c>
      <c r="M478" t="s">
        <v>78</v>
      </c>
      <c r="N478" t="s">
        <v>79</v>
      </c>
      <c r="O478" t="s">
        <v>74</v>
      </c>
      <c r="P478" t="s">
        <v>74</v>
      </c>
      <c r="Q478" t="s">
        <v>74</v>
      </c>
      <c r="R478" t="s">
        <v>74</v>
      </c>
      <c r="S478" t="s">
        <v>74</v>
      </c>
      <c r="T478" t="s">
        <v>9498</v>
      </c>
      <c r="U478" t="s">
        <v>9499</v>
      </c>
      <c r="V478" t="s">
        <v>9500</v>
      </c>
      <c r="W478" t="s">
        <v>9501</v>
      </c>
      <c r="X478" t="s">
        <v>9502</v>
      </c>
      <c r="Y478" t="s">
        <v>9503</v>
      </c>
      <c r="Z478" t="s">
        <v>9504</v>
      </c>
      <c r="AA478" t="s">
        <v>9505</v>
      </c>
      <c r="AB478" t="s">
        <v>9506</v>
      </c>
      <c r="AC478" t="s">
        <v>9507</v>
      </c>
      <c r="AD478" t="s">
        <v>9508</v>
      </c>
      <c r="AE478" t="s">
        <v>9509</v>
      </c>
      <c r="AF478" t="s">
        <v>74</v>
      </c>
      <c r="AG478">
        <v>32</v>
      </c>
      <c r="AH478">
        <v>15</v>
      </c>
      <c r="AI478">
        <v>17</v>
      </c>
      <c r="AJ478">
        <v>2</v>
      </c>
      <c r="AK478">
        <v>39</v>
      </c>
      <c r="AL478" t="s">
        <v>815</v>
      </c>
      <c r="AM478" t="s">
        <v>816</v>
      </c>
      <c r="AN478" t="s">
        <v>817</v>
      </c>
      <c r="AO478" t="s">
        <v>9510</v>
      </c>
      <c r="AP478" t="s">
        <v>9511</v>
      </c>
      <c r="AQ478" t="s">
        <v>74</v>
      </c>
      <c r="AR478" t="s">
        <v>9512</v>
      </c>
      <c r="AS478" t="s">
        <v>9513</v>
      </c>
      <c r="AT478" t="s">
        <v>8975</v>
      </c>
      <c r="AU478">
        <v>2015</v>
      </c>
      <c r="AV478">
        <v>773</v>
      </c>
      <c r="AW478" t="s">
        <v>74</v>
      </c>
      <c r="AX478" t="s">
        <v>74</v>
      </c>
      <c r="AY478" t="s">
        <v>74</v>
      </c>
      <c r="AZ478" t="s">
        <v>74</v>
      </c>
      <c r="BA478" t="s">
        <v>74</v>
      </c>
      <c r="BB478">
        <v>37</v>
      </c>
      <c r="BC478">
        <v>42</v>
      </c>
      <c r="BD478" t="s">
        <v>74</v>
      </c>
      <c r="BE478" t="s">
        <v>9514</v>
      </c>
      <c r="BF478" t="str">
        <f>HYPERLINK("http://dx.doi.org/10.1016/j.mrfmmm.2014.07.010","http://dx.doi.org/10.1016/j.mrfmmm.2014.07.010")</f>
        <v>http://dx.doi.org/10.1016/j.mrfmmm.2014.07.010</v>
      </c>
      <c r="BG478" t="s">
        <v>74</v>
      </c>
      <c r="BH478" t="s">
        <v>74</v>
      </c>
      <c r="BI478">
        <v>6</v>
      </c>
      <c r="BJ478" t="s">
        <v>9515</v>
      </c>
      <c r="BK478" t="s">
        <v>100</v>
      </c>
      <c r="BL478" t="s">
        <v>9515</v>
      </c>
      <c r="BM478" t="s">
        <v>9516</v>
      </c>
      <c r="BN478">
        <v>25769185</v>
      </c>
      <c r="BO478" t="s">
        <v>74</v>
      </c>
      <c r="BP478" t="s">
        <v>74</v>
      </c>
      <c r="BQ478" t="s">
        <v>74</v>
      </c>
      <c r="BR478" t="s">
        <v>104</v>
      </c>
      <c r="BS478" t="s">
        <v>9517</v>
      </c>
      <c r="BT478" t="str">
        <f>HYPERLINK("https%3A%2F%2Fwww.webofscience.com%2Fwos%2Fwoscc%2Ffull-record%2FWOS:000351979200006","View Full Record in Web of Science")</f>
        <v>View Full Record in Web of Science</v>
      </c>
    </row>
    <row r="479" spans="1:72" x14ac:dyDescent="0.15">
      <c r="A479" t="s">
        <v>72</v>
      </c>
      <c r="B479" t="s">
        <v>9518</v>
      </c>
      <c r="C479" t="s">
        <v>74</v>
      </c>
      <c r="D479" t="s">
        <v>74</v>
      </c>
      <c r="E479" t="s">
        <v>74</v>
      </c>
      <c r="F479" t="s">
        <v>9519</v>
      </c>
      <c r="G479" t="s">
        <v>74</v>
      </c>
      <c r="H479" t="s">
        <v>74</v>
      </c>
      <c r="I479" t="s">
        <v>9520</v>
      </c>
      <c r="J479" t="s">
        <v>9521</v>
      </c>
      <c r="K479" t="s">
        <v>74</v>
      </c>
      <c r="L479" t="s">
        <v>74</v>
      </c>
      <c r="M479" t="s">
        <v>78</v>
      </c>
      <c r="N479" t="s">
        <v>79</v>
      </c>
      <c r="O479" t="s">
        <v>74</v>
      </c>
      <c r="P479" t="s">
        <v>74</v>
      </c>
      <c r="Q479" t="s">
        <v>74</v>
      </c>
      <c r="R479" t="s">
        <v>74</v>
      </c>
      <c r="S479" t="s">
        <v>74</v>
      </c>
      <c r="T479" t="s">
        <v>9522</v>
      </c>
      <c r="U479" t="s">
        <v>9523</v>
      </c>
      <c r="V479" t="s">
        <v>9524</v>
      </c>
      <c r="W479" t="s">
        <v>9525</v>
      </c>
      <c r="X479" t="s">
        <v>9526</v>
      </c>
      <c r="Y479" t="s">
        <v>9527</v>
      </c>
      <c r="Z479" t="s">
        <v>9528</v>
      </c>
      <c r="AA479" t="s">
        <v>9529</v>
      </c>
      <c r="AB479" t="s">
        <v>9530</v>
      </c>
      <c r="AC479" t="s">
        <v>9531</v>
      </c>
      <c r="AD479" t="s">
        <v>9532</v>
      </c>
      <c r="AE479" t="s">
        <v>9533</v>
      </c>
      <c r="AF479" t="s">
        <v>74</v>
      </c>
      <c r="AG479">
        <v>70</v>
      </c>
      <c r="AH479">
        <v>15</v>
      </c>
      <c r="AI479">
        <v>16</v>
      </c>
      <c r="AJ479">
        <v>0</v>
      </c>
      <c r="AK479">
        <v>16</v>
      </c>
      <c r="AL479" t="s">
        <v>9534</v>
      </c>
      <c r="AM479" t="s">
        <v>9535</v>
      </c>
      <c r="AN479" t="s">
        <v>9536</v>
      </c>
      <c r="AO479" t="s">
        <v>9537</v>
      </c>
      <c r="AP479" t="s">
        <v>9538</v>
      </c>
      <c r="AQ479" t="s">
        <v>74</v>
      </c>
      <c r="AR479" t="s">
        <v>9521</v>
      </c>
      <c r="AS479" t="s">
        <v>9539</v>
      </c>
      <c r="AT479" t="s">
        <v>9061</v>
      </c>
      <c r="AU479">
        <v>2015</v>
      </c>
      <c r="AV479">
        <v>107</v>
      </c>
      <c r="AW479">
        <v>2</v>
      </c>
      <c r="AX479" t="s">
        <v>74</v>
      </c>
      <c r="AY479" t="s">
        <v>74</v>
      </c>
      <c r="AZ479" t="s">
        <v>74</v>
      </c>
      <c r="BA479" t="s">
        <v>74</v>
      </c>
      <c r="BB479">
        <v>258</v>
      </c>
      <c r="BC479">
        <v>283</v>
      </c>
      <c r="BD479" t="s">
        <v>74</v>
      </c>
      <c r="BE479" t="s">
        <v>9540</v>
      </c>
      <c r="BF479" t="str">
        <f>HYPERLINK("http://dx.doi.org/10.3852/14-164","http://dx.doi.org/10.3852/14-164")</f>
        <v>http://dx.doi.org/10.3852/14-164</v>
      </c>
      <c r="BG479" t="s">
        <v>74</v>
      </c>
      <c r="BH479" t="s">
        <v>74</v>
      </c>
      <c r="BI479">
        <v>26</v>
      </c>
      <c r="BJ479" t="s">
        <v>9541</v>
      </c>
      <c r="BK479" t="s">
        <v>100</v>
      </c>
      <c r="BL479" t="s">
        <v>9541</v>
      </c>
      <c r="BM479" t="s">
        <v>9542</v>
      </c>
      <c r="BN479">
        <v>25550302</v>
      </c>
      <c r="BO479" t="s">
        <v>74</v>
      </c>
      <c r="BP479" t="s">
        <v>74</v>
      </c>
      <c r="BQ479" t="s">
        <v>74</v>
      </c>
      <c r="BR479" t="s">
        <v>104</v>
      </c>
      <c r="BS479" t="s">
        <v>9543</v>
      </c>
      <c r="BT479" t="str">
        <f>HYPERLINK("https%3A%2F%2Fwww.webofscience.com%2Fwos%2Fwoscc%2Ffull-record%2FWOS:000351892600002","View Full Record in Web of Science")</f>
        <v>View Full Record in Web of Science</v>
      </c>
    </row>
    <row r="480" spans="1:72" x14ac:dyDescent="0.15">
      <c r="A480" t="s">
        <v>72</v>
      </c>
      <c r="B480" t="s">
        <v>9544</v>
      </c>
      <c r="C480" t="s">
        <v>74</v>
      </c>
      <c r="D480" t="s">
        <v>74</v>
      </c>
      <c r="E480" t="s">
        <v>74</v>
      </c>
      <c r="F480" t="s">
        <v>9545</v>
      </c>
      <c r="G480" t="s">
        <v>74</v>
      </c>
      <c r="H480" t="s">
        <v>74</v>
      </c>
      <c r="I480" t="s">
        <v>9546</v>
      </c>
      <c r="J480" t="s">
        <v>9547</v>
      </c>
      <c r="K480" t="s">
        <v>74</v>
      </c>
      <c r="L480" t="s">
        <v>74</v>
      </c>
      <c r="M480" t="s">
        <v>78</v>
      </c>
      <c r="N480" t="s">
        <v>79</v>
      </c>
      <c r="O480" t="s">
        <v>74</v>
      </c>
      <c r="P480" t="s">
        <v>74</v>
      </c>
      <c r="Q480" t="s">
        <v>74</v>
      </c>
      <c r="R480" t="s">
        <v>74</v>
      </c>
      <c r="S480" t="s">
        <v>74</v>
      </c>
      <c r="T480" t="s">
        <v>9548</v>
      </c>
      <c r="U480" t="s">
        <v>9549</v>
      </c>
      <c r="V480" t="s">
        <v>9550</v>
      </c>
      <c r="W480" t="s">
        <v>9551</v>
      </c>
      <c r="X480" t="s">
        <v>9552</v>
      </c>
      <c r="Y480" t="s">
        <v>9553</v>
      </c>
      <c r="Z480" t="s">
        <v>9554</v>
      </c>
      <c r="AA480" t="s">
        <v>9555</v>
      </c>
      <c r="AB480" t="s">
        <v>9556</v>
      </c>
      <c r="AC480" t="s">
        <v>9557</v>
      </c>
      <c r="AD480" t="s">
        <v>9558</v>
      </c>
      <c r="AE480" t="s">
        <v>9559</v>
      </c>
      <c r="AF480" t="s">
        <v>74</v>
      </c>
      <c r="AG480">
        <v>52</v>
      </c>
      <c r="AH480">
        <v>11</v>
      </c>
      <c r="AI480">
        <v>11</v>
      </c>
      <c r="AJ480">
        <v>2</v>
      </c>
      <c r="AK480">
        <v>35</v>
      </c>
      <c r="AL480" t="s">
        <v>9560</v>
      </c>
      <c r="AM480" t="s">
        <v>9561</v>
      </c>
      <c r="AN480" t="s">
        <v>9562</v>
      </c>
      <c r="AO480" t="s">
        <v>9563</v>
      </c>
      <c r="AP480" t="s">
        <v>74</v>
      </c>
      <c r="AQ480" t="s">
        <v>74</v>
      </c>
      <c r="AR480" t="s">
        <v>9564</v>
      </c>
      <c r="AS480" t="s">
        <v>9565</v>
      </c>
      <c r="AT480" t="s">
        <v>8975</v>
      </c>
      <c r="AU480">
        <v>2015</v>
      </c>
      <c r="AV480">
        <v>71</v>
      </c>
      <c r="AW480" t="s">
        <v>74</v>
      </c>
      <c r="AX480">
        <v>3</v>
      </c>
      <c r="AY480" t="s">
        <v>74</v>
      </c>
      <c r="AZ480" t="s">
        <v>74</v>
      </c>
      <c r="BA480" t="s">
        <v>74</v>
      </c>
      <c r="BB480">
        <v>632</v>
      </c>
      <c r="BC480">
        <v>645</v>
      </c>
      <c r="BD480" t="s">
        <v>74</v>
      </c>
      <c r="BE480" t="s">
        <v>9566</v>
      </c>
      <c r="BF480" t="str">
        <f>HYPERLINK("http://dx.doi.org/10.1107/S1399004714028016","http://dx.doi.org/10.1107/S1399004714028016")</f>
        <v>http://dx.doi.org/10.1107/S1399004714028016</v>
      </c>
      <c r="BG480" t="s">
        <v>74</v>
      </c>
      <c r="BH480" t="s">
        <v>74</v>
      </c>
      <c r="BI480">
        <v>14</v>
      </c>
      <c r="BJ480" t="s">
        <v>9567</v>
      </c>
      <c r="BK480" t="s">
        <v>100</v>
      </c>
      <c r="BL480" t="s">
        <v>9568</v>
      </c>
      <c r="BM480" t="s">
        <v>9569</v>
      </c>
      <c r="BN480">
        <v>25760611</v>
      </c>
      <c r="BO480" t="s">
        <v>74</v>
      </c>
      <c r="BP480" t="s">
        <v>74</v>
      </c>
      <c r="BQ480" t="s">
        <v>74</v>
      </c>
      <c r="BR480" t="s">
        <v>104</v>
      </c>
      <c r="BS480" t="s">
        <v>9570</v>
      </c>
      <c r="BT480" t="str">
        <f>HYPERLINK("https%3A%2F%2Fwww.webofscience.com%2Fwos%2Fwoscc%2Ffull-record%2FWOS:000351155400020","View Full Record in Web of Science")</f>
        <v>View Full Record in Web of Science</v>
      </c>
    </row>
    <row r="481" spans="1:72" x14ac:dyDescent="0.15">
      <c r="A481" t="s">
        <v>72</v>
      </c>
      <c r="B481" t="s">
        <v>9571</v>
      </c>
      <c r="C481" t="s">
        <v>74</v>
      </c>
      <c r="D481" t="s">
        <v>74</v>
      </c>
      <c r="E481" t="s">
        <v>74</v>
      </c>
      <c r="F481" t="s">
        <v>9572</v>
      </c>
      <c r="G481" t="s">
        <v>74</v>
      </c>
      <c r="H481" t="s">
        <v>74</v>
      </c>
      <c r="I481" t="s">
        <v>9573</v>
      </c>
      <c r="J481" t="s">
        <v>9574</v>
      </c>
      <c r="K481" t="s">
        <v>74</v>
      </c>
      <c r="L481" t="s">
        <v>74</v>
      </c>
      <c r="M481" t="s">
        <v>78</v>
      </c>
      <c r="N481" t="s">
        <v>79</v>
      </c>
      <c r="O481" t="s">
        <v>74</v>
      </c>
      <c r="P481" t="s">
        <v>74</v>
      </c>
      <c r="Q481" t="s">
        <v>74</v>
      </c>
      <c r="R481" t="s">
        <v>74</v>
      </c>
      <c r="S481" t="s">
        <v>74</v>
      </c>
      <c r="T481" t="s">
        <v>9575</v>
      </c>
      <c r="U481" t="s">
        <v>9576</v>
      </c>
      <c r="V481" t="s">
        <v>9577</v>
      </c>
      <c r="W481" t="s">
        <v>9578</v>
      </c>
      <c r="X481" t="s">
        <v>9579</v>
      </c>
      <c r="Y481" t="s">
        <v>9580</v>
      </c>
      <c r="Z481" t="s">
        <v>9581</v>
      </c>
      <c r="AA481" t="s">
        <v>9582</v>
      </c>
      <c r="AB481" t="s">
        <v>9583</v>
      </c>
      <c r="AC481" t="s">
        <v>9584</v>
      </c>
      <c r="AD481" t="s">
        <v>9585</v>
      </c>
      <c r="AE481" t="s">
        <v>9586</v>
      </c>
      <c r="AF481" t="s">
        <v>74</v>
      </c>
      <c r="AG481">
        <v>52</v>
      </c>
      <c r="AH481">
        <v>12</v>
      </c>
      <c r="AI481">
        <v>14</v>
      </c>
      <c r="AJ481">
        <v>0</v>
      </c>
      <c r="AK481">
        <v>36</v>
      </c>
      <c r="AL481" t="s">
        <v>2659</v>
      </c>
      <c r="AM481" t="s">
        <v>2660</v>
      </c>
      <c r="AN481" t="s">
        <v>2661</v>
      </c>
      <c r="AO481" t="s">
        <v>9587</v>
      </c>
      <c r="AP481" t="s">
        <v>9588</v>
      </c>
      <c r="AQ481" t="s">
        <v>74</v>
      </c>
      <c r="AR481" t="s">
        <v>9589</v>
      </c>
      <c r="AS481" t="s">
        <v>9590</v>
      </c>
      <c r="AT481" t="s">
        <v>8975</v>
      </c>
      <c r="AU481">
        <v>2015</v>
      </c>
      <c r="AV481">
        <v>8</v>
      </c>
      <c r="AW481">
        <v>1</v>
      </c>
      <c r="AX481" t="s">
        <v>74</v>
      </c>
      <c r="AY481" t="s">
        <v>74</v>
      </c>
      <c r="AZ481" t="s">
        <v>454</v>
      </c>
      <c r="BA481" t="s">
        <v>74</v>
      </c>
      <c r="BB481">
        <v>111</v>
      </c>
      <c r="BC481">
        <v>123</v>
      </c>
      <c r="BD481" t="s">
        <v>74</v>
      </c>
      <c r="BE481" t="s">
        <v>9591</v>
      </c>
      <c r="BF481" t="str">
        <f>HYPERLINK("http://dx.doi.org/10.1007/s12145-014-0185-z","http://dx.doi.org/10.1007/s12145-014-0185-z")</f>
        <v>http://dx.doi.org/10.1007/s12145-014-0185-z</v>
      </c>
      <c r="BG481" t="s">
        <v>74</v>
      </c>
      <c r="BH481" t="s">
        <v>74</v>
      </c>
      <c r="BI481">
        <v>13</v>
      </c>
      <c r="BJ481" t="s">
        <v>9592</v>
      </c>
      <c r="BK481" t="s">
        <v>100</v>
      </c>
      <c r="BL481" t="s">
        <v>9593</v>
      </c>
      <c r="BM481" t="s">
        <v>9594</v>
      </c>
      <c r="BN481" t="s">
        <v>74</v>
      </c>
      <c r="BO481" t="s">
        <v>559</v>
      </c>
      <c r="BP481" t="s">
        <v>74</v>
      </c>
      <c r="BQ481" t="s">
        <v>74</v>
      </c>
      <c r="BR481" t="s">
        <v>104</v>
      </c>
      <c r="BS481" t="s">
        <v>9595</v>
      </c>
      <c r="BT481" t="str">
        <f>HYPERLINK("https%3A%2F%2Fwww.webofscience.com%2Fwos%2Fwoscc%2Ffull-record%2FWOS:000351444100010","View Full Record in Web of Science")</f>
        <v>View Full Record in Web of Science</v>
      </c>
    </row>
    <row r="482" spans="1:72" x14ac:dyDescent="0.15">
      <c r="A482" t="s">
        <v>72</v>
      </c>
      <c r="B482" t="s">
        <v>9596</v>
      </c>
      <c r="C482" t="s">
        <v>74</v>
      </c>
      <c r="D482" t="s">
        <v>74</v>
      </c>
      <c r="E482" t="s">
        <v>74</v>
      </c>
      <c r="F482" t="s">
        <v>9597</v>
      </c>
      <c r="G482" t="s">
        <v>74</v>
      </c>
      <c r="H482" t="s">
        <v>74</v>
      </c>
      <c r="I482" t="s">
        <v>9598</v>
      </c>
      <c r="J482" t="s">
        <v>9599</v>
      </c>
      <c r="K482" t="s">
        <v>74</v>
      </c>
      <c r="L482" t="s">
        <v>74</v>
      </c>
      <c r="M482" t="s">
        <v>78</v>
      </c>
      <c r="N482" t="s">
        <v>79</v>
      </c>
      <c r="O482" t="s">
        <v>74</v>
      </c>
      <c r="P482" t="s">
        <v>74</v>
      </c>
      <c r="Q482" t="s">
        <v>74</v>
      </c>
      <c r="R482" t="s">
        <v>74</v>
      </c>
      <c r="S482" t="s">
        <v>74</v>
      </c>
      <c r="T482" t="s">
        <v>9600</v>
      </c>
      <c r="U482" t="s">
        <v>9601</v>
      </c>
      <c r="V482" t="s">
        <v>9602</v>
      </c>
      <c r="W482" t="s">
        <v>9603</v>
      </c>
      <c r="X482" t="s">
        <v>9604</v>
      </c>
      <c r="Y482" t="s">
        <v>9605</v>
      </c>
      <c r="Z482" t="s">
        <v>9606</v>
      </c>
      <c r="AA482" t="s">
        <v>9607</v>
      </c>
      <c r="AB482" t="s">
        <v>9608</v>
      </c>
      <c r="AC482" t="s">
        <v>9609</v>
      </c>
      <c r="AD482" t="s">
        <v>9610</v>
      </c>
      <c r="AE482" t="s">
        <v>9611</v>
      </c>
      <c r="AF482" t="s">
        <v>74</v>
      </c>
      <c r="AG482">
        <v>40</v>
      </c>
      <c r="AH482">
        <v>15</v>
      </c>
      <c r="AI482">
        <v>17</v>
      </c>
      <c r="AJ482">
        <v>0</v>
      </c>
      <c r="AK482">
        <v>13</v>
      </c>
      <c r="AL482" t="s">
        <v>2096</v>
      </c>
      <c r="AM482" t="s">
        <v>121</v>
      </c>
      <c r="AN482" t="s">
        <v>9612</v>
      </c>
      <c r="AO482" t="s">
        <v>9613</v>
      </c>
      <c r="AP482" t="s">
        <v>9614</v>
      </c>
      <c r="AQ482" t="s">
        <v>74</v>
      </c>
      <c r="AR482" t="s">
        <v>9615</v>
      </c>
      <c r="AS482" t="s">
        <v>9616</v>
      </c>
      <c r="AT482" t="s">
        <v>8975</v>
      </c>
      <c r="AU482">
        <v>2015</v>
      </c>
      <c r="AV482">
        <v>48</v>
      </c>
      <c r="AW482">
        <v>3</v>
      </c>
      <c r="AX482" t="s">
        <v>74</v>
      </c>
      <c r="AY482" t="s">
        <v>74</v>
      </c>
      <c r="AZ482" t="s">
        <v>74</v>
      </c>
      <c r="BA482" t="s">
        <v>74</v>
      </c>
      <c r="BB482">
        <v>276</v>
      </c>
      <c r="BC482">
        <v>287</v>
      </c>
      <c r="BD482" t="s">
        <v>74</v>
      </c>
      <c r="BE482" t="s">
        <v>9617</v>
      </c>
      <c r="BF482" t="str">
        <f>HYPERLINK("http://dx.doi.org/10.1134/S1064229315030072","http://dx.doi.org/10.1134/S1064229315030072")</f>
        <v>http://dx.doi.org/10.1134/S1064229315030072</v>
      </c>
      <c r="BG482" t="s">
        <v>74</v>
      </c>
      <c r="BH482" t="s">
        <v>74</v>
      </c>
      <c r="BI482">
        <v>12</v>
      </c>
      <c r="BJ482" t="s">
        <v>4248</v>
      </c>
      <c r="BK482" t="s">
        <v>100</v>
      </c>
      <c r="BL482" t="s">
        <v>4249</v>
      </c>
      <c r="BM482" t="s">
        <v>9618</v>
      </c>
      <c r="BN482" t="s">
        <v>74</v>
      </c>
      <c r="BO482" t="s">
        <v>74</v>
      </c>
      <c r="BP482" t="s">
        <v>74</v>
      </c>
      <c r="BQ482" t="s">
        <v>74</v>
      </c>
      <c r="BR482" t="s">
        <v>104</v>
      </c>
      <c r="BS482" t="s">
        <v>9619</v>
      </c>
      <c r="BT482" t="str">
        <f>HYPERLINK("https%3A%2F%2Fwww.webofscience.com%2Fwos%2Fwoscc%2Ffull-record%2FWOS:000351288500007","View Full Record in Web of Science")</f>
        <v>View Full Record in Web of Science</v>
      </c>
    </row>
    <row r="483" spans="1:72" x14ac:dyDescent="0.15">
      <c r="A483" t="s">
        <v>72</v>
      </c>
      <c r="B483" t="s">
        <v>9620</v>
      </c>
      <c r="C483" t="s">
        <v>74</v>
      </c>
      <c r="D483" t="s">
        <v>74</v>
      </c>
      <c r="E483" t="s">
        <v>74</v>
      </c>
      <c r="F483" t="s">
        <v>9621</v>
      </c>
      <c r="G483" t="s">
        <v>74</v>
      </c>
      <c r="H483" t="s">
        <v>74</v>
      </c>
      <c r="I483" t="s">
        <v>9622</v>
      </c>
      <c r="J483" t="s">
        <v>9599</v>
      </c>
      <c r="K483" t="s">
        <v>74</v>
      </c>
      <c r="L483" t="s">
        <v>74</v>
      </c>
      <c r="M483" t="s">
        <v>78</v>
      </c>
      <c r="N483" t="s">
        <v>79</v>
      </c>
      <c r="O483" t="s">
        <v>74</v>
      </c>
      <c r="P483" t="s">
        <v>74</v>
      </c>
      <c r="Q483" t="s">
        <v>74</v>
      </c>
      <c r="R483" t="s">
        <v>74</v>
      </c>
      <c r="S483" t="s">
        <v>74</v>
      </c>
      <c r="T483" t="s">
        <v>9623</v>
      </c>
      <c r="U483" t="s">
        <v>9624</v>
      </c>
      <c r="V483" t="s">
        <v>9625</v>
      </c>
      <c r="W483" t="s">
        <v>9626</v>
      </c>
      <c r="X483" t="s">
        <v>9627</v>
      </c>
      <c r="Y483" t="s">
        <v>9628</v>
      </c>
      <c r="Z483" t="s">
        <v>9629</v>
      </c>
      <c r="AA483" t="s">
        <v>9630</v>
      </c>
      <c r="AB483" t="s">
        <v>9631</v>
      </c>
      <c r="AC483" t="s">
        <v>74</v>
      </c>
      <c r="AD483" t="s">
        <v>74</v>
      </c>
      <c r="AE483" t="s">
        <v>74</v>
      </c>
      <c r="AF483" t="s">
        <v>74</v>
      </c>
      <c r="AG483">
        <v>27</v>
      </c>
      <c r="AH483">
        <v>8</v>
      </c>
      <c r="AI483">
        <v>9</v>
      </c>
      <c r="AJ483">
        <v>3</v>
      </c>
      <c r="AK483">
        <v>15</v>
      </c>
      <c r="AL483" t="s">
        <v>2440</v>
      </c>
      <c r="AM483" t="s">
        <v>121</v>
      </c>
      <c r="AN483" t="s">
        <v>2441</v>
      </c>
      <c r="AO483" t="s">
        <v>9613</v>
      </c>
      <c r="AP483" t="s">
        <v>9614</v>
      </c>
      <c r="AQ483" t="s">
        <v>74</v>
      </c>
      <c r="AR483" t="s">
        <v>9615</v>
      </c>
      <c r="AS483" t="s">
        <v>9616</v>
      </c>
      <c r="AT483" t="s">
        <v>8975</v>
      </c>
      <c r="AU483">
        <v>2015</v>
      </c>
      <c r="AV483">
        <v>48</v>
      </c>
      <c r="AW483">
        <v>3</v>
      </c>
      <c r="AX483" t="s">
        <v>74</v>
      </c>
      <c r="AY483" t="s">
        <v>74</v>
      </c>
      <c r="AZ483" t="s">
        <v>74</v>
      </c>
      <c r="BA483" t="s">
        <v>74</v>
      </c>
      <c r="BB483">
        <v>288</v>
      </c>
      <c r="BC483">
        <v>293</v>
      </c>
      <c r="BD483" t="s">
        <v>74</v>
      </c>
      <c r="BE483" t="s">
        <v>9632</v>
      </c>
      <c r="BF483" t="str">
        <f>HYPERLINK("http://dx.doi.org/10.1134/S1064229315030096","http://dx.doi.org/10.1134/S1064229315030096")</f>
        <v>http://dx.doi.org/10.1134/S1064229315030096</v>
      </c>
      <c r="BG483" t="s">
        <v>74</v>
      </c>
      <c r="BH483" t="s">
        <v>74</v>
      </c>
      <c r="BI483">
        <v>6</v>
      </c>
      <c r="BJ483" t="s">
        <v>4248</v>
      </c>
      <c r="BK483" t="s">
        <v>100</v>
      </c>
      <c r="BL483" t="s">
        <v>4249</v>
      </c>
      <c r="BM483" t="s">
        <v>9618</v>
      </c>
      <c r="BN483" t="s">
        <v>74</v>
      </c>
      <c r="BO483" t="s">
        <v>74</v>
      </c>
      <c r="BP483" t="s">
        <v>74</v>
      </c>
      <c r="BQ483" t="s">
        <v>74</v>
      </c>
      <c r="BR483" t="s">
        <v>104</v>
      </c>
      <c r="BS483" t="s">
        <v>9633</v>
      </c>
      <c r="BT483" t="str">
        <f>HYPERLINK("https%3A%2F%2Fwww.webofscience.com%2Fwos%2Fwoscc%2Ffull-record%2FWOS:000351288500008","View Full Record in Web of Science")</f>
        <v>View Full Record in Web of Science</v>
      </c>
    </row>
    <row r="484" spans="1:72" x14ac:dyDescent="0.15">
      <c r="A484" t="s">
        <v>72</v>
      </c>
      <c r="B484" t="s">
        <v>9634</v>
      </c>
      <c r="C484" t="s">
        <v>74</v>
      </c>
      <c r="D484" t="s">
        <v>74</v>
      </c>
      <c r="E484" t="s">
        <v>74</v>
      </c>
      <c r="F484" t="s">
        <v>9635</v>
      </c>
      <c r="G484" t="s">
        <v>74</v>
      </c>
      <c r="H484" t="s">
        <v>74</v>
      </c>
      <c r="I484" t="s">
        <v>9636</v>
      </c>
      <c r="J484" t="s">
        <v>9637</v>
      </c>
      <c r="K484" t="s">
        <v>74</v>
      </c>
      <c r="L484" t="s">
        <v>74</v>
      </c>
      <c r="M484" t="s">
        <v>78</v>
      </c>
      <c r="N484" t="s">
        <v>79</v>
      </c>
      <c r="O484" t="s">
        <v>74</v>
      </c>
      <c r="P484" t="s">
        <v>74</v>
      </c>
      <c r="Q484" t="s">
        <v>74</v>
      </c>
      <c r="R484" t="s">
        <v>74</v>
      </c>
      <c r="S484" t="s">
        <v>74</v>
      </c>
      <c r="T484" t="s">
        <v>74</v>
      </c>
      <c r="U484" t="s">
        <v>9638</v>
      </c>
      <c r="V484" t="s">
        <v>9639</v>
      </c>
      <c r="W484" t="s">
        <v>9640</v>
      </c>
      <c r="X484" t="s">
        <v>9641</v>
      </c>
      <c r="Y484" t="s">
        <v>9642</v>
      </c>
      <c r="Z484" t="s">
        <v>9643</v>
      </c>
      <c r="AA484" t="s">
        <v>9644</v>
      </c>
      <c r="AB484" t="s">
        <v>9645</v>
      </c>
      <c r="AC484" t="s">
        <v>9646</v>
      </c>
      <c r="AD484" t="s">
        <v>9647</v>
      </c>
      <c r="AE484" t="s">
        <v>9648</v>
      </c>
      <c r="AF484" t="s">
        <v>74</v>
      </c>
      <c r="AG484">
        <v>59</v>
      </c>
      <c r="AH484">
        <v>15</v>
      </c>
      <c r="AI484">
        <v>16</v>
      </c>
      <c r="AJ484">
        <v>2</v>
      </c>
      <c r="AK484">
        <v>16</v>
      </c>
      <c r="AL484" t="s">
        <v>2192</v>
      </c>
      <c r="AM484" t="s">
        <v>2193</v>
      </c>
      <c r="AN484" t="s">
        <v>6403</v>
      </c>
      <c r="AO484" t="s">
        <v>9649</v>
      </c>
      <c r="AP484" t="s">
        <v>9650</v>
      </c>
      <c r="AQ484" t="s">
        <v>74</v>
      </c>
      <c r="AR484" t="s">
        <v>9651</v>
      </c>
      <c r="AS484" t="s">
        <v>9652</v>
      </c>
      <c r="AT484" t="s">
        <v>8975</v>
      </c>
      <c r="AU484">
        <v>2015</v>
      </c>
      <c r="AV484">
        <v>32</v>
      </c>
      <c r="AW484">
        <v>3</v>
      </c>
      <c r="AX484" t="s">
        <v>74</v>
      </c>
      <c r="AY484" t="s">
        <v>74</v>
      </c>
      <c r="AZ484" t="s">
        <v>74</v>
      </c>
      <c r="BA484" t="s">
        <v>74</v>
      </c>
      <c r="BB484">
        <v>603</v>
      </c>
      <c r="BC484">
        <v>613</v>
      </c>
      <c r="BD484" t="s">
        <v>74</v>
      </c>
      <c r="BE484" t="s">
        <v>9653</v>
      </c>
      <c r="BF484" t="str">
        <f>HYPERLINK("http://dx.doi.org/10.1175/JTECH-D-14-00156.1","http://dx.doi.org/10.1175/JTECH-D-14-00156.1")</f>
        <v>http://dx.doi.org/10.1175/JTECH-D-14-00156.1</v>
      </c>
      <c r="BG484" t="s">
        <v>74</v>
      </c>
      <c r="BH484" t="s">
        <v>74</v>
      </c>
      <c r="BI484">
        <v>11</v>
      </c>
      <c r="BJ484" t="s">
        <v>9654</v>
      </c>
      <c r="BK484" t="s">
        <v>100</v>
      </c>
      <c r="BL484" t="s">
        <v>9655</v>
      </c>
      <c r="BM484" t="s">
        <v>9656</v>
      </c>
      <c r="BN484" t="s">
        <v>74</v>
      </c>
      <c r="BO484" t="s">
        <v>2481</v>
      </c>
      <c r="BP484" t="s">
        <v>74</v>
      </c>
      <c r="BQ484" t="s">
        <v>74</v>
      </c>
      <c r="BR484" t="s">
        <v>104</v>
      </c>
      <c r="BS484" t="s">
        <v>9657</v>
      </c>
      <c r="BT484" t="str">
        <f>HYPERLINK("https%3A%2F%2Fwww.webofscience.com%2Fwos%2Fwoscc%2Ffull-record%2FWOS:000351230500015","View Full Record in Web of Science")</f>
        <v>View Full Record in Web of Science</v>
      </c>
    </row>
    <row r="485" spans="1:72" x14ac:dyDescent="0.15">
      <c r="A485" t="s">
        <v>72</v>
      </c>
      <c r="B485" t="s">
        <v>9658</v>
      </c>
      <c r="C485" t="s">
        <v>74</v>
      </c>
      <c r="D485" t="s">
        <v>74</v>
      </c>
      <c r="E485" t="s">
        <v>74</v>
      </c>
      <c r="F485" t="s">
        <v>9659</v>
      </c>
      <c r="G485" t="s">
        <v>74</v>
      </c>
      <c r="H485" t="s">
        <v>74</v>
      </c>
      <c r="I485" t="s">
        <v>9660</v>
      </c>
      <c r="J485" t="s">
        <v>9661</v>
      </c>
      <c r="K485" t="s">
        <v>74</v>
      </c>
      <c r="L485" t="s">
        <v>74</v>
      </c>
      <c r="M485" t="s">
        <v>78</v>
      </c>
      <c r="N485" t="s">
        <v>79</v>
      </c>
      <c r="O485" t="s">
        <v>74</v>
      </c>
      <c r="P485" t="s">
        <v>74</v>
      </c>
      <c r="Q485" t="s">
        <v>74</v>
      </c>
      <c r="R485" t="s">
        <v>74</v>
      </c>
      <c r="S485" t="s">
        <v>74</v>
      </c>
      <c r="T485" t="s">
        <v>74</v>
      </c>
      <c r="U485" t="s">
        <v>9662</v>
      </c>
      <c r="V485" t="s">
        <v>9663</v>
      </c>
      <c r="W485" t="s">
        <v>9664</v>
      </c>
      <c r="X485" t="s">
        <v>9665</v>
      </c>
      <c r="Y485" t="s">
        <v>9666</v>
      </c>
      <c r="Z485" t="s">
        <v>8533</v>
      </c>
      <c r="AA485" t="s">
        <v>74</v>
      </c>
      <c r="AB485" t="s">
        <v>74</v>
      </c>
      <c r="AC485" t="s">
        <v>9667</v>
      </c>
      <c r="AD485" t="s">
        <v>9668</v>
      </c>
      <c r="AE485" t="s">
        <v>9669</v>
      </c>
      <c r="AF485" t="s">
        <v>74</v>
      </c>
      <c r="AG485">
        <v>57</v>
      </c>
      <c r="AH485">
        <v>23</v>
      </c>
      <c r="AI485">
        <v>27</v>
      </c>
      <c r="AJ485">
        <v>0</v>
      </c>
      <c r="AK485">
        <v>73</v>
      </c>
      <c r="AL485" t="s">
        <v>91</v>
      </c>
      <c r="AM485" t="s">
        <v>92</v>
      </c>
      <c r="AN485" t="s">
        <v>93</v>
      </c>
      <c r="AO485" t="s">
        <v>9670</v>
      </c>
      <c r="AP485" t="s">
        <v>9671</v>
      </c>
      <c r="AQ485" t="s">
        <v>74</v>
      </c>
      <c r="AR485" t="s">
        <v>9672</v>
      </c>
      <c r="AS485" t="s">
        <v>9673</v>
      </c>
      <c r="AT485" t="s">
        <v>8975</v>
      </c>
      <c r="AU485">
        <v>2015</v>
      </c>
      <c r="AV485">
        <v>46</v>
      </c>
      <c r="AW485">
        <v>2</v>
      </c>
      <c r="AX485" t="s">
        <v>74</v>
      </c>
      <c r="AY485" t="s">
        <v>74</v>
      </c>
      <c r="AZ485" t="s">
        <v>74</v>
      </c>
      <c r="BA485" t="s">
        <v>74</v>
      </c>
      <c r="BB485">
        <v>193</v>
      </c>
      <c r="BC485">
        <v>205</v>
      </c>
      <c r="BD485" t="s">
        <v>74</v>
      </c>
      <c r="BE485" t="s">
        <v>9674</v>
      </c>
      <c r="BF485" t="str">
        <f>HYPERLINK("http://dx.doi.org/10.1111/jav.00491","http://dx.doi.org/10.1111/jav.00491")</f>
        <v>http://dx.doi.org/10.1111/jav.00491</v>
      </c>
      <c r="BG485" t="s">
        <v>74</v>
      </c>
      <c r="BH485" t="s">
        <v>74</v>
      </c>
      <c r="BI485">
        <v>13</v>
      </c>
      <c r="BJ485" t="s">
        <v>2124</v>
      </c>
      <c r="BK485" t="s">
        <v>100</v>
      </c>
      <c r="BL485" t="s">
        <v>509</v>
      </c>
      <c r="BM485" t="s">
        <v>9675</v>
      </c>
      <c r="BN485" t="s">
        <v>74</v>
      </c>
      <c r="BO485" t="s">
        <v>74</v>
      </c>
      <c r="BP485" t="s">
        <v>74</v>
      </c>
      <c r="BQ485" t="s">
        <v>74</v>
      </c>
      <c r="BR485" t="s">
        <v>104</v>
      </c>
      <c r="BS485" t="s">
        <v>9676</v>
      </c>
      <c r="BT485" t="str">
        <f>HYPERLINK("https%3A%2F%2Fwww.webofscience.com%2Fwos%2Fwoscc%2Ffull-record%2FWOS:000351356000009","View Full Record in Web of Science")</f>
        <v>View Full Record in Web of Science</v>
      </c>
    </row>
    <row r="486" spans="1:72" x14ac:dyDescent="0.15">
      <c r="A486" t="s">
        <v>72</v>
      </c>
      <c r="B486" t="s">
        <v>9677</v>
      </c>
      <c r="C486" t="s">
        <v>74</v>
      </c>
      <c r="D486" t="s">
        <v>74</v>
      </c>
      <c r="E486" t="s">
        <v>74</v>
      </c>
      <c r="F486" t="s">
        <v>9678</v>
      </c>
      <c r="G486" t="s">
        <v>74</v>
      </c>
      <c r="H486" t="s">
        <v>74</v>
      </c>
      <c r="I486" t="s">
        <v>9679</v>
      </c>
      <c r="J486" t="s">
        <v>2358</v>
      </c>
      <c r="K486" t="s">
        <v>74</v>
      </c>
      <c r="L486" t="s">
        <v>74</v>
      </c>
      <c r="M486" t="s">
        <v>78</v>
      </c>
      <c r="N486" t="s">
        <v>79</v>
      </c>
      <c r="O486" t="s">
        <v>74</v>
      </c>
      <c r="P486" t="s">
        <v>74</v>
      </c>
      <c r="Q486" t="s">
        <v>74</v>
      </c>
      <c r="R486" t="s">
        <v>74</v>
      </c>
      <c r="S486" t="s">
        <v>74</v>
      </c>
      <c r="T486" t="s">
        <v>74</v>
      </c>
      <c r="U486" t="s">
        <v>9680</v>
      </c>
      <c r="V486" t="s">
        <v>9681</v>
      </c>
      <c r="W486" t="s">
        <v>9682</v>
      </c>
      <c r="X486" t="s">
        <v>9683</v>
      </c>
      <c r="Y486" t="s">
        <v>9684</v>
      </c>
      <c r="Z486" t="s">
        <v>9685</v>
      </c>
      <c r="AA486" t="s">
        <v>9686</v>
      </c>
      <c r="AB486" t="s">
        <v>9687</v>
      </c>
      <c r="AC486" t="s">
        <v>9688</v>
      </c>
      <c r="AD486" t="s">
        <v>9689</v>
      </c>
      <c r="AE486" t="s">
        <v>9690</v>
      </c>
      <c r="AF486" t="s">
        <v>74</v>
      </c>
      <c r="AG486">
        <v>47</v>
      </c>
      <c r="AH486">
        <v>33</v>
      </c>
      <c r="AI486">
        <v>36</v>
      </c>
      <c r="AJ486">
        <v>2</v>
      </c>
      <c r="AK486">
        <v>22</v>
      </c>
      <c r="AL486" t="s">
        <v>2192</v>
      </c>
      <c r="AM486" t="s">
        <v>2193</v>
      </c>
      <c r="AN486" t="s">
        <v>2194</v>
      </c>
      <c r="AO486" t="s">
        <v>2370</v>
      </c>
      <c r="AP486" t="s">
        <v>2371</v>
      </c>
      <c r="AQ486" t="s">
        <v>74</v>
      </c>
      <c r="AR486" t="s">
        <v>2372</v>
      </c>
      <c r="AS486" t="s">
        <v>2373</v>
      </c>
      <c r="AT486" t="s">
        <v>8975</v>
      </c>
      <c r="AU486">
        <v>2015</v>
      </c>
      <c r="AV486">
        <v>45</v>
      </c>
      <c r="AW486">
        <v>3</v>
      </c>
      <c r="AX486" t="s">
        <v>74</v>
      </c>
      <c r="AY486" t="s">
        <v>74</v>
      </c>
      <c r="AZ486" t="s">
        <v>74</v>
      </c>
      <c r="BA486" t="s">
        <v>74</v>
      </c>
      <c r="BB486">
        <v>884</v>
      </c>
      <c r="BC486">
        <v>903</v>
      </c>
      <c r="BD486" t="s">
        <v>74</v>
      </c>
      <c r="BE486" t="s">
        <v>9691</v>
      </c>
      <c r="BF486" t="str">
        <f>HYPERLINK("http://dx.doi.org/10.1175/JPO-D-14-0075.1","http://dx.doi.org/10.1175/JPO-D-14-0075.1")</f>
        <v>http://dx.doi.org/10.1175/JPO-D-14-0075.1</v>
      </c>
      <c r="BG486" t="s">
        <v>74</v>
      </c>
      <c r="BH486" t="s">
        <v>74</v>
      </c>
      <c r="BI486">
        <v>20</v>
      </c>
      <c r="BJ486" t="s">
        <v>1540</v>
      </c>
      <c r="BK486" t="s">
        <v>100</v>
      </c>
      <c r="BL486" t="s">
        <v>1540</v>
      </c>
      <c r="BM486" t="s">
        <v>9692</v>
      </c>
      <c r="BN486" t="s">
        <v>74</v>
      </c>
      <c r="BO486" t="s">
        <v>3228</v>
      </c>
      <c r="BP486" t="s">
        <v>74</v>
      </c>
      <c r="BQ486" t="s">
        <v>74</v>
      </c>
      <c r="BR486" t="s">
        <v>104</v>
      </c>
      <c r="BS486" t="s">
        <v>9693</v>
      </c>
      <c r="BT486" t="str">
        <f>HYPERLINK("https%3A%2F%2Fwww.webofscience.com%2Fwos%2Fwoscc%2Ffull-record%2FWOS:000350984900018","View Full Record in Web of Science")</f>
        <v>View Full Record in Web of Science</v>
      </c>
    </row>
    <row r="487" spans="1:72" x14ac:dyDescent="0.15">
      <c r="A487" t="s">
        <v>72</v>
      </c>
      <c r="B487" t="s">
        <v>9694</v>
      </c>
      <c r="C487" t="s">
        <v>74</v>
      </c>
      <c r="D487" t="s">
        <v>74</v>
      </c>
      <c r="E487" t="s">
        <v>74</v>
      </c>
      <c r="F487" t="s">
        <v>9695</v>
      </c>
      <c r="G487" t="s">
        <v>74</v>
      </c>
      <c r="H487" t="s">
        <v>74</v>
      </c>
      <c r="I487" t="s">
        <v>9696</v>
      </c>
      <c r="J487" t="s">
        <v>2358</v>
      </c>
      <c r="K487" t="s">
        <v>74</v>
      </c>
      <c r="L487" t="s">
        <v>74</v>
      </c>
      <c r="M487" t="s">
        <v>78</v>
      </c>
      <c r="N487" t="s">
        <v>79</v>
      </c>
      <c r="O487" t="s">
        <v>74</v>
      </c>
      <c r="P487" t="s">
        <v>74</v>
      </c>
      <c r="Q487" t="s">
        <v>74</v>
      </c>
      <c r="R487" t="s">
        <v>74</v>
      </c>
      <c r="S487" t="s">
        <v>74</v>
      </c>
      <c r="T487" t="s">
        <v>74</v>
      </c>
      <c r="U487" t="s">
        <v>9697</v>
      </c>
      <c r="V487" t="s">
        <v>9698</v>
      </c>
      <c r="W487" t="s">
        <v>9699</v>
      </c>
      <c r="X487" t="s">
        <v>9700</v>
      </c>
      <c r="Y487" t="s">
        <v>9701</v>
      </c>
      <c r="Z487" t="s">
        <v>9702</v>
      </c>
      <c r="AA487" t="s">
        <v>9703</v>
      </c>
      <c r="AB487" t="s">
        <v>9704</v>
      </c>
      <c r="AC487" t="s">
        <v>9705</v>
      </c>
      <c r="AD487" t="s">
        <v>9706</v>
      </c>
      <c r="AE487" t="s">
        <v>9707</v>
      </c>
      <c r="AF487" t="s">
        <v>74</v>
      </c>
      <c r="AG487">
        <v>36</v>
      </c>
      <c r="AH487">
        <v>11</v>
      </c>
      <c r="AI487">
        <v>12</v>
      </c>
      <c r="AJ487">
        <v>0</v>
      </c>
      <c r="AK487">
        <v>12</v>
      </c>
      <c r="AL487" t="s">
        <v>2192</v>
      </c>
      <c r="AM487" t="s">
        <v>2193</v>
      </c>
      <c r="AN487" t="s">
        <v>2194</v>
      </c>
      <c r="AO487" t="s">
        <v>2370</v>
      </c>
      <c r="AP487" t="s">
        <v>2371</v>
      </c>
      <c r="AQ487" t="s">
        <v>74</v>
      </c>
      <c r="AR487" t="s">
        <v>2372</v>
      </c>
      <c r="AS487" t="s">
        <v>2373</v>
      </c>
      <c r="AT487" t="s">
        <v>8975</v>
      </c>
      <c r="AU487">
        <v>2015</v>
      </c>
      <c r="AV487">
        <v>45</v>
      </c>
      <c r="AW487">
        <v>3</v>
      </c>
      <c r="AX487" t="s">
        <v>74</v>
      </c>
      <c r="AY487" t="s">
        <v>74</v>
      </c>
      <c r="AZ487" t="s">
        <v>74</v>
      </c>
      <c r="BA487" t="s">
        <v>74</v>
      </c>
      <c r="BB487">
        <v>927</v>
      </c>
      <c r="BC487">
        <v>940</v>
      </c>
      <c r="BD487" t="s">
        <v>74</v>
      </c>
      <c r="BE487" t="s">
        <v>9708</v>
      </c>
      <c r="BF487" t="str">
        <f>HYPERLINK("http://dx.doi.org/10.1175/JPO-D-14-0143.1","http://dx.doi.org/10.1175/JPO-D-14-0143.1")</f>
        <v>http://dx.doi.org/10.1175/JPO-D-14-0143.1</v>
      </c>
      <c r="BG487" t="s">
        <v>74</v>
      </c>
      <c r="BH487" t="s">
        <v>74</v>
      </c>
      <c r="BI487">
        <v>14</v>
      </c>
      <c r="BJ487" t="s">
        <v>1540</v>
      </c>
      <c r="BK487" t="s">
        <v>100</v>
      </c>
      <c r="BL487" t="s">
        <v>1540</v>
      </c>
      <c r="BM487" t="s">
        <v>9692</v>
      </c>
      <c r="BN487" t="s">
        <v>74</v>
      </c>
      <c r="BO487" t="s">
        <v>2481</v>
      </c>
      <c r="BP487" t="s">
        <v>74</v>
      </c>
      <c r="BQ487" t="s">
        <v>74</v>
      </c>
      <c r="BR487" t="s">
        <v>104</v>
      </c>
      <c r="BS487" t="s">
        <v>9709</v>
      </c>
      <c r="BT487" t="str">
        <f>HYPERLINK("https%3A%2F%2Fwww.webofscience.com%2Fwos%2Fwoscc%2Ffull-record%2FWOS:000350984900020","View Full Record in Web of Science")</f>
        <v>View Full Record in Web of Science</v>
      </c>
    </row>
    <row r="488" spans="1:72" x14ac:dyDescent="0.15">
      <c r="A488" t="s">
        <v>72</v>
      </c>
      <c r="B488" t="s">
        <v>9710</v>
      </c>
      <c r="C488" t="s">
        <v>74</v>
      </c>
      <c r="D488" t="s">
        <v>74</v>
      </c>
      <c r="E488" t="s">
        <v>74</v>
      </c>
      <c r="F488" t="s">
        <v>9711</v>
      </c>
      <c r="G488" t="s">
        <v>74</v>
      </c>
      <c r="H488" t="s">
        <v>74</v>
      </c>
      <c r="I488" t="s">
        <v>9712</v>
      </c>
      <c r="J488" t="s">
        <v>3567</v>
      </c>
      <c r="K488" t="s">
        <v>74</v>
      </c>
      <c r="L488" t="s">
        <v>74</v>
      </c>
      <c r="M488" t="s">
        <v>78</v>
      </c>
      <c r="N488" t="s">
        <v>79</v>
      </c>
      <c r="O488" t="s">
        <v>74</v>
      </c>
      <c r="P488" t="s">
        <v>74</v>
      </c>
      <c r="Q488" t="s">
        <v>74</v>
      </c>
      <c r="R488" t="s">
        <v>74</v>
      </c>
      <c r="S488" t="s">
        <v>74</v>
      </c>
      <c r="T488" t="s">
        <v>9713</v>
      </c>
      <c r="U488" t="s">
        <v>9714</v>
      </c>
      <c r="V488" t="s">
        <v>9715</v>
      </c>
      <c r="W488" t="s">
        <v>9716</v>
      </c>
      <c r="X488" t="s">
        <v>9717</v>
      </c>
      <c r="Y488" t="s">
        <v>9718</v>
      </c>
      <c r="Z488" t="s">
        <v>9719</v>
      </c>
      <c r="AA488" t="s">
        <v>9720</v>
      </c>
      <c r="AB488" t="s">
        <v>9721</v>
      </c>
      <c r="AC488" t="s">
        <v>9722</v>
      </c>
      <c r="AD488" t="s">
        <v>9723</v>
      </c>
      <c r="AE488" t="s">
        <v>9724</v>
      </c>
      <c r="AF488" t="s">
        <v>74</v>
      </c>
      <c r="AG488">
        <v>59</v>
      </c>
      <c r="AH488">
        <v>20</v>
      </c>
      <c r="AI488">
        <v>22</v>
      </c>
      <c r="AJ488">
        <v>1</v>
      </c>
      <c r="AK488">
        <v>20</v>
      </c>
      <c r="AL488" t="s">
        <v>1158</v>
      </c>
      <c r="AM488" t="s">
        <v>787</v>
      </c>
      <c r="AN488" t="s">
        <v>1159</v>
      </c>
      <c r="AO488" t="s">
        <v>3580</v>
      </c>
      <c r="AP488" t="s">
        <v>3581</v>
      </c>
      <c r="AQ488" t="s">
        <v>74</v>
      </c>
      <c r="AR488" t="s">
        <v>3582</v>
      </c>
      <c r="AS488" t="s">
        <v>3583</v>
      </c>
      <c r="AT488" t="s">
        <v>8975</v>
      </c>
      <c r="AU488">
        <v>2015</v>
      </c>
      <c r="AV488">
        <v>87</v>
      </c>
      <c r="AW488" t="s">
        <v>74</v>
      </c>
      <c r="AX488" t="s">
        <v>74</v>
      </c>
      <c r="AY488" t="s">
        <v>74</v>
      </c>
      <c r="AZ488" t="s">
        <v>74</v>
      </c>
      <c r="BA488" t="s">
        <v>74</v>
      </c>
      <c r="BB488">
        <v>67</v>
      </c>
      <c r="BC488">
        <v>80</v>
      </c>
      <c r="BD488" t="s">
        <v>74</v>
      </c>
      <c r="BE488" t="s">
        <v>9725</v>
      </c>
      <c r="BF488" t="str">
        <f>HYPERLINK("http://dx.doi.org/10.1016/j.ocemod.2014.12.003","http://dx.doi.org/10.1016/j.ocemod.2014.12.003")</f>
        <v>http://dx.doi.org/10.1016/j.ocemod.2014.12.003</v>
      </c>
      <c r="BG488" t="s">
        <v>74</v>
      </c>
      <c r="BH488" t="s">
        <v>74</v>
      </c>
      <c r="BI488">
        <v>14</v>
      </c>
      <c r="BJ488" t="s">
        <v>3585</v>
      </c>
      <c r="BK488" t="s">
        <v>100</v>
      </c>
      <c r="BL488" t="s">
        <v>3585</v>
      </c>
      <c r="BM488" t="s">
        <v>9726</v>
      </c>
      <c r="BN488" t="s">
        <v>74</v>
      </c>
      <c r="BO488" t="s">
        <v>408</v>
      </c>
      <c r="BP488" t="s">
        <v>74</v>
      </c>
      <c r="BQ488" t="s">
        <v>74</v>
      </c>
      <c r="BR488" t="s">
        <v>104</v>
      </c>
      <c r="BS488" t="s">
        <v>9727</v>
      </c>
      <c r="BT488" t="str">
        <f>HYPERLINK("https%3A%2F%2Fwww.webofscience.com%2Fwos%2Fwoscc%2Ffull-record%2FWOS:000350989900005","View Full Record in Web of Science")</f>
        <v>View Full Record in Web of Science</v>
      </c>
    </row>
    <row r="489" spans="1:72" x14ac:dyDescent="0.15">
      <c r="A489" t="s">
        <v>72</v>
      </c>
      <c r="B489" t="s">
        <v>9728</v>
      </c>
      <c r="C489" t="s">
        <v>74</v>
      </c>
      <c r="D489" t="s">
        <v>74</v>
      </c>
      <c r="E489" t="s">
        <v>74</v>
      </c>
      <c r="F489" t="s">
        <v>9729</v>
      </c>
      <c r="G489" t="s">
        <v>74</v>
      </c>
      <c r="H489" t="s">
        <v>74</v>
      </c>
      <c r="I489" t="s">
        <v>9730</v>
      </c>
      <c r="J489" t="s">
        <v>3567</v>
      </c>
      <c r="K489" t="s">
        <v>74</v>
      </c>
      <c r="L489" t="s">
        <v>74</v>
      </c>
      <c r="M489" t="s">
        <v>78</v>
      </c>
      <c r="N489" t="s">
        <v>79</v>
      </c>
      <c r="O489" t="s">
        <v>74</v>
      </c>
      <c r="P489" t="s">
        <v>74</v>
      </c>
      <c r="Q489" t="s">
        <v>74</v>
      </c>
      <c r="R489" t="s">
        <v>74</v>
      </c>
      <c r="S489" t="s">
        <v>74</v>
      </c>
      <c r="T489" t="s">
        <v>9731</v>
      </c>
      <c r="U489" t="s">
        <v>9732</v>
      </c>
      <c r="V489" t="s">
        <v>9733</v>
      </c>
      <c r="W489" t="s">
        <v>9734</v>
      </c>
      <c r="X489" t="s">
        <v>9735</v>
      </c>
      <c r="Y489" t="s">
        <v>9718</v>
      </c>
      <c r="Z489" t="s">
        <v>9719</v>
      </c>
      <c r="AA489" t="s">
        <v>9736</v>
      </c>
      <c r="AB489" t="s">
        <v>9737</v>
      </c>
      <c r="AC489" t="s">
        <v>9722</v>
      </c>
      <c r="AD489" t="s">
        <v>9723</v>
      </c>
      <c r="AE489" t="s">
        <v>9738</v>
      </c>
      <c r="AF489" t="s">
        <v>74</v>
      </c>
      <c r="AG489">
        <v>34</v>
      </c>
      <c r="AH489">
        <v>3</v>
      </c>
      <c r="AI489">
        <v>3</v>
      </c>
      <c r="AJ489">
        <v>2</v>
      </c>
      <c r="AK489">
        <v>11</v>
      </c>
      <c r="AL489" t="s">
        <v>1158</v>
      </c>
      <c r="AM489" t="s">
        <v>787</v>
      </c>
      <c r="AN489" t="s">
        <v>1159</v>
      </c>
      <c r="AO489" t="s">
        <v>3580</v>
      </c>
      <c r="AP489" t="s">
        <v>3581</v>
      </c>
      <c r="AQ489" t="s">
        <v>74</v>
      </c>
      <c r="AR489" t="s">
        <v>3582</v>
      </c>
      <c r="AS489" t="s">
        <v>3583</v>
      </c>
      <c r="AT489" t="s">
        <v>8975</v>
      </c>
      <c r="AU489">
        <v>2015</v>
      </c>
      <c r="AV489">
        <v>87</v>
      </c>
      <c r="AW489" t="s">
        <v>74</v>
      </c>
      <c r="AX489" t="s">
        <v>74</v>
      </c>
      <c r="AY489" t="s">
        <v>74</v>
      </c>
      <c r="AZ489" t="s">
        <v>74</v>
      </c>
      <c r="BA489" t="s">
        <v>74</v>
      </c>
      <c r="BB489">
        <v>81</v>
      </c>
      <c r="BC489">
        <v>85</v>
      </c>
      <c r="BD489" t="s">
        <v>74</v>
      </c>
      <c r="BE489" t="s">
        <v>9739</v>
      </c>
      <c r="BF489" t="str">
        <f>HYPERLINK("http://dx.doi.org/10.1016/j.ocemod.2014.11.005","http://dx.doi.org/10.1016/j.ocemod.2014.11.005")</f>
        <v>http://dx.doi.org/10.1016/j.ocemod.2014.11.005</v>
      </c>
      <c r="BG489" t="s">
        <v>74</v>
      </c>
      <c r="BH489" t="s">
        <v>74</v>
      </c>
      <c r="BI489">
        <v>5</v>
      </c>
      <c r="BJ489" t="s">
        <v>3585</v>
      </c>
      <c r="BK489" t="s">
        <v>100</v>
      </c>
      <c r="BL489" t="s">
        <v>3585</v>
      </c>
      <c r="BM489" t="s">
        <v>9726</v>
      </c>
      <c r="BN489" t="s">
        <v>74</v>
      </c>
      <c r="BO489" t="s">
        <v>74</v>
      </c>
      <c r="BP489" t="s">
        <v>74</v>
      </c>
      <c r="BQ489" t="s">
        <v>74</v>
      </c>
      <c r="BR489" t="s">
        <v>104</v>
      </c>
      <c r="BS489" t="s">
        <v>9740</v>
      </c>
      <c r="BT489" t="str">
        <f>HYPERLINK("https%3A%2F%2Fwww.webofscience.com%2Fwos%2Fwoscc%2Ffull-record%2FWOS:000350989900006","View Full Record in Web of Science")</f>
        <v>View Full Record in Web of Science</v>
      </c>
    </row>
    <row r="490" spans="1:72" x14ac:dyDescent="0.15">
      <c r="A490" t="s">
        <v>72</v>
      </c>
      <c r="B490" t="s">
        <v>9741</v>
      </c>
      <c r="C490" t="s">
        <v>74</v>
      </c>
      <c r="D490" t="s">
        <v>74</v>
      </c>
      <c r="E490" t="s">
        <v>74</v>
      </c>
      <c r="F490" t="s">
        <v>9742</v>
      </c>
      <c r="G490" t="s">
        <v>74</v>
      </c>
      <c r="H490" t="s">
        <v>74</v>
      </c>
      <c r="I490" t="s">
        <v>9743</v>
      </c>
      <c r="J490" t="s">
        <v>9744</v>
      </c>
      <c r="K490" t="s">
        <v>74</v>
      </c>
      <c r="L490" t="s">
        <v>74</v>
      </c>
      <c r="M490" t="s">
        <v>78</v>
      </c>
      <c r="N490" t="s">
        <v>79</v>
      </c>
      <c r="O490" t="s">
        <v>74</v>
      </c>
      <c r="P490" t="s">
        <v>74</v>
      </c>
      <c r="Q490" t="s">
        <v>74</v>
      </c>
      <c r="R490" t="s">
        <v>74</v>
      </c>
      <c r="S490" t="s">
        <v>74</v>
      </c>
      <c r="T490" t="s">
        <v>9745</v>
      </c>
      <c r="U490" t="s">
        <v>9746</v>
      </c>
      <c r="V490" t="s">
        <v>9747</v>
      </c>
      <c r="W490" t="s">
        <v>9748</v>
      </c>
      <c r="X490" t="s">
        <v>302</v>
      </c>
      <c r="Y490" t="s">
        <v>9749</v>
      </c>
      <c r="Z490" t="s">
        <v>9750</v>
      </c>
      <c r="AA490" t="s">
        <v>9751</v>
      </c>
      <c r="AB490" t="s">
        <v>9752</v>
      </c>
      <c r="AC490" t="s">
        <v>9753</v>
      </c>
      <c r="AD490" t="s">
        <v>9754</v>
      </c>
      <c r="AE490" t="s">
        <v>9755</v>
      </c>
      <c r="AF490" t="s">
        <v>74</v>
      </c>
      <c r="AG490">
        <v>30</v>
      </c>
      <c r="AH490">
        <v>12</v>
      </c>
      <c r="AI490">
        <v>13</v>
      </c>
      <c r="AJ490">
        <v>0</v>
      </c>
      <c r="AK490">
        <v>26</v>
      </c>
      <c r="AL490" t="s">
        <v>9756</v>
      </c>
      <c r="AM490" t="s">
        <v>9757</v>
      </c>
      <c r="AN490" t="s">
        <v>9758</v>
      </c>
      <c r="AO490" t="s">
        <v>9759</v>
      </c>
      <c r="AP490" t="s">
        <v>9760</v>
      </c>
      <c r="AQ490" t="s">
        <v>74</v>
      </c>
      <c r="AR490" t="s">
        <v>9761</v>
      </c>
      <c r="AS490" t="s">
        <v>9762</v>
      </c>
      <c r="AT490" t="s">
        <v>8975</v>
      </c>
      <c r="AU490">
        <v>2015</v>
      </c>
      <c r="AV490">
        <v>127</v>
      </c>
      <c r="AW490">
        <v>1</v>
      </c>
      <c r="AX490" t="s">
        <v>74</v>
      </c>
      <c r="AY490" t="s">
        <v>74</v>
      </c>
      <c r="AZ490" t="s">
        <v>74</v>
      </c>
      <c r="BA490" t="s">
        <v>74</v>
      </c>
      <c r="BB490">
        <v>131</v>
      </c>
      <c r="BC490" t="s">
        <v>9763</v>
      </c>
      <c r="BD490" t="s">
        <v>74</v>
      </c>
      <c r="BE490" t="s">
        <v>9764</v>
      </c>
      <c r="BF490" t="str">
        <f>HYPERLINK("http://dx.doi.org/10.1676/14-073.1","http://dx.doi.org/10.1676/14-073.1")</f>
        <v>http://dx.doi.org/10.1676/14-073.1</v>
      </c>
      <c r="BG490" t="s">
        <v>74</v>
      </c>
      <c r="BH490" t="s">
        <v>74</v>
      </c>
      <c r="BI490">
        <v>4</v>
      </c>
      <c r="BJ490" t="s">
        <v>2124</v>
      </c>
      <c r="BK490" t="s">
        <v>100</v>
      </c>
      <c r="BL490" t="s">
        <v>509</v>
      </c>
      <c r="BM490" t="s">
        <v>9765</v>
      </c>
      <c r="BN490" t="s">
        <v>74</v>
      </c>
      <c r="BO490" t="s">
        <v>74</v>
      </c>
      <c r="BP490" t="s">
        <v>74</v>
      </c>
      <c r="BQ490" t="s">
        <v>74</v>
      </c>
      <c r="BR490" t="s">
        <v>104</v>
      </c>
      <c r="BS490" t="s">
        <v>9766</v>
      </c>
      <c r="BT490" t="str">
        <f>HYPERLINK("https%3A%2F%2Fwww.webofscience.com%2Fwos%2Fwoscc%2Ffull-record%2FWOS:000351460800018","View Full Record in Web of Science")</f>
        <v>View Full Record in Web of Science</v>
      </c>
    </row>
    <row r="491" spans="1:72" x14ac:dyDescent="0.15">
      <c r="A491" t="s">
        <v>72</v>
      </c>
      <c r="B491" t="s">
        <v>9767</v>
      </c>
      <c r="C491" t="s">
        <v>74</v>
      </c>
      <c r="D491" t="s">
        <v>74</v>
      </c>
      <c r="E491" t="s">
        <v>74</v>
      </c>
      <c r="F491" t="s">
        <v>9768</v>
      </c>
      <c r="G491" t="s">
        <v>74</v>
      </c>
      <c r="H491" t="s">
        <v>74</v>
      </c>
      <c r="I491" t="s">
        <v>9769</v>
      </c>
      <c r="J491" t="s">
        <v>9770</v>
      </c>
      <c r="K491" t="s">
        <v>74</v>
      </c>
      <c r="L491" t="s">
        <v>74</v>
      </c>
      <c r="M491" t="s">
        <v>78</v>
      </c>
      <c r="N491" t="s">
        <v>1291</v>
      </c>
      <c r="O491" t="s">
        <v>74</v>
      </c>
      <c r="P491" t="s">
        <v>74</v>
      </c>
      <c r="Q491" t="s">
        <v>74</v>
      </c>
      <c r="R491" t="s">
        <v>74</v>
      </c>
      <c r="S491" t="s">
        <v>74</v>
      </c>
      <c r="T491" t="s">
        <v>9771</v>
      </c>
      <c r="U491" t="s">
        <v>9772</v>
      </c>
      <c r="V491" t="s">
        <v>9773</v>
      </c>
      <c r="W491" t="s">
        <v>9774</v>
      </c>
      <c r="X491" t="s">
        <v>9775</v>
      </c>
      <c r="Y491" t="s">
        <v>9776</v>
      </c>
      <c r="Z491" t="s">
        <v>9777</v>
      </c>
      <c r="AA491" t="s">
        <v>74</v>
      </c>
      <c r="AB491" t="s">
        <v>74</v>
      </c>
      <c r="AC491" t="s">
        <v>9778</v>
      </c>
      <c r="AD491" t="s">
        <v>9778</v>
      </c>
      <c r="AE491" t="s">
        <v>9779</v>
      </c>
      <c r="AF491" t="s">
        <v>74</v>
      </c>
      <c r="AG491">
        <v>56</v>
      </c>
      <c r="AH491">
        <v>30</v>
      </c>
      <c r="AI491">
        <v>35</v>
      </c>
      <c r="AJ491">
        <v>8</v>
      </c>
      <c r="AK491">
        <v>60</v>
      </c>
      <c r="AL491" t="s">
        <v>120</v>
      </c>
      <c r="AM491" t="s">
        <v>2560</v>
      </c>
      <c r="AN491" t="s">
        <v>2561</v>
      </c>
      <c r="AO491" t="s">
        <v>9780</v>
      </c>
      <c r="AP491" t="s">
        <v>9781</v>
      </c>
      <c r="AQ491" t="s">
        <v>74</v>
      </c>
      <c r="AR491" t="s">
        <v>9770</v>
      </c>
      <c r="AS491" t="s">
        <v>9782</v>
      </c>
      <c r="AT491" t="s">
        <v>8975</v>
      </c>
      <c r="AU491">
        <v>2015</v>
      </c>
      <c r="AV491">
        <v>31</v>
      </c>
      <c r="AW491">
        <v>1</v>
      </c>
      <c r="AX491" t="s">
        <v>74</v>
      </c>
      <c r="AY491" t="s">
        <v>74</v>
      </c>
      <c r="AZ491" t="s">
        <v>74</v>
      </c>
      <c r="BA491" t="s">
        <v>74</v>
      </c>
      <c r="BB491">
        <v>89</v>
      </c>
      <c r="BC491">
        <v>97</v>
      </c>
      <c r="BD491" t="s">
        <v>74</v>
      </c>
      <c r="BE491" t="s">
        <v>9783</v>
      </c>
      <c r="BF491" t="str">
        <f>HYPERLINK("http://dx.doi.org/10.1007/s10453-014-9349-z","http://dx.doi.org/10.1007/s10453-014-9349-z")</f>
        <v>http://dx.doi.org/10.1007/s10453-014-9349-z</v>
      </c>
      <c r="BG491" t="s">
        <v>74</v>
      </c>
      <c r="BH491" t="s">
        <v>74</v>
      </c>
      <c r="BI491">
        <v>9</v>
      </c>
      <c r="BJ491" t="s">
        <v>9784</v>
      </c>
      <c r="BK491" t="s">
        <v>100</v>
      </c>
      <c r="BL491" t="s">
        <v>9785</v>
      </c>
      <c r="BM491" t="s">
        <v>9786</v>
      </c>
      <c r="BN491" t="s">
        <v>74</v>
      </c>
      <c r="BO491" t="s">
        <v>74</v>
      </c>
      <c r="BP491" t="s">
        <v>74</v>
      </c>
      <c r="BQ491" t="s">
        <v>74</v>
      </c>
      <c r="BR491" t="s">
        <v>104</v>
      </c>
      <c r="BS491" t="s">
        <v>9787</v>
      </c>
      <c r="BT491" t="str">
        <f>HYPERLINK("https%3A%2F%2Fwww.webofscience.com%2Fwos%2Fwoscc%2Ffull-record%2FWOS:000350580400009","View Full Record in Web of Science")</f>
        <v>View Full Record in Web of Science</v>
      </c>
    </row>
    <row r="492" spans="1:72" x14ac:dyDescent="0.15">
      <c r="A492" t="s">
        <v>72</v>
      </c>
      <c r="B492" t="s">
        <v>9788</v>
      </c>
      <c r="C492" t="s">
        <v>74</v>
      </c>
      <c r="D492" t="s">
        <v>74</v>
      </c>
      <c r="E492" t="s">
        <v>74</v>
      </c>
      <c r="F492" t="s">
        <v>9789</v>
      </c>
      <c r="G492" t="s">
        <v>74</v>
      </c>
      <c r="H492" t="s">
        <v>74</v>
      </c>
      <c r="I492" t="s">
        <v>9790</v>
      </c>
      <c r="J492" t="s">
        <v>9791</v>
      </c>
      <c r="K492" t="s">
        <v>74</v>
      </c>
      <c r="L492" t="s">
        <v>74</v>
      </c>
      <c r="M492" t="s">
        <v>78</v>
      </c>
      <c r="N492" t="s">
        <v>52</v>
      </c>
      <c r="O492" t="s">
        <v>9792</v>
      </c>
      <c r="P492" t="s">
        <v>9793</v>
      </c>
      <c r="Q492" t="s">
        <v>9794</v>
      </c>
      <c r="R492" t="s">
        <v>74</v>
      </c>
      <c r="S492" t="s">
        <v>74</v>
      </c>
      <c r="T492" t="s">
        <v>74</v>
      </c>
      <c r="U492" t="s">
        <v>74</v>
      </c>
      <c r="V492" t="s">
        <v>74</v>
      </c>
      <c r="W492" t="s">
        <v>9795</v>
      </c>
      <c r="X492" t="s">
        <v>9796</v>
      </c>
      <c r="Y492" t="s">
        <v>74</v>
      </c>
      <c r="Z492" t="s">
        <v>74</v>
      </c>
      <c r="AA492" t="s">
        <v>9797</v>
      </c>
      <c r="AB492" t="s">
        <v>9798</v>
      </c>
      <c r="AC492" t="s">
        <v>74</v>
      </c>
      <c r="AD492" t="s">
        <v>74</v>
      </c>
      <c r="AE492" t="s">
        <v>74</v>
      </c>
      <c r="AF492" t="s">
        <v>74</v>
      </c>
      <c r="AG492">
        <v>0</v>
      </c>
      <c r="AH492">
        <v>0</v>
      </c>
      <c r="AI492">
        <v>0</v>
      </c>
      <c r="AJ492">
        <v>0</v>
      </c>
      <c r="AK492">
        <v>4</v>
      </c>
      <c r="AL492" t="s">
        <v>1508</v>
      </c>
      <c r="AM492" t="s">
        <v>92</v>
      </c>
      <c r="AN492" t="s">
        <v>93</v>
      </c>
      <c r="AO492" t="s">
        <v>9799</v>
      </c>
      <c r="AP492" t="s">
        <v>9800</v>
      </c>
      <c r="AQ492" t="s">
        <v>74</v>
      </c>
      <c r="AR492" t="s">
        <v>9801</v>
      </c>
      <c r="AS492" t="s">
        <v>9802</v>
      </c>
      <c r="AT492" t="s">
        <v>8975</v>
      </c>
      <c r="AU492">
        <v>2015</v>
      </c>
      <c r="AV492">
        <v>156</v>
      </c>
      <c r="AW492" t="s">
        <v>74</v>
      </c>
      <c r="AX492" t="s">
        <v>74</v>
      </c>
      <c r="AY492">
        <v>60</v>
      </c>
      <c r="AZ492" t="s">
        <v>454</v>
      </c>
      <c r="BA492" t="s">
        <v>74</v>
      </c>
      <c r="BB492">
        <v>200</v>
      </c>
      <c r="BC492">
        <v>200</v>
      </c>
      <c r="BD492" t="s">
        <v>74</v>
      </c>
      <c r="BE492" t="s">
        <v>74</v>
      </c>
      <c r="BF492" t="s">
        <v>74</v>
      </c>
      <c r="BG492" t="s">
        <v>74</v>
      </c>
      <c r="BH492" t="s">
        <v>74</v>
      </c>
      <c r="BI492">
        <v>1</v>
      </c>
      <c r="BJ492" t="s">
        <v>9803</v>
      </c>
      <c r="BK492" t="s">
        <v>9804</v>
      </c>
      <c r="BL492" t="s">
        <v>9803</v>
      </c>
      <c r="BM492" t="s">
        <v>9805</v>
      </c>
      <c r="BN492" t="s">
        <v>74</v>
      </c>
      <c r="BO492" t="s">
        <v>74</v>
      </c>
      <c r="BP492" t="s">
        <v>74</v>
      </c>
      <c r="BQ492" t="s">
        <v>74</v>
      </c>
      <c r="BR492" t="s">
        <v>104</v>
      </c>
      <c r="BS492" t="s">
        <v>9806</v>
      </c>
      <c r="BT492" t="str">
        <f>HYPERLINK("https%3A%2F%2Fwww.webofscience.com%2Fwos%2Fwoscc%2Ffull-record%2FWOS:000350594901296","View Full Record in Web of Science")</f>
        <v>View Full Record in Web of Science</v>
      </c>
    </row>
    <row r="493" spans="1:72" x14ac:dyDescent="0.15">
      <c r="A493" t="s">
        <v>72</v>
      </c>
      <c r="B493" t="s">
        <v>9807</v>
      </c>
      <c r="C493" t="s">
        <v>74</v>
      </c>
      <c r="D493" t="s">
        <v>74</v>
      </c>
      <c r="E493" t="s">
        <v>74</v>
      </c>
      <c r="F493" t="s">
        <v>9808</v>
      </c>
      <c r="G493" t="s">
        <v>74</v>
      </c>
      <c r="H493" t="s">
        <v>74</v>
      </c>
      <c r="I493" t="s">
        <v>9809</v>
      </c>
      <c r="J493" t="s">
        <v>9810</v>
      </c>
      <c r="K493" t="s">
        <v>74</v>
      </c>
      <c r="L493" t="s">
        <v>74</v>
      </c>
      <c r="M493" t="s">
        <v>78</v>
      </c>
      <c r="N493" t="s">
        <v>79</v>
      </c>
      <c r="O493" t="s">
        <v>74</v>
      </c>
      <c r="P493" t="s">
        <v>74</v>
      </c>
      <c r="Q493" t="s">
        <v>74</v>
      </c>
      <c r="R493" t="s">
        <v>74</v>
      </c>
      <c r="S493" t="s">
        <v>74</v>
      </c>
      <c r="T493" t="s">
        <v>9811</v>
      </c>
      <c r="U493" t="s">
        <v>74</v>
      </c>
      <c r="V493" t="s">
        <v>9812</v>
      </c>
      <c r="W493" t="s">
        <v>9813</v>
      </c>
      <c r="X493" t="s">
        <v>9814</v>
      </c>
      <c r="Y493" t="s">
        <v>9815</v>
      </c>
      <c r="Z493" t="s">
        <v>9816</v>
      </c>
      <c r="AA493" t="s">
        <v>74</v>
      </c>
      <c r="AB493" t="s">
        <v>9817</v>
      </c>
      <c r="AC493" t="s">
        <v>74</v>
      </c>
      <c r="AD493" t="s">
        <v>74</v>
      </c>
      <c r="AE493" t="s">
        <v>74</v>
      </c>
      <c r="AF493" t="s">
        <v>74</v>
      </c>
      <c r="AG493">
        <v>11</v>
      </c>
      <c r="AH493">
        <v>1</v>
      </c>
      <c r="AI493">
        <v>1</v>
      </c>
      <c r="AJ493">
        <v>0</v>
      </c>
      <c r="AK493">
        <v>5</v>
      </c>
      <c r="AL493" t="s">
        <v>120</v>
      </c>
      <c r="AM493" t="s">
        <v>2560</v>
      </c>
      <c r="AN493" t="s">
        <v>2561</v>
      </c>
      <c r="AO493" t="s">
        <v>9818</v>
      </c>
      <c r="AP493" t="s">
        <v>9819</v>
      </c>
      <c r="AQ493" t="s">
        <v>74</v>
      </c>
      <c r="AR493" t="s">
        <v>9820</v>
      </c>
      <c r="AS493" t="s">
        <v>9821</v>
      </c>
      <c r="AT493" t="s">
        <v>8975</v>
      </c>
      <c r="AU493">
        <v>2015</v>
      </c>
      <c r="AV493">
        <v>8</v>
      </c>
      <c r="AW493">
        <v>1</v>
      </c>
      <c r="AX493" t="s">
        <v>74</v>
      </c>
      <c r="AY493" t="s">
        <v>74</v>
      </c>
      <c r="AZ493" t="s">
        <v>74</v>
      </c>
      <c r="BA493" t="s">
        <v>74</v>
      </c>
      <c r="BB493">
        <v>69</v>
      </c>
      <c r="BC493">
        <v>83</v>
      </c>
      <c r="BD493" t="s">
        <v>74</v>
      </c>
      <c r="BE493" t="s">
        <v>9822</v>
      </c>
      <c r="BF493" t="str">
        <f>HYPERLINK("http://dx.doi.org/10.1007/s12061-014-9121-3","http://dx.doi.org/10.1007/s12061-014-9121-3")</f>
        <v>http://dx.doi.org/10.1007/s12061-014-9121-3</v>
      </c>
      <c r="BG493" t="s">
        <v>74</v>
      </c>
      <c r="BH493" t="s">
        <v>74</v>
      </c>
      <c r="BI493">
        <v>15</v>
      </c>
      <c r="BJ493" t="s">
        <v>9823</v>
      </c>
      <c r="BK493" t="s">
        <v>1189</v>
      </c>
      <c r="BL493" t="s">
        <v>9824</v>
      </c>
      <c r="BM493" t="s">
        <v>9825</v>
      </c>
      <c r="BN493" t="s">
        <v>74</v>
      </c>
      <c r="BO493" t="s">
        <v>74</v>
      </c>
      <c r="BP493" t="s">
        <v>74</v>
      </c>
      <c r="BQ493" t="s">
        <v>74</v>
      </c>
      <c r="BR493" t="s">
        <v>104</v>
      </c>
      <c r="BS493" t="s">
        <v>9826</v>
      </c>
      <c r="BT493" t="str">
        <f>HYPERLINK("https%3A%2F%2Fwww.webofscience.com%2Fwos%2Fwoscc%2Ffull-record%2FWOS:000350882500004","View Full Record in Web of Science")</f>
        <v>View Full Record in Web of Science</v>
      </c>
    </row>
    <row r="494" spans="1:72" x14ac:dyDescent="0.15">
      <c r="A494" t="s">
        <v>72</v>
      </c>
      <c r="B494" t="s">
        <v>9827</v>
      </c>
      <c r="C494" t="s">
        <v>74</v>
      </c>
      <c r="D494" t="s">
        <v>74</v>
      </c>
      <c r="E494" t="s">
        <v>74</v>
      </c>
      <c r="F494" t="s">
        <v>9828</v>
      </c>
      <c r="G494" t="s">
        <v>74</v>
      </c>
      <c r="H494" t="s">
        <v>74</v>
      </c>
      <c r="I494" t="s">
        <v>9829</v>
      </c>
      <c r="J494" t="s">
        <v>2335</v>
      </c>
      <c r="K494" t="s">
        <v>74</v>
      </c>
      <c r="L494" t="s">
        <v>74</v>
      </c>
      <c r="M494" t="s">
        <v>78</v>
      </c>
      <c r="N494" t="s">
        <v>79</v>
      </c>
      <c r="O494" t="s">
        <v>74</v>
      </c>
      <c r="P494" t="s">
        <v>74</v>
      </c>
      <c r="Q494" t="s">
        <v>74</v>
      </c>
      <c r="R494" t="s">
        <v>74</v>
      </c>
      <c r="S494" t="s">
        <v>74</v>
      </c>
      <c r="T494" t="s">
        <v>9830</v>
      </c>
      <c r="U494" t="s">
        <v>9831</v>
      </c>
      <c r="V494" t="s">
        <v>9832</v>
      </c>
      <c r="W494" t="s">
        <v>9833</v>
      </c>
      <c r="X494" t="s">
        <v>9834</v>
      </c>
      <c r="Y494" t="s">
        <v>9835</v>
      </c>
      <c r="Z494" t="s">
        <v>9836</v>
      </c>
      <c r="AA494" t="s">
        <v>9837</v>
      </c>
      <c r="AB494" t="s">
        <v>74</v>
      </c>
      <c r="AC494" t="s">
        <v>9838</v>
      </c>
      <c r="AD494" t="s">
        <v>9839</v>
      </c>
      <c r="AE494" t="s">
        <v>9840</v>
      </c>
      <c r="AF494" t="s">
        <v>74</v>
      </c>
      <c r="AG494">
        <v>30</v>
      </c>
      <c r="AH494">
        <v>4</v>
      </c>
      <c r="AI494">
        <v>6</v>
      </c>
      <c r="AJ494">
        <v>2</v>
      </c>
      <c r="AK494">
        <v>19</v>
      </c>
      <c r="AL494" t="s">
        <v>2028</v>
      </c>
      <c r="AM494" t="s">
        <v>2029</v>
      </c>
      <c r="AN494" t="s">
        <v>2347</v>
      </c>
      <c r="AO494" t="s">
        <v>2348</v>
      </c>
      <c r="AP494" t="s">
        <v>2349</v>
      </c>
      <c r="AQ494" t="s">
        <v>74</v>
      </c>
      <c r="AR494" t="s">
        <v>2350</v>
      </c>
      <c r="AS494" t="s">
        <v>2351</v>
      </c>
      <c r="AT494" t="s">
        <v>8975</v>
      </c>
      <c r="AU494">
        <v>2015</v>
      </c>
      <c r="AV494">
        <v>33</v>
      </c>
      <c r="AW494">
        <v>2</v>
      </c>
      <c r="AX494" t="s">
        <v>74</v>
      </c>
      <c r="AY494" t="s">
        <v>74</v>
      </c>
      <c r="AZ494" t="s">
        <v>74</v>
      </c>
      <c r="BA494" t="s">
        <v>74</v>
      </c>
      <c r="BB494">
        <v>319</v>
      </c>
      <c r="BC494">
        <v>327</v>
      </c>
      <c r="BD494" t="s">
        <v>74</v>
      </c>
      <c r="BE494" t="s">
        <v>9841</v>
      </c>
      <c r="BF494" t="str">
        <f>HYPERLINK("http://dx.doi.org/10.1007/s00343-015-4072-3","http://dx.doi.org/10.1007/s00343-015-4072-3")</f>
        <v>http://dx.doi.org/10.1007/s00343-015-4072-3</v>
      </c>
      <c r="BG494" t="s">
        <v>74</v>
      </c>
      <c r="BH494" t="s">
        <v>74</v>
      </c>
      <c r="BI494">
        <v>9</v>
      </c>
      <c r="BJ494" t="s">
        <v>2223</v>
      </c>
      <c r="BK494" t="s">
        <v>100</v>
      </c>
      <c r="BL494" t="s">
        <v>1766</v>
      </c>
      <c r="BM494" t="s">
        <v>9842</v>
      </c>
      <c r="BN494" t="s">
        <v>74</v>
      </c>
      <c r="BO494" t="s">
        <v>74</v>
      </c>
      <c r="BP494" t="s">
        <v>74</v>
      </c>
      <c r="BQ494" t="s">
        <v>74</v>
      </c>
      <c r="BR494" t="s">
        <v>104</v>
      </c>
      <c r="BS494" t="s">
        <v>9843</v>
      </c>
      <c r="BT494" t="str">
        <f>HYPERLINK("https%3A%2F%2Fwww.webofscience.com%2Fwos%2Fwoscc%2Ffull-record%2FWOS:000351156800004","View Full Record in Web of Science")</f>
        <v>View Full Record in Web of Science</v>
      </c>
    </row>
    <row r="495" spans="1:72" x14ac:dyDescent="0.15">
      <c r="A495" t="s">
        <v>72</v>
      </c>
      <c r="B495" t="s">
        <v>9844</v>
      </c>
      <c r="C495" t="s">
        <v>74</v>
      </c>
      <c r="D495" t="s">
        <v>74</v>
      </c>
      <c r="E495" t="s">
        <v>74</v>
      </c>
      <c r="F495" t="s">
        <v>9845</v>
      </c>
      <c r="G495" t="s">
        <v>74</v>
      </c>
      <c r="H495" t="s">
        <v>74</v>
      </c>
      <c r="I495" t="s">
        <v>9846</v>
      </c>
      <c r="J495" t="s">
        <v>4085</v>
      </c>
      <c r="K495" t="s">
        <v>74</v>
      </c>
      <c r="L495" t="s">
        <v>74</v>
      </c>
      <c r="M495" t="s">
        <v>78</v>
      </c>
      <c r="N495" t="s">
        <v>79</v>
      </c>
      <c r="O495" t="s">
        <v>74</v>
      </c>
      <c r="P495" t="s">
        <v>74</v>
      </c>
      <c r="Q495" t="s">
        <v>74</v>
      </c>
      <c r="R495" t="s">
        <v>74</v>
      </c>
      <c r="S495" t="s">
        <v>74</v>
      </c>
      <c r="T495" t="s">
        <v>9847</v>
      </c>
      <c r="U495" t="s">
        <v>9848</v>
      </c>
      <c r="V495" t="s">
        <v>9849</v>
      </c>
      <c r="W495" t="s">
        <v>9850</v>
      </c>
      <c r="X495" t="s">
        <v>9851</v>
      </c>
      <c r="Y495" t="s">
        <v>9852</v>
      </c>
      <c r="Z495" t="s">
        <v>9853</v>
      </c>
      <c r="AA495" t="s">
        <v>9854</v>
      </c>
      <c r="AB495" t="s">
        <v>9855</v>
      </c>
      <c r="AC495" t="s">
        <v>9856</v>
      </c>
      <c r="AD495" t="s">
        <v>9857</v>
      </c>
      <c r="AE495" t="s">
        <v>9858</v>
      </c>
      <c r="AF495" t="s">
        <v>74</v>
      </c>
      <c r="AG495">
        <v>48</v>
      </c>
      <c r="AH495">
        <v>13</v>
      </c>
      <c r="AI495">
        <v>14</v>
      </c>
      <c r="AJ495">
        <v>0</v>
      </c>
      <c r="AK495">
        <v>27</v>
      </c>
      <c r="AL495" t="s">
        <v>120</v>
      </c>
      <c r="AM495" t="s">
        <v>121</v>
      </c>
      <c r="AN495" t="s">
        <v>122</v>
      </c>
      <c r="AO495" t="s">
        <v>4096</v>
      </c>
      <c r="AP495" t="s">
        <v>4097</v>
      </c>
      <c r="AQ495" t="s">
        <v>74</v>
      </c>
      <c r="AR495" t="s">
        <v>4098</v>
      </c>
      <c r="AS495" t="s">
        <v>4099</v>
      </c>
      <c r="AT495" t="s">
        <v>8975</v>
      </c>
      <c r="AU495">
        <v>2015</v>
      </c>
      <c r="AV495">
        <v>44</v>
      </c>
      <c r="AW495" t="s">
        <v>9859</v>
      </c>
      <c r="AX495" t="s">
        <v>74</v>
      </c>
      <c r="AY495" t="s">
        <v>74</v>
      </c>
      <c r="AZ495" t="s">
        <v>74</v>
      </c>
      <c r="BA495" t="s">
        <v>74</v>
      </c>
      <c r="BB495">
        <v>1245</v>
      </c>
      <c r="BC495">
        <v>1256</v>
      </c>
      <c r="BD495" t="s">
        <v>74</v>
      </c>
      <c r="BE495" t="s">
        <v>9860</v>
      </c>
      <c r="BF495" t="str">
        <f>HYPERLINK("http://dx.doi.org/10.1007/s00382-014-2134-4","http://dx.doi.org/10.1007/s00382-014-2134-4")</f>
        <v>http://dx.doi.org/10.1007/s00382-014-2134-4</v>
      </c>
      <c r="BG495" t="s">
        <v>74</v>
      </c>
      <c r="BH495" t="s">
        <v>74</v>
      </c>
      <c r="BI495">
        <v>12</v>
      </c>
      <c r="BJ495" t="s">
        <v>406</v>
      </c>
      <c r="BK495" t="s">
        <v>100</v>
      </c>
      <c r="BL495" t="s">
        <v>406</v>
      </c>
      <c r="BM495" t="s">
        <v>9861</v>
      </c>
      <c r="BN495" t="s">
        <v>74</v>
      </c>
      <c r="BO495" t="s">
        <v>74</v>
      </c>
      <c r="BP495" t="s">
        <v>74</v>
      </c>
      <c r="BQ495" t="s">
        <v>74</v>
      </c>
      <c r="BR495" t="s">
        <v>104</v>
      </c>
      <c r="BS495" t="s">
        <v>9862</v>
      </c>
      <c r="BT495" t="str">
        <f>HYPERLINK("https%3A%2F%2Fwww.webofscience.com%2Fwos%2Fwoscc%2Ffull-record%2FWOS:000350364500005","View Full Record in Web of Science")</f>
        <v>View Full Record in Web of Science</v>
      </c>
    </row>
    <row r="496" spans="1:72" x14ac:dyDescent="0.15">
      <c r="A496" t="s">
        <v>72</v>
      </c>
      <c r="B496" t="s">
        <v>9863</v>
      </c>
      <c r="C496" t="s">
        <v>74</v>
      </c>
      <c r="D496" t="s">
        <v>74</v>
      </c>
      <c r="E496" t="s">
        <v>74</v>
      </c>
      <c r="F496" t="s">
        <v>9864</v>
      </c>
      <c r="G496" t="s">
        <v>74</v>
      </c>
      <c r="H496" t="s">
        <v>74</v>
      </c>
      <c r="I496" t="s">
        <v>9865</v>
      </c>
      <c r="J496" t="s">
        <v>3008</v>
      </c>
      <c r="K496" t="s">
        <v>74</v>
      </c>
      <c r="L496" t="s">
        <v>74</v>
      </c>
      <c r="M496" t="s">
        <v>78</v>
      </c>
      <c r="N496" t="s">
        <v>79</v>
      </c>
      <c r="O496" t="s">
        <v>74</v>
      </c>
      <c r="P496" t="s">
        <v>74</v>
      </c>
      <c r="Q496" t="s">
        <v>74</v>
      </c>
      <c r="R496" t="s">
        <v>74</v>
      </c>
      <c r="S496" t="s">
        <v>74</v>
      </c>
      <c r="T496" t="s">
        <v>9866</v>
      </c>
      <c r="U496" t="s">
        <v>9867</v>
      </c>
      <c r="V496" t="s">
        <v>9868</v>
      </c>
      <c r="W496" t="s">
        <v>9869</v>
      </c>
      <c r="X496" t="s">
        <v>9870</v>
      </c>
      <c r="Y496" t="s">
        <v>9871</v>
      </c>
      <c r="Z496" t="s">
        <v>9872</v>
      </c>
      <c r="AA496" t="s">
        <v>74</v>
      </c>
      <c r="AB496" t="s">
        <v>74</v>
      </c>
      <c r="AC496" t="s">
        <v>9873</v>
      </c>
      <c r="AD496" t="s">
        <v>9874</v>
      </c>
      <c r="AE496" t="s">
        <v>9875</v>
      </c>
      <c r="AF496" t="s">
        <v>74</v>
      </c>
      <c r="AG496">
        <v>70</v>
      </c>
      <c r="AH496">
        <v>2</v>
      </c>
      <c r="AI496">
        <v>3</v>
      </c>
      <c r="AJ496">
        <v>0</v>
      </c>
      <c r="AK496">
        <v>28</v>
      </c>
      <c r="AL496" t="s">
        <v>3021</v>
      </c>
      <c r="AM496" t="s">
        <v>3022</v>
      </c>
      <c r="AN496" t="s">
        <v>9876</v>
      </c>
      <c r="AO496" t="s">
        <v>3024</v>
      </c>
      <c r="AP496" t="s">
        <v>3025</v>
      </c>
      <c r="AQ496" t="s">
        <v>74</v>
      </c>
      <c r="AR496" t="s">
        <v>3008</v>
      </c>
      <c r="AS496" t="s">
        <v>3026</v>
      </c>
      <c r="AT496" t="s">
        <v>8975</v>
      </c>
      <c r="AU496">
        <v>2015</v>
      </c>
      <c r="AV496">
        <v>19</v>
      </c>
      <c r="AW496">
        <v>2</v>
      </c>
      <c r="AX496" t="s">
        <v>74</v>
      </c>
      <c r="AY496" t="s">
        <v>74</v>
      </c>
      <c r="AZ496" t="s">
        <v>74</v>
      </c>
      <c r="BA496" t="s">
        <v>74</v>
      </c>
      <c r="BB496">
        <v>297</v>
      </c>
      <c r="BC496">
        <v>305</v>
      </c>
      <c r="BD496" t="s">
        <v>74</v>
      </c>
      <c r="BE496" t="s">
        <v>9877</v>
      </c>
      <c r="BF496" t="str">
        <f>HYPERLINK("http://dx.doi.org/10.1007/s00792-014-0714-1","http://dx.doi.org/10.1007/s00792-014-0714-1")</f>
        <v>http://dx.doi.org/10.1007/s00792-014-0714-1</v>
      </c>
      <c r="BG496" t="s">
        <v>74</v>
      </c>
      <c r="BH496" t="s">
        <v>74</v>
      </c>
      <c r="BI496">
        <v>9</v>
      </c>
      <c r="BJ496" t="s">
        <v>3028</v>
      </c>
      <c r="BK496" t="s">
        <v>100</v>
      </c>
      <c r="BL496" t="s">
        <v>3028</v>
      </c>
      <c r="BM496" t="s">
        <v>9878</v>
      </c>
      <c r="BN496">
        <v>25477208</v>
      </c>
      <c r="BO496" t="s">
        <v>408</v>
      </c>
      <c r="BP496" t="s">
        <v>74</v>
      </c>
      <c r="BQ496" t="s">
        <v>74</v>
      </c>
      <c r="BR496" t="s">
        <v>104</v>
      </c>
      <c r="BS496" t="s">
        <v>9879</v>
      </c>
      <c r="BT496" t="str">
        <f>HYPERLINK("https%3A%2F%2Fwww.webofscience.com%2Fwos%2Fwoscc%2Ffull-record%2FWOS:000350306200007","View Full Record in Web of Science")</f>
        <v>View Full Record in Web of Science</v>
      </c>
    </row>
    <row r="497" spans="1:72" x14ac:dyDescent="0.15">
      <c r="A497" t="s">
        <v>72</v>
      </c>
      <c r="B497" t="s">
        <v>9880</v>
      </c>
      <c r="C497" t="s">
        <v>74</v>
      </c>
      <c r="D497" t="s">
        <v>74</v>
      </c>
      <c r="E497" t="s">
        <v>74</v>
      </c>
      <c r="F497" t="s">
        <v>9881</v>
      </c>
      <c r="G497" t="s">
        <v>74</v>
      </c>
      <c r="H497" t="s">
        <v>74</v>
      </c>
      <c r="I497" t="s">
        <v>9882</v>
      </c>
      <c r="J497" t="s">
        <v>9883</v>
      </c>
      <c r="K497" t="s">
        <v>74</v>
      </c>
      <c r="L497" t="s">
        <v>74</v>
      </c>
      <c r="M497" t="s">
        <v>78</v>
      </c>
      <c r="N497" t="s">
        <v>79</v>
      </c>
      <c r="O497" t="s">
        <v>74</v>
      </c>
      <c r="P497" t="s">
        <v>74</v>
      </c>
      <c r="Q497" t="s">
        <v>74</v>
      </c>
      <c r="R497" t="s">
        <v>74</v>
      </c>
      <c r="S497" t="s">
        <v>74</v>
      </c>
      <c r="T497" t="s">
        <v>9884</v>
      </c>
      <c r="U497" t="s">
        <v>9885</v>
      </c>
      <c r="V497" t="s">
        <v>9886</v>
      </c>
      <c r="W497" t="s">
        <v>9887</v>
      </c>
      <c r="X497" t="s">
        <v>9888</v>
      </c>
      <c r="Y497" t="s">
        <v>9889</v>
      </c>
      <c r="Z497" t="s">
        <v>9890</v>
      </c>
      <c r="AA497" t="s">
        <v>74</v>
      </c>
      <c r="AB497" t="s">
        <v>9891</v>
      </c>
      <c r="AC497" t="s">
        <v>9892</v>
      </c>
      <c r="AD497" t="s">
        <v>74</v>
      </c>
      <c r="AE497" t="s">
        <v>9893</v>
      </c>
      <c r="AF497" t="s">
        <v>74</v>
      </c>
      <c r="AG497">
        <v>30</v>
      </c>
      <c r="AH497">
        <v>7</v>
      </c>
      <c r="AI497">
        <v>7</v>
      </c>
      <c r="AJ497">
        <v>0</v>
      </c>
      <c r="AK497">
        <v>15</v>
      </c>
      <c r="AL497" t="s">
        <v>1508</v>
      </c>
      <c r="AM497" t="s">
        <v>92</v>
      </c>
      <c r="AN497" t="s">
        <v>93</v>
      </c>
      <c r="AO497" t="s">
        <v>9894</v>
      </c>
      <c r="AP497" t="s">
        <v>9895</v>
      </c>
      <c r="AQ497" t="s">
        <v>74</v>
      </c>
      <c r="AR497" t="s">
        <v>9896</v>
      </c>
      <c r="AS497" t="s">
        <v>9897</v>
      </c>
      <c r="AT497" t="s">
        <v>8975</v>
      </c>
      <c r="AU497">
        <v>2015</v>
      </c>
      <c r="AV497">
        <v>55</v>
      </c>
      <c r="AW497">
        <v>3</v>
      </c>
      <c r="AX497" t="s">
        <v>74</v>
      </c>
      <c r="AY497" t="s">
        <v>74</v>
      </c>
      <c r="AZ497" t="s">
        <v>454</v>
      </c>
      <c r="BA497" t="s">
        <v>74</v>
      </c>
      <c r="BB497">
        <v>354</v>
      </c>
      <c r="BC497">
        <v>362</v>
      </c>
      <c r="BD497" t="s">
        <v>74</v>
      </c>
      <c r="BE497" t="s">
        <v>9898</v>
      </c>
      <c r="BF497" t="str">
        <f>HYPERLINK("http://dx.doi.org/10.1002/jobm.201300079","http://dx.doi.org/10.1002/jobm.201300079")</f>
        <v>http://dx.doi.org/10.1002/jobm.201300079</v>
      </c>
      <c r="BG497" t="s">
        <v>74</v>
      </c>
      <c r="BH497" t="s">
        <v>74</v>
      </c>
      <c r="BI497">
        <v>9</v>
      </c>
      <c r="BJ497" t="s">
        <v>483</v>
      </c>
      <c r="BK497" t="s">
        <v>100</v>
      </c>
      <c r="BL497" t="s">
        <v>483</v>
      </c>
      <c r="BM497" t="s">
        <v>9899</v>
      </c>
      <c r="BN497">
        <v>23720227</v>
      </c>
      <c r="BO497" t="s">
        <v>74</v>
      </c>
      <c r="BP497" t="s">
        <v>74</v>
      </c>
      <c r="BQ497" t="s">
        <v>74</v>
      </c>
      <c r="BR497" t="s">
        <v>104</v>
      </c>
      <c r="BS497" t="s">
        <v>9900</v>
      </c>
      <c r="BT497" t="str">
        <f>HYPERLINK("https%3A%2F%2Fwww.webofscience.com%2Fwos%2Fwoscc%2Ffull-record%2FWOS:000350644000011","View Full Record in Web of Science")</f>
        <v>View Full Record in Web of Science</v>
      </c>
    </row>
    <row r="498" spans="1:72" x14ac:dyDescent="0.15">
      <c r="A498" t="s">
        <v>72</v>
      </c>
      <c r="B498" t="s">
        <v>9901</v>
      </c>
      <c r="C498" t="s">
        <v>74</v>
      </c>
      <c r="D498" t="s">
        <v>74</v>
      </c>
      <c r="E498" t="s">
        <v>74</v>
      </c>
      <c r="F498" t="s">
        <v>9902</v>
      </c>
      <c r="G498" t="s">
        <v>74</v>
      </c>
      <c r="H498" t="s">
        <v>74</v>
      </c>
      <c r="I498" t="s">
        <v>9903</v>
      </c>
      <c r="J498" t="s">
        <v>2180</v>
      </c>
      <c r="K498" t="s">
        <v>74</v>
      </c>
      <c r="L498" t="s">
        <v>74</v>
      </c>
      <c r="M498" t="s">
        <v>78</v>
      </c>
      <c r="N498" t="s">
        <v>79</v>
      </c>
      <c r="O498" t="s">
        <v>74</v>
      </c>
      <c r="P498" t="s">
        <v>74</v>
      </c>
      <c r="Q498" t="s">
        <v>74</v>
      </c>
      <c r="R498" t="s">
        <v>74</v>
      </c>
      <c r="S498" t="s">
        <v>74</v>
      </c>
      <c r="T498" t="s">
        <v>74</v>
      </c>
      <c r="U498" t="s">
        <v>9904</v>
      </c>
      <c r="V498" t="s">
        <v>9905</v>
      </c>
      <c r="W498" t="s">
        <v>9906</v>
      </c>
      <c r="X498" t="s">
        <v>9907</v>
      </c>
      <c r="Y498" t="s">
        <v>9908</v>
      </c>
      <c r="Z498" t="s">
        <v>9909</v>
      </c>
      <c r="AA498" t="s">
        <v>9910</v>
      </c>
      <c r="AB498" t="s">
        <v>9911</v>
      </c>
      <c r="AC498" t="s">
        <v>9912</v>
      </c>
      <c r="AD498" t="s">
        <v>9913</v>
      </c>
      <c r="AE498" t="s">
        <v>9914</v>
      </c>
      <c r="AF498" t="s">
        <v>74</v>
      </c>
      <c r="AG498">
        <v>53</v>
      </c>
      <c r="AH498">
        <v>68</v>
      </c>
      <c r="AI498">
        <v>74</v>
      </c>
      <c r="AJ498">
        <v>3</v>
      </c>
      <c r="AK498">
        <v>66</v>
      </c>
      <c r="AL498" t="s">
        <v>2192</v>
      </c>
      <c r="AM498" t="s">
        <v>2193</v>
      </c>
      <c r="AN498" t="s">
        <v>2194</v>
      </c>
      <c r="AO498" t="s">
        <v>2195</v>
      </c>
      <c r="AP498" t="s">
        <v>2196</v>
      </c>
      <c r="AQ498" t="s">
        <v>74</v>
      </c>
      <c r="AR498" t="s">
        <v>2197</v>
      </c>
      <c r="AS498" t="s">
        <v>2198</v>
      </c>
      <c r="AT498" t="s">
        <v>8975</v>
      </c>
      <c r="AU498">
        <v>2015</v>
      </c>
      <c r="AV498">
        <v>28</v>
      </c>
      <c r="AW498">
        <v>6</v>
      </c>
      <c r="AX498" t="s">
        <v>74</v>
      </c>
      <c r="AY498" t="s">
        <v>74</v>
      </c>
      <c r="AZ498" t="s">
        <v>74</v>
      </c>
      <c r="BA498" t="s">
        <v>74</v>
      </c>
      <c r="BB498">
        <v>2256</v>
      </c>
      <c r="BC498">
        <v>2273</v>
      </c>
      <c r="BD498" t="s">
        <v>74</v>
      </c>
      <c r="BE498" t="s">
        <v>9915</v>
      </c>
      <c r="BF498" t="str">
        <f>HYPERLINK("http://dx.doi.org/10.1175/JCLI-D-14-00450.1","http://dx.doi.org/10.1175/JCLI-D-14-00450.1")</f>
        <v>http://dx.doi.org/10.1175/JCLI-D-14-00450.1</v>
      </c>
      <c r="BG498" t="s">
        <v>74</v>
      </c>
      <c r="BH498" t="s">
        <v>74</v>
      </c>
      <c r="BI498">
        <v>18</v>
      </c>
      <c r="BJ498" t="s">
        <v>406</v>
      </c>
      <c r="BK498" t="s">
        <v>100</v>
      </c>
      <c r="BL498" t="s">
        <v>406</v>
      </c>
      <c r="BM498" t="s">
        <v>9916</v>
      </c>
      <c r="BN498" t="s">
        <v>74</v>
      </c>
      <c r="BO498" t="s">
        <v>74</v>
      </c>
      <c r="BP498" t="s">
        <v>74</v>
      </c>
      <c r="BQ498" t="s">
        <v>74</v>
      </c>
      <c r="BR498" t="s">
        <v>104</v>
      </c>
      <c r="BS498" t="s">
        <v>9917</v>
      </c>
      <c r="BT498" t="str">
        <f>HYPERLINK("https%3A%2F%2Fwww.webofscience.com%2Fwos%2Fwoscc%2Ffull-record%2FWOS:000350983700010","View Full Record in Web of Science")</f>
        <v>View Full Record in Web of Science</v>
      </c>
    </row>
    <row r="499" spans="1:72" x14ac:dyDescent="0.15">
      <c r="A499" t="s">
        <v>72</v>
      </c>
      <c r="B499" t="s">
        <v>9918</v>
      </c>
      <c r="C499" t="s">
        <v>74</v>
      </c>
      <c r="D499" t="s">
        <v>74</v>
      </c>
      <c r="E499" t="s">
        <v>74</v>
      </c>
      <c r="F499" t="s">
        <v>9919</v>
      </c>
      <c r="G499" t="s">
        <v>74</v>
      </c>
      <c r="H499" t="s">
        <v>74</v>
      </c>
      <c r="I499" t="s">
        <v>9920</v>
      </c>
      <c r="J499" t="s">
        <v>2180</v>
      </c>
      <c r="K499" t="s">
        <v>74</v>
      </c>
      <c r="L499" t="s">
        <v>74</v>
      </c>
      <c r="M499" t="s">
        <v>78</v>
      </c>
      <c r="N499" t="s">
        <v>79</v>
      </c>
      <c r="O499" t="s">
        <v>74</v>
      </c>
      <c r="P499" t="s">
        <v>74</v>
      </c>
      <c r="Q499" t="s">
        <v>74</v>
      </c>
      <c r="R499" t="s">
        <v>74</v>
      </c>
      <c r="S499" t="s">
        <v>74</v>
      </c>
      <c r="T499" t="s">
        <v>74</v>
      </c>
      <c r="U499" t="s">
        <v>9921</v>
      </c>
      <c r="V499" t="s">
        <v>9922</v>
      </c>
      <c r="W499" t="s">
        <v>9923</v>
      </c>
      <c r="X499" t="s">
        <v>9924</v>
      </c>
      <c r="Y499" t="s">
        <v>9925</v>
      </c>
      <c r="Z499" t="s">
        <v>9926</v>
      </c>
      <c r="AA499" t="s">
        <v>9927</v>
      </c>
      <c r="AB499" t="s">
        <v>9928</v>
      </c>
      <c r="AC499" t="s">
        <v>9929</v>
      </c>
      <c r="AD499" t="s">
        <v>9930</v>
      </c>
      <c r="AE499" t="s">
        <v>9931</v>
      </c>
      <c r="AF499" t="s">
        <v>74</v>
      </c>
      <c r="AG499">
        <v>67</v>
      </c>
      <c r="AH499">
        <v>22</v>
      </c>
      <c r="AI499">
        <v>25</v>
      </c>
      <c r="AJ499">
        <v>0</v>
      </c>
      <c r="AK499">
        <v>12</v>
      </c>
      <c r="AL499" t="s">
        <v>2192</v>
      </c>
      <c r="AM499" t="s">
        <v>2193</v>
      </c>
      <c r="AN499" t="s">
        <v>6403</v>
      </c>
      <c r="AO499" t="s">
        <v>2195</v>
      </c>
      <c r="AP499" t="s">
        <v>2196</v>
      </c>
      <c r="AQ499" t="s">
        <v>74</v>
      </c>
      <c r="AR499" t="s">
        <v>2197</v>
      </c>
      <c r="AS499" t="s">
        <v>2198</v>
      </c>
      <c r="AT499" t="s">
        <v>8975</v>
      </c>
      <c r="AU499">
        <v>2015</v>
      </c>
      <c r="AV499">
        <v>28</v>
      </c>
      <c r="AW499">
        <v>6</v>
      </c>
      <c r="AX499" t="s">
        <v>74</v>
      </c>
      <c r="AY499" t="s">
        <v>74</v>
      </c>
      <c r="AZ499" t="s">
        <v>74</v>
      </c>
      <c r="BA499" t="s">
        <v>74</v>
      </c>
      <c r="BB499">
        <v>2365</v>
      </c>
      <c r="BC499">
        <v>2384</v>
      </c>
      <c r="BD499" t="s">
        <v>74</v>
      </c>
      <c r="BE499" t="s">
        <v>9932</v>
      </c>
      <c r="BF499" t="str">
        <f>HYPERLINK("http://dx.doi.org/10.1175/JCLI-D-14-00432.1","http://dx.doi.org/10.1175/JCLI-D-14-00432.1")</f>
        <v>http://dx.doi.org/10.1175/JCLI-D-14-00432.1</v>
      </c>
      <c r="BG499" t="s">
        <v>74</v>
      </c>
      <c r="BH499" t="s">
        <v>74</v>
      </c>
      <c r="BI499">
        <v>20</v>
      </c>
      <c r="BJ499" t="s">
        <v>406</v>
      </c>
      <c r="BK499" t="s">
        <v>100</v>
      </c>
      <c r="BL499" t="s">
        <v>406</v>
      </c>
      <c r="BM499" t="s">
        <v>9916</v>
      </c>
      <c r="BN499" t="s">
        <v>74</v>
      </c>
      <c r="BO499" t="s">
        <v>156</v>
      </c>
      <c r="BP499" t="s">
        <v>74</v>
      </c>
      <c r="BQ499" t="s">
        <v>74</v>
      </c>
      <c r="BR499" t="s">
        <v>104</v>
      </c>
      <c r="BS499" t="s">
        <v>9933</v>
      </c>
      <c r="BT499" t="str">
        <f>HYPERLINK("https%3A%2F%2Fwww.webofscience.com%2Fwos%2Fwoscc%2Ffull-record%2FWOS:000350983700016","View Full Record in Web of Science")</f>
        <v>View Full Record in Web of Science</v>
      </c>
    </row>
    <row r="500" spans="1:72" x14ac:dyDescent="0.15">
      <c r="A500" t="s">
        <v>72</v>
      </c>
      <c r="B500" t="s">
        <v>9934</v>
      </c>
      <c r="C500" t="s">
        <v>74</v>
      </c>
      <c r="D500" t="s">
        <v>74</v>
      </c>
      <c r="E500" t="s">
        <v>74</v>
      </c>
      <c r="F500" t="s">
        <v>9935</v>
      </c>
      <c r="G500" t="s">
        <v>74</v>
      </c>
      <c r="H500" t="s">
        <v>74</v>
      </c>
      <c r="I500" t="s">
        <v>9936</v>
      </c>
      <c r="J500" t="s">
        <v>9937</v>
      </c>
      <c r="K500" t="s">
        <v>74</v>
      </c>
      <c r="L500" t="s">
        <v>74</v>
      </c>
      <c r="M500" t="s">
        <v>78</v>
      </c>
      <c r="N500" t="s">
        <v>79</v>
      </c>
      <c r="O500" t="s">
        <v>74</v>
      </c>
      <c r="P500" t="s">
        <v>74</v>
      </c>
      <c r="Q500" t="s">
        <v>74</v>
      </c>
      <c r="R500" t="s">
        <v>74</v>
      </c>
      <c r="S500" t="s">
        <v>74</v>
      </c>
      <c r="T500" t="s">
        <v>9938</v>
      </c>
      <c r="U500" t="s">
        <v>9939</v>
      </c>
      <c r="V500" t="s">
        <v>9940</v>
      </c>
      <c r="W500" t="s">
        <v>9941</v>
      </c>
      <c r="X500" t="s">
        <v>9942</v>
      </c>
      <c r="Y500" t="s">
        <v>9943</v>
      </c>
      <c r="Z500" t="s">
        <v>876</v>
      </c>
      <c r="AA500" t="s">
        <v>74</v>
      </c>
      <c r="AB500" t="s">
        <v>74</v>
      </c>
      <c r="AC500" t="s">
        <v>9944</v>
      </c>
      <c r="AD500" t="s">
        <v>9945</v>
      </c>
      <c r="AE500" t="s">
        <v>9946</v>
      </c>
      <c r="AF500" t="s">
        <v>74</v>
      </c>
      <c r="AG500">
        <v>32</v>
      </c>
      <c r="AH500">
        <v>5</v>
      </c>
      <c r="AI500">
        <v>5</v>
      </c>
      <c r="AJ500">
        <v>0</v>
      </c>
      <c r="AK500">
        <v>21</v>
      </c>
      <c r="AL500" t="s">
        <v>120</v>
      </c>
      <c r="AM500" t="s">
        <v>121</v>
      </c>
      <c r="AN500" t="s">
        <v>1304</v>
      </c>
      <c r="AO500" t="s">
        <v>9947</v>
      </c>
      <c r="AP500" t="s">
        <v>9948</v>
      </c>
      <c r="AQ500" t="s">
        <v>74</v>
      </c>
      <c r="AR500" t="s">
        <v>9949</v>
      </c>
      <c r="AS500" t="s">
        <v>9950</v>
      </c>
      <c r="AT500" t="s">
        <v>8975</v>
      </c>
      <c r="AU500">
        <v>2015</v>
      </c>
      <c r="AV500">
        <v>76</v>
      </c>
      <c r="AW500">
        <v>1</v>
      </c>
      <c r="AX500" t="s">
        <v>74</v>
      </c>
      <c r="AY500" t="s">
        <v>74</v>
      </c>
      <c r="AZ500" t="s">
        <v>74</v>
      </c>
      <c r="BA500" t="s">
        <v>74</v>
      </c>
      <c r="BB500">
        <v>283</v>
      </c>
      <c r="BC500">
        <v>301</v>
      </c>
      <c r="BD500" t="s">
        <v>74</v>
      </c>
      <c r="BE500" t="s">
        <v>9951</v>
      </c>
      <c r="BF500" t="str">
        <f>HYPERLINK("http://dx.doi.org/10.1007/s11069-014-1489-5","http://dx.doi.org/10.1007/s11069-014-1489-5")</f>
        <v>http://dx.doi.org/10.1007/s11069-014-1489-5</v>
      </c>
      <c r="BG500" t="s">
        <v>74</v>
      </c>
      <c r="BH500" t="s">
        <v>74</v>
      </c>
      <c r="BI500">
        <v>19</v>
      </c>
      <c r="BJ500" t="s">
        <v>9952</v>
      </c>
      <c r="BK500" t="s">
        <v>100</v>
      </c>
      <c r="BL500" t="s">
        <v>9953</v>
      </c>
      <c r="BM500" t="s">
        <v>9954</v>
      </c>
      <c r="BN500" t="s">
        <v>74</v>
      </c>
      <c r="BO500" t="s">
        <v>74</v>
      </c>
      <c r="BP500" t="s">
        <v>74</v>
      </c>
      <c r="BQ500" t="s">
        <v>74</v>
      </c>
      <c r="BR500" t="s">
        <v>104</v>
      </c>
      <c r="BS500" t="s">
        <v>9955</v>
      </c>
      <c r="BT500" t="str">
        <f>HYPERLINK("https%3A%2F%2Fwww.webofscience.com%2Fwos%2Fwoscc%2Ffull-record%2FWOS:000350326200016","View Full Record in Web of Science")</f>
        <v>View Full Record in Web of Science</v>
      </c>
    </row>
    <row r="501" spans="1:72" x14ac:dyDescent="0.15">
      <c r="A501" t="s">
        <v>72</v>
      </c>
      <c r="B501" t="s">
        <v>9956</v>
      </c>
      <c r="C501" t="s">
        <v>74</v>
      </c>
      <c r="D501" t="s">
        <v>74</v>
      </c>
      <c r="E501" t="s">
        <v>74</v>
      </c>
      <c r="F501" t="s">
        <v>9957</v>
      </c>
      <c r="G501" t="s">
        <v>74</v>
      </c>
      <c r="H501" t="s">
        <v>74</v>
      </c>
      <c r="I501" t="s">
        <v>9958</v>
      </c>
      <c r="J501" t="s">
        <v>9959</v>
      </c>
      <c r="K501" t="s">
        <v>74</v>
      </c>
      <c r="L501" t="s">
        <v>74</v>
      </c>
      <c r="M501" t="s">
        <v>78</v>
      </c>
      <c r="N501" t="s">
        <v>79</v>
      </c>
      <c r="O501" t="s">
        <v>74</v>
      </c>
      <c r="P501" t="s">
        <v>74</v>
      </c>
      <c r="Q501" t="s">
        <v>74</v>
      </c>
      <c r="R501" t="s">
        <v>74</v>
      </c>
      <c r="S501" t="s">
        <v>74</v>
      </c>
      <c r="T501" t="s">
        <v>9960</v>
      </c>
      <c r="U501" t="s">
        <v>9961</v>
      </c>
      <c r="V501" t="s">
        <v>9962</v>
      </c>
      <c r="W501" t="s">
        <v>9963</v>
      </c>
      <c r="X501" t="s">
        <v>5132</v>
      </c>
      <c r="Y501" t="s">
        <v>9964</v>
      </c>
      <c r="Z501" t="s">
        <v>9965</v>
      </c>
      <c r="AA501" t="s">
        <v>9966</v>
      </c>
      <c r="AB501" t="s">
        <v>9967</v>
      </c>
      <c r="AC501" t="s">
        <v>9968</v>
      </c>
      <c r="AD501" t="s">
        <v>9969</v>
      </c>
      <c r="AE501" t="s">
        <v>9970</v>
      </c>
      <c r="AF501" t="s">
        <v>74</v>
      </c>
      <c r="AG501">
        <v>70</v>
      </c>
      <c r="AH501">
        <v>5</v>
      </c>
      <c r="AI501">
        <v>7</v>
      </c>
      <c r="AJ501">
        <v>0</v>
      </c>
      <c r="AK501">
        <v>28</v>
      </c>
      <c r="AL501" t="s">
        <v>1158</v>
      </c>
      <c r="AM501" t="s">
        <v>787</v>
      </c>
      <c r="AN501" t="s">
        <v>1159</v>
      </c>
      <c r="AO501" t="s">
        <v>9971</v>
      </c>
      <c r="AP501" t="s">
        <v>9972</v>
      </c>
      <c r="AQ501" t="s">
        <v>74</v>
      </c>
      <c r="AR501" t="s">
        <v>9973</v>
      </c>
      <c r="AS501" t="s">
        <v>9974</v>
      </c>
      <c r="AT501" t="s">
        <v>8975</v>
      </c>
      <c r="AU501">
        <v>2015</v>
      </c>
      <c r="AV501">
        <v>106</v>
      </c>
      <c r="AW501" t="s">
        <v>74</v>
      </c>
      <c r="AX501" t="s">
        <v>74</v>
      </c>
      <c r="AY501" t="s">
        <v>74</v>
      </c>
      <c r="AZ501" t="s">
        <v>74</v>
      </c>
      <c r="BA501" t="s">
        <v>74</v>
      </c>
      <c r="BB501">
        <v>10</v>
      </c>
      <c r="BC501">
        <v>28</v>
      </c>
      <c r="BD501" t="s">
        <v>74</v>
      </c>
      <c r="BE501" t="s">
        <v>9975</v>
      </c>
      <c r="BF501" t="str">
        <f>HYPERLINK("http://dx.doi.org/10.1016/j.ocecoaman.2015.01.008","http://dx.doi.org/10.1016/j.ocecoaman.2015.01.008")</f>
        <v>http://dx.doi.org/10.1016/j.ocecoaman.2015.01.008</v>
      </c>
      <c r="BG501" t="s">
        <v>74</v>
      </c>
      <c r="BH501" t="s">
        <v>74</v>
      </c>
      <c r="BI501">
        <v>19</v>
      </c>
      <c r="BJ501" t="s">
        <v>9976</v>
      </c>
      <c r="BK501" t="s">
        <v>1019</v>
      </c>
      <c r="BL501" t="s">
        <v>9976</v>
      </c>
      <c r="BM501" t="s">
        <v>9977</v>
      </c>
      <c r="BN501" t="s">
        <v>74</v>
      </c>
      <c r="BO501" t="s">
        <v>74</v>
      </c>
      <c r="BP501" t="s">
        <v>74</v>
      </c>
      <c r="BQ501" t="s">
        <v>74</v>
      </c>
      <c r="BR501" t="s">
        <v>104</v>
      </c>
      <c r="BS501" t="s">
        <v>9978</v>
      </c>
      <c r="BT501" t="str">
        <f>HYPERLINK("https%3A%2F%2Fwww.webofscience.com%2Fwos%2Fwoscc%2Ffull-record%2FWOS:000350533800002","View Full Record in Web of Science")</f>
        <v>View Full Record in Web of Science</v>
      </c>
    </row>
    <row r="502" spans="1:72" x14ac:dyDescent="0.15">
      <c r="A502" t="s">
        <v>72</v>
      </c>
      <c r="B502" t="s">
        <v>9979</v>
      </c>
      <c r="C502" t="s">
        <v>74</v>
      </c>
      <c r="D502" t="s">
        <v>74</v>
      </c>
      <c r="E502" t="s">
        <v>74</v>
      </c>
      <c r="F502" t="s">
        <v>9980</v>
      </c>
      <c r="G502" t="s">
        <v>74</v>
      </c>
      <c r="H502" t="s">
        <v>74</v>
      </c>
      <c r="I502" t="s">
        <v>9981</v>
      </c>
      <c r="J502" t="s">
        <v>9982</v>
      </c>
      <c r="K502" t="s">
        <v>74</v>
      </c>
      <c r="L502" t="s">
        <v>74</v>
      </c>
      <c r="M502" t="s">
        <v>78</v>
      </c>
      <c r="N502" t="s">
        <v>79</v>
      </c>
      <c r="O502" t="s">
        <v>74</v>
      </c>
      <c r="P502" t="s">
        <v>74</v>
      </c>
      <c r="Q502" t="s">
        <v>74</v>
      </c>
      <c r="R502" t="s">
        <v>74</v>
      </c>
      <c r="S502" t="s">
        <v>74</v>
      </c>
      <c r="T502" t="s">
        <v>9983</v>
      </c>
      <c r="U502" t="s">
        <v>9984</v>
      </c>
      <c r="V502" t="s">
        <v>9985</v>
      </c>
      <c r="W502" t="s">
        <v>9986</v>
      </c>
      <c r="X502" t="s">
        <v>9987</v>
      </c>
      <c r="Y502" t="s">
        <v>9988</v>
      </c>
      <c r="Z502" t="s">
        <v>9989</v>
      </c>
      <c r="AA502" t="s">
        <v>74</v>
      </c>
      <c r="AB502" t="s">
        <v>9990</v>
      </c>
      <c r="AC502" t="s">
        <v>9991</v>
      </c>
      <c r="AD502" t="s">
        <v>9992</v>
      </c>
      <c r="AE502" t="s">
        <v>9993</v>
      </c>
      <c r="AF502" t="s">
        <v>74</v>
      </c>
      <c r="AG502">
        <v>24</v>
      </c>
      <c r="AH502">
        <v>3</v>
      </c>
      <c r="AI502">
        <v>3</v>
      </c>
      <c r="AJ502">
        <v>0</v>
      </c>
      <c r="AK502">
        <v>3</v>
      </c>
      <c r="AL502" t="s">
        <v>815</v>
      </c>
      <c r="AM502" t="s">
        <v>816</v>
      </c>
      <c r="AN502" t="s">
        <v>817</v>
      </c>
      <c r="AO502" t="s">
        <v>9994</v>
      </c>
      <c r="AP502" t="s">
        <v>9995</v>
      </c>
      <c r="AQ502" t="s">
        <v>74</v>
      </c>
      <c r="AR502" t="s">
        <v>9996</v>
      </c>
      <c r="AS502" t="s">
        <v>9997</v>
      </c>
      <c r="AT502" t="s">
        <v>8975</v>
      </c>
      <c r="AU502">
        <v>2015</v>
      </c>
      <c r="AV502">
        <v>9</v>
      </c>
      <c r="AW502">
        <v>1</v>
      </c>
      <c r="AX502" t="s">
        <v>74</v>
      </c>
      <c r="AY502" t="s">
        <v>74</v>
      </c>
      <c r="AZ502" t="s">
        <v>74</v>
      </c>
      <c r="BA502" t="s">
        <v>74</v>
      </c>
      <c r="BB502">
        <v>5</v>
      </c>
      <c r="BC502">
        <v>16</v>
      </c>
      <c r="BD502" t="s">
        <v>74</v>
      </c>
      <c r="BE502" t="s">
        <v>9998</v>
      </c>
      <c r="BF502" t="str">
        <f>HYPERLINK("http://dx.doi.org/10.1016/j.polar.2014.08.002","http://dx.doi.org/10.1016/j.polar.2014.08.002")</f>
        <v>http://dx.doi.org/10.1016/j.polar.2014.08.002</v>
      </c>
      <c r="BG502" t="s">
        <v>74</v>
      </c>
      <c r="BH502" t="s">
        <v>74</v>
      </c>
      <c r="BI502">
        <v>12</v>
      </c>
      <c r="BJ502" t="s">
        <v>9999</v>
      </c>
      <c r="BK502" t="s">
        <v>100</v>
      </c>
      <c r="BL502" t="s">
        <v>7144</v>
      </c>
      <c r="BM502" t="s">
        <v>10000</v>
      </c>
      <c r="BN502" t="s">
        <v>74</v>
      </c>
      <c r="BO502" t="s">
        <v>2481</v>
      </c>
      <c r="BP502" t="s">
        <v>74</v>
      </c>
      <c r="BQ502" t="s">
        <v>74</v>
      </c>
      <c r="BR502" t="s">
        <v>104</v>
      </c>
      <c r="BS502" t="s">
        <v>10001</v>
      </c>
      <c r="BT502" t="str">
        <f>HYPERLINK("https%3A%2F%2Fwww.webofscience.com%2Fwos%2Fwoscc%2Ffull-record%2FWOS:000350993700002","View Full Record in Web of Science")</f>
        <v>View Full Record in Web of Science</v>
      </c>
    </row>
    <row r="503" spans="1:72" x14ac:dyDescent="0.15">
      <c r="A503" t="s">
        <v>72</v>
      </c>
      <c r="B503" t="s">
        <v>10002</v>
      </c>
      <c r="C503" t="s">
        <v>74</v>
      </c>
      <c r="D503" t="s">
        <v>74</v>
      </c>
      <c r="E503" t="s">
        <v>74</v>
      </c>
      <c r="F503" t="s">
        <v>10003</v>
      </c>
      <c r="G503" t="s">
        <v>74</v>
      </c>
      <c r="H503" t="s">
        <v>74</v>
      </c>
      <c r="I503" t="s">
        <v>10004</v>
      </c>
      <c r="J503" t="s">
        <v>9982</v>
      </c>
      <c r="K503" t="s">
        <v>74</v>
      </c>
      <c r="L503" t="s">
        <v>74</v>
      </c>
      <c r="M503" t="s">
        <v>78</v>
      </c>
      <c r="N503" t="s">
        <v>79</v>
      </c>
      <c r="O503" t="s">
        <v>74</v>
      </c>
      <c r="P503" t="s">
        <v>74</v>
      </c>
      <c r="Q503" t="s">
        <v>74</v>
      </c>
      <c r="R503" t="s">
        <v>74</v>
      </c>
      <c r="S503" t="s">
        <v>74</v>
      </c>
      <c r="T503" t="s">
        <v>10005</v>
      </c>
      <c r="U503" t="s">
        <v>10006</v>
      </c>
      <c r="V503" t="s">
        <v>10007</v>
      </c>
      <c r="W503" t="s">
        <v>10008</v>
      </c>
      <c r="X503" t="s">
        <v>10009</v>
      </c>
      <c r="Y503" t="s">
        <v>9988</v>
      </c>
      <c r="Z503" t="s">
        <v>10010</v>
      </c>
      <c r="AA503" t="s">
        <v>10011</v>
      </c>
      <c r="AB503" t="s">
        <v>10012</v>
      </c>
      <c r="AC503" t="s">
        <v>10013</v>
      </c>
      <c r="AD503" t="s">
        <v>10014</v>
      </c>
      <c r="AE503" t="s">
        <v>10015</v>
      </c>
      <c r="AF503" t="s">
        <v>74</v>
      </c>
      <c r="AG503">
        <v>32</v>
      </c>
      <c r="AH503">
        <v>4</v>
      </c>
      <c r="AI503">
        <v>6</v>
      </c>
      <c r="AJ503">
        <v>0</v>
      </c>
      <c r="AK503">
        <v>8</v>
      </c>
      <c r="AL503" t="s">
        <v>1039</v>
      </c>
      <c r="AM503" t="s">
        <v>816</v>
      </c>
      <c r="AN503" t="s">
        <v>1040</v>
      </c>
      <c r="AO503" t="s">
        <v>9994</v>
      </c>
      <c r="AP503" t="s">
        <v>9995</v>
      </c>
      <c r="AQ503" t="s">
        <v>74</v>
      </c>
      <c r="AR503" t="s">
        <v>9996</v>
      </c>
      <c r="AS503" t="s">
        <v>9997</v>
      </c>
      <c r="AT503" t="s">
        <v>8975</v>
      </c>
      <c r="AU503">
        <v>2015</v>
      </c>
      <c r="AV503">
        <v>9</v>
      </c>
      <c r="AW503">
        <v>1</v>
      </c>
      <c r="AX503" t="s">
        <v>74</v>
      </c>
      <c r="AY503" t="s">
        <v>74</v>
      </c>
      <c r="AZ503" t="s">
        <v>74</v>
      </c>
      <c r="BA503" t="s">
        <v>74</v>
      </c>
      <c r="BB503">
        <v>35</v>
      </c>
      <c r="BC503">
        <v>50</v>
      </c>
      <c r="BD503" t="s">
        <v>74</v>
      </c>
      <c r="BE503" t="s">
        <v>10016</v>
      </c>
      <c r="BF503" t="str">
        <f>HYPERLINK("http://dx.doi.org/10.1016/j.polar.2014.07.005","http://dx.doi.org/10.1016/j.polar.2014.07.005")</f>
        <v>http://dx.doi.org/10.1016/j.polar.2014.07.005</v>
      </c>
      <c r="BG503" t="s">
        <v>74</v>
      </c>
      <c r="BH503" t="s">
        <v>74</v>
      </c>
      <c r="BI503">
        <v>16</v>
      </c>
      <c r="BJ503" t="s">
        <v>9999</v>
      </c>
      <c r="BK503" t="s">
        <v>100</v>
      </c>
      <c r="BL503" t="s">
        <v>7144</v>
      </c>
      <c r="BM503" t="s">
        <v>10000</v>
      </c>
      <c r="BN503" t="s">
        <v>74</v>
      </c>
      <c r="BO503" t="s">
        <v>2481</v>
      </c>
      <c r="BP503" t="s">
        <v>74</v>
      </c>
      <c r="BQ503" t="s">
        <v>74</v>
      </c>
      <c r="BR503" t="s">
        <v>104</v>
      </c>
      <c r="BS503" t="s">
        <v>10017</v>
      </c>
      <c r="BT503" t="str">
        <f>HYPERLINK("https%3A%2F%2Fwww.webofscience.com%2Fwos%2Fwoscc%2Ffull-record%2FWOS:000350993700005","View Full Record in Web of Science")</f>
        <v>View Full Record in Web of Science</v>
      </c>
    </row>
    <row r="504" spans="1:72" x14ac:dyDescent="0.15">
      <c r="A504" t="s">
        <v>72</v>
      </c>
      <c r="B504" t="s">
        <v>10018</v>
      </c>
      <c r="C504" t="s">
        <v>74</v>
      </c>
      <c r="D504" t="s">
        <v>74</v>
      </c>
      <c r="E504" t="s">
        <v>74</v>
      </c>
      <c r="F504" t="s">
        <v>10019</v>
      </c>
      <c r="G504" t="s">
        <v>74</v>
      </c>
      <c r="H504" t="s">
        <v>74</v>
      </c>
      <c r="I504" t="s">
        <v>10020</v>
      </c>
      <c r="J504" t="s">
        <v>9982</v>
      </c>
      <c r="K504" t="s">
        <v>74</v>
      </c>
      <c r="L504" t="s">
        <v>74</v>
      </c>
      <c r="M504" t="s">
        <v>78</v>
      </c>
      <c r="N504" t="s">
        <v>79</v>
      </c>
      <c r="O504" t="s">
        <v>74</v>
      </c>
      <c r="P504" t="s">
        <v>74</v>
      </c>
      <c r="Q504" t="s">
        <v>74</v>
      </c>
      <c r="R504" t="s">
        <v>74</v>
      </c>
      <c r="S504" t="s">
        <v>74</v>
      </c>
      <c r="T504" t="s">
        <v>10021</v>
      </c>
      <c r="U504" t="s">
        <v>10022</v>
      </c>
      <c r="V504" t="s">
        <v>10023</v>
      </c>
      <c r="W504" t="s">
        <v>10024</v>
      </c>
      <c r="X504" t="s">
        <v>10025</v>
      </c>
      <c r="Y504" t="s">
        <v>10026</v>
      </c>
      <c r="Z504" t="s">
        <v>10027</v>
      </c>
      <c r="AA504" t="s">
        <v>10028</v>
      </c>
      <c r="AB504" t="s">
        <v>74</v>
      </c>
      <c r="AC504" t="s">
        <v>74</v>
      </c>
      <c r="AD504" t="s">
        <v>74</v>
      </c>
      <c r="AE504" t="s">
        <v>74</v>
      </c>
      <c r="AF504" t="s">
        <v>74</v>
      </c>
      <c r="AG504">
        <v>53</v>
      </c>
      <c r="AH504">
        <v>15</v>
      </c>
      <c r="AI504">
        <v>18</v>
      </c>
      <c r="AJ504">
        <v>0</v>
      </c>
      <c r="AK504">
        <v>12</v>
      </c>
      <c r="AL504" t="s">
        <v>1039</v>
      </c>
      <c r="AM504" t="s">
        <v>816</v>
      </c>
      <c r="AN504" t="s">
        <v>1040</v>
      </c>
      <c r="AO504" t="s">
        <v>9994</v>
      </c>
      <c r="AP504" t="s">
        <v>9995</v>
      </c>
      <c r="AQ504" t="s">
        <v>74</v>
      </c>
      <c r="AR504" t="s">
        <v>9996</v>
      </c>
      <c r="AS504" t="s">
        <v>9997</v>
      </c>
      <c r="AT504" t="s">
        <v>8975</v>
      </c>
      <c r="AU504">
        <v>2015</v>
      </c>
      <c r="AV504">
        <v>9</v>
      </c>
      <c r="AW504">
        <v>1</v>
      </c>
      <c r="AX504" t="s">
        <v>74</v>
      </c>
      <c r="AY504" t="s">
        <v>74</v>
      </c>
      <c r="AZ504" t="s">
        <v>74</v>
      </c>
      <c r="BA504" t="s">
        <v>74</v>
      </c>
      <c r="BB504">
        <v>66</v>
      </c>
      <c r="BC504">
        <v>79</v>
      </c>
      <c r="BD504" t="s">
        <v>74</v>
      </c>
      <c r="BE504" t="s">
        <v>10029</v>
      </c>
      <c r="BF504" t="str">
        <f>HYPERLINK("http://dx.doi.org/10.1016/j.polar.2014.07.006","http://dx.doi.org/10.1016/j.polar.2014.07.006")</f>
        <v>http://dx.doi.org/10.1016/j.polar.2014.07.006</v>
      </c>
      <c r="BG504" t="s">
        <v>74</v>
      </c>
      <c r="BH504" t="s">
        <v>74</v>
      </c>
      <c r="BI504">
        <v>14</v>
      </c>
      <c r="BJ504" t="s">
        <v>9999</v>
      </c>
      <c r="BK504" t="s">
        <v>100</v>
      </c>
      <c r="BL504" t="s">
        <v>7144</v>
      </c>
      <c r="BM504" t="s">
        <v>10000</v>
      </c>
      <c r="BN504" t="s">
        <v>74</v>
      </c>
      <c r="BO504" t="s">
        <v>2481</v>
      </c>
      <c r="BP504" t="s">
        <v>74</v>
      </c>
      <c r="BQ504" t="s">
        <v>74</v>
      </c>
      <c r="BR504" t="s">
        <v>104</v>
      </c>
      <c r="BS504" t="s">
        <v>10030</v>
      </c>
      <c r="BT504" t="str">
        <f>HYPERLINK("https%3A%2F%2Fwww.webofscience.com%2Fwos%2Fwoscc%2Ffull-record%2FWOS:000350993700007","View Full Record in Web of Science")</f>
        <v>View Full Record in Web of Science</v>
      </c>
    </row>
    <row r="505" spans="1:72" x14ac:dyDescent="0.15">
      <c r="A505" t="s">
        <v>72</v>
      </c>
      <c r="B505" t="s">
        <v>10031</v>
      </c>
      <c r="C505" t="s">
        <v>74</v>
      </c>
      <c r="D505" t="s">
        <v>74</v>
      </c>
      <c r="E505" t="s">
        <v>74</v>
      </c>
      <c r="F505" t="s">
        <v>10032</v>
      </c>
      <c r="G505" t="s">
        <v>74</v>
      </c>
      <c r="H505" t="s">
        <v>74</v>
      </c>
      <c r="I505" t="s">
        <v>10033</v>
      </c>
      <c r="J505" t="s">
        <v>10034</v>
      </c>
      <c r="K505" t="s">
        <v>74</v>
      </c>
      <c r="L505" t="s">
        <v>74</v>
      </c>
      <c r="M505" t="s">
        <v>78</v>
      </c>
      <c r="N505" t="s">
        <v>79</v>
      </c>
      <c r="O505" t="s">
        <v>74</v>
      </c>
      <c r="P505" t="s">
        <v>74</v>
      </c>
      <c r="Q505" t="s">
        <v>74</v>
      </c>
      <c r="R505" t="s">
        <v>74</v>
      </c>
      <c r="S505" t="s">
        <v>74</v>
      </c>
      <c r="T505" t="s">
        <v>10035</v>
      </c>
      <c r="U505" t="s">
        <v>10036</v>
      </c>
      <c r="V505" t="s">
        <v>10037</v>
      </c>
      <c r="W505" t="s">
        <v>10038</v>
      </c>
      <c r="X505" t="s">
        <v>10039</v>
      </c>
      <c r="Y505" t="s">
        <v>10040</v>
      </c>
      <c r="Z505" t="s">
        <v>10041</v>
      </c>
      <c r="AA505" t="s">
        <v>10042</v>
      </c>
      <c r="AB505" t="s">
        <v>10043</v>
      </c>
      <c r="AC505" t="s">
        <v>10044</v>
      </c>
      <c r="AD505" t="s">
        <v>10044</v>
      </c>
      <c r="AE505" t="s">
        <v>10045</v>
      </c>
      <c r="AF505" t="s">
        <v>74</v>
      </c>
      <c r="AG505">
        <v>43</v>
      </c>
      <c r="AH505">
        <v>4</v>
      </c>
      <c r="AI505">
        <v>4</v>
      </c>
      <c r="AJ505">
        <v>0</v>
      </c>
      <c r="AK505">
        <v>6</v>
      </c>
      <c r="AL505" t="s">
        <v>1411</v>
      </c>
      <c r="AM505" t="s">
        <v>1412</v>
      </c>
      <c r="AN505" t="s">
        <v>1413</v>
      </c>
      <c r="AO505" t="s">
        <v>10046</v>
      </c>
      <c r="AP505" t="s">
        <v>10047</v>
      </c>
      <c r="AQ505" t="s">
        <v>74</v>
      </c>
      <c r="AR505" t="s">
        <v>10034</v>
      </c>
      <c r="AS505" t="s">
        <v>10048</v>
      </c>
      <c r="AT505" t="s">
        <v>8975</v>
      </c>
      <c r="AU505">
        <v>2015</v>
      </c>
      <c r="AV505">
        <v>38</v>
      </c>
      <c r="AW505">
        <v>3</v>
      </c>
      <c r="AX505" t="s">
        <v>74</v>
      </c>
      <c r="AY505" t="s">
        <v>74</v>
      </c>
      <c r="AZ505" t="s">
        <v>74</v>
      </c>
      <c r="BA505" t="s">
        <v>74</v>
      </c>
      <c r="BB505">
        <v>381</v>
      </c>
      <c r="BC505">
        <v>389</v>
      </c>
      <c r="BD505" t="s">
        <v>74</v>
      </c>
      <c r="BE505" t="s">
        <v>10049</v>
      </c>
      <c r="BF505" t="str">
        <f>HYPERLINK("http://dx.doi.org/10.5665/sleep.4494","http://dx.doi.org/10.5665/sleep.4494")</f>
        <v>http://dx.doi.org/10.5665/sleep.4494</v>
      </c>
      <c r="BG505" t="s">
        <v>74</v>
      </c>
      <c r="BH505" t="s">
        <v>74</v>
      </c>
      <c r="BI505">
        <v>9</v>
      </c>
      <c r="BJ505" t="s">
        <v>10050</v>
      </c>
      <c r="BK505" t="s">
        <v>100</v>
      </c>
      <c r="BL505" t="s">
        <v>10051</v>
      </c>
      <c r="BM505" t="s">
        <v>10052</v>
      </c>
      <c r="BN505">
        <v>25581914</v>
      </c>
      <c r="BO505" t="s">
        <v>293</v>
      </c>
      <c r="BP505" t="s">
        <v>74</v>
      </c>
      <c r="BQ505" t="s">
        <v>74</v>
      </c>
      <c r="BR505" t="s">
        <v>104</v>
      </c>
      <c r="BS505" t="s">
        <v>10053</v>
      </c>
      <c r="BT505" t="str">
        <f>HYPERLINK("https%3A%2F%2Fwww.webofscience.com%2Fwos%2Fwoscc%2Ffull-record%2FWOS:000350648500009","View Full Record in Web of Science")</f>
        <v>View Full Record in Web of Science</v>
      </c>
    </row>
    <row r="506" spans="1:72" x14ac:dyDescent="0.15">
      <c r="A506" t="s">
        <v>72</v>
      </c>
      <c r="B506" t="s">
        <v>10054</v>
      </c>
      <c r="C506" t="s">
        <v>74</v>
      </c>
      <c r="D506" t="s">
        <v>74</v>
      </c>
      <c r="E506" t="s">
        <v>74</v>
      </c>
      <c r="F506" t="s">
        <v>10055</v>
      </c>
      <c r="G506" t="s">
        <v>74</v>
      </c>
      <c r="H506" t="s">
        <v>74</v>
      </c>
      <c r="I506" t="s">
        <v>10056</v>
      </c>
      <c r="J506" t="s">
        <v>10057</v>
      </c>
      <c r="K506" t="s">
        <v>74</v>
      </c>
      <c r="L506" t="s">
        <v>74</v>
      </c>
      <c r="M506" t="s">
        <v>78</v>
      </c>
      <c r="N506" t="s">
        <v>79</v>
      </c>
      <c r="O506" t="s">
        <v>74</v>
      </c>
      <c r="P506" t="s">
        <v>74</v>
      </c>
      <c r="Q506" t="s">
        <v>74</v>
      </c>
      <c r="R506" t="s">
        <v>74</v>
      </c>
      <c r="S506" t="s">
        <v>74</v>
      </c>
      <c r="T506" t="s">
        <v>74</v>
      </c>
      <c r="U506" t="s">
        <v>10058</v>
      </c>
      <c r="V506" t="s">
        <v>10059</v>
      </c>
      <c r="W506" t="s">
        <v>10060</v>
      </c>
      <c r="X506" t="s">
        <v>10061</v>
      </c>
      <c r="Y506" t="s">
        <v>10062</v>
      </c>
      <c r="Z506" t="s">
        <v>10063</v>
      </c>
      <c r="AA506" t="s">
        <v>74</v>
      </c>
      <c r="AB506" t="s">
        <v>10064</v>
      </c>
      <c r="AC506" t="s">
        <v>10065</v>
      </c>
      <c r="AD506" t="s">
        <v>10066</v>
      </c>
      <c r="AE506" t="s">
        <v>10067</v>
      </c>
      <c r="AF506" t="s">
        <v>74</v>
      </c>
      <c r="AG506">
        <v>50</v>
      </c>
      <c r="AH506">
        <v>15</v>
      </c>
      <c r="AI506">
        <v>15</v>
      </c>
      <c r="AJ506">
        <v>1</v>
      </c>
      <c r="AK506">
        <v>29</v>
      </c>
      <c r="AL506" t="s">
        <v>3045</v>
      </c>
      <c r="AM506" t="s">
        <v>267</v>
      </c>
      <c r="AN506" t="s">
        <v>3046</v>
      </c>
      <c r="AO506" t="s">
        <v>10068</v>
      </c>
      <c r="AP506" t="s">
        <v>10069</v>
      </c>
      <c r="AQ506" t="s">
        <v>74</v>
      </c>
      <c r="AR506" t="s">
        <v>10070</v>
      </c>
      <c r="AS506" t="s">
        <v>10071</v>
      </c>
      <c r="AT506" t="s">
        <v>8975</v>
      </c>
      <c r="AU506">
        <v>2015</v>
      </c>
      <c r="AV506">
        <v>81</v>
      </c>
      <c r="AW506">
        <v>6</v>
      </c>
      <c r="AX506" t="s">
        <v>74</v>
      </c>
      <c r="AY506" t="s">
        <v>74</v>
      </c>
      <c r="AZ506" t="s">
        <v>74</v>
      </c>
      <c r="BA506" t="s">
        <v>74</v>
      </c>
      <c r="BB506">
        <v>1988</v>
      </c>
      <c r="BC506">
        <v>1995</v>
      </c>
      <c r="BD506" t="s">
        <v>74</v>
      </c>
      <c r="BE506" t="s">
        <v>10072</v>
      </c>
      <c r="BF506" t="str">
        <f>HYPERLINK("http://dx.doi.org/10.1128/AEM.03968-14","http://dx.doi.org/10.1128/AEM.03968-14")</f>
        <v>http://dx.doi.org/10.1128/AEM.03968-14</v>
      </c>
      <c r="BG506" t="s">
        <v>74</v>
      </c>
      <c r="BH506" t="s">
        <v>74</v>
      </c>
      <c r="BI506">
        <v>8</v>
      </c>
      <c r="BJ506" t="s">
        <v>2641</v>
      </c>
      <c r="BK506" t="s">
        <v>100</v>
      </c>
      <c r="BL506" t="s">
        <v>2641</v>
      </c>
      <c r="BM506" t="s">
        <v>10073</v>
      </c>
      <c r="BN506">
        <v>25576606</v>
      </c>
      <c r="BO506" t="s">
        <v>293</v>
      </c>
      <c r="BP506" t="s">
        <v>74</v>
      </c>
      <c r="BQ506" t="s">
        <v>74</v>
      </c>
      <c r="BR506" t="s">
        <v>104</v>
      </c>
      <c r="BS506" t="s">
        <v>10074</v>
      </c>
      <c r="BT506" t="str">
        <f>HYPERLINK("https%3A%2F%2Fwww.webofscience.com%2Fwos%2Fwoscc%2Ffull-record%2FWOS:000350554800013","View Full Record in Web of Science")</f>
        <v>View Full Record in Web of Science</v>
      </c>
    </row>
    <row r="507" spans="1:72" x14ac:dyDescent="0.15">
      <c r="A507" t="s">
        <v>72</v>
      </c>
      <c r="B507" t="s">
        <v>10075</v>
      </c>
      <c r="C507" t="s">
        <v>74</v>
      </c>
      <c r="D507" t="s">
        <v>74</v>
      </c>
      <c r="E507" t="s">
        <v>74</v>
      </c>
      <c r="F507" t="s">
        <v>10076</v>
      </c>
      <c r="G507" t="s">
        <v>74</v>
      </c>
      <c r="H507" t="s">
        <v>74</v>
      </c>
      <c r="I507" t="s">
        <v>10077</v>
      </c>
      <c r="J507" t="s">
        <v>10078</v>
      </c>
      <c r="K507" t="s">
        <v>74</v>
      </c>
      <c r="L507" t="s">
        <v>74</v>
      </c>
      <c r="M507" t="s">
        <v>78</v>
      </c>
      <c r="N507" t="s">
        <v>79</v>
      </c>
      <c r="O507" t="s">
        <v>74</v>
      </c>
      <c r="P507" t="s">
        <v>74</v>
      </c>
      <c r="Q507" t="s">
        <v>74</v>
      </c>
      <c r="R507" t="s">
        <v>74</v>
      </c>
      <c r="S507" t="s">
        <v>74</v>
      </c>
      <c r="T507" t="s">
        <v>10079</v>
      </c>
      <c r="U507" t="s">
        <v>10080</v>
      </c>
      <c r="V507" t="s">
        <v>10081</v>
      </c>
      <c r="W507" t="s">
        <v>10082</v>
      </c>
      <c r="X507" t="s">
        <v>10083</v>
      </c>
      <c r="Y507" t="s">
        <v>10084</v>
      </c>
      <c r="Z507" t="s">
        <v>10085</v>
      </c>
      <c r="AA507" t="s">
        <v>10086</v>
      </c>
      <c r="AB507" t="s">
        <v>10087</v>
      </c>
      <c r="AC507" t="s">
        <v>10088</v>
      </c>
      <c r="AD507" t="s">
        <v>10089</v>
      </c>
      <c r="AE507" t="s">
        <v>10090</v>
      </c>
      <c r="AF507" t="s">
        <v>74</v>
      </c>
      <c r="AG507">
        <v>66</v>
      </c>
      <c r="AH507">
        <v>17</v>
      </c>
      <c r="AI507">
        <v>17</v>
      </c>
      <c r="AJ507">
        <v>0</v>
      </c>
      <c r="AK507">
        <v>28</v>
      </c>
      <c r="AL507" t="s">
        <v>1508</v>
      </c>
      <c r="AM507" t="s">
        <v>92</v>
      </c>
      <c r="AN507" t="s">
        <v>93</v>
      </c>
      <c r="AO507" t="s">
        <v>10091</v>
      </c>
      <c r="AP507" t="s">
        <v>10092</v>
      </c>
      <c r="AQ507" t="s">
        <v>74</v>
      </c>
      <c r="AR507" t="s">
        <v>10093</v>
      </c>
      <c r="AS507" t="s">
        <v>10094</v>
      </c>
      <c r="AT507" t="s">
        <v>8975</v>
      </c>
      <c r="AU507">
        <v>2015</v>
      </c>
      <c r="AV507">
        <v>24</v>
      </c>
      <c r="AW507">
        <v>2</v>
      </c>
      <c r="AX507" t="s">
        <v>74</v>
      </c>
      <c r="AY507" t="s">
        <v>74</v>
      </c>
      <c r="AZ507" t="s">
        <v>74</v>
      </c>
      <c r="BA507" t="s">
        <v>74</v>
      </c>
      <c r="BB507">
        <v>150</v>
      </c>
      <c r="BC507">
        <v>161</v>
      </c>
      <c r="BD507" t="s">
        <v>74</v>
      </c>
      <c r="BE507" t="s">
        <v>10095</v>
      </c>
      <c r="BF507" t="str">
        <f>HYPERLINK("http://dx.doi.org/10.1111/fog.12096","http://dx.doi.org/10.1111/fog.12096")</f>
        <v>http://dx.doi.org/10.1111/fog.12096</v>
      </c>
      <c r="BG507" t="s">
        <v>74</v>
      </c>
      <c r="BH507" t="s">
        <v>74</v>
      </c>
      <c r="BI507">
        <v>12</v>
      </c>
      <c r="BJ507" t="s">
        <v>10096</v>
      </c>
      <c r="BK507" t="s">
        <v>100</v>
      </c>
      <c r="BL507" t="s">
        <v>10096</v>
      </c>
      <c r="BM507" t="s">
        <v>10097</v>
      </c>
      <c r="BN507" t="s">
        <v>74</v>
      </c>
      <c r="BO507" t="s">
        <v>74</v>
      </c>
      <c r="BP507" t="s">
        <v>74</v>
      </c>
      <c r="BQ507" t="s">
        <v>74</v>
      </c>
      <c r="BR507" t="s">
        <v>104</v>
      </c>
      <c r="BS507" t="s">
        <v>10098</v>
      </c>
      <c r="BT507" t="str">
        <f>HYPERLINK("https%3A%2F%2Fwww.webofscience.com%2Fwos%2Fwoscc%2Ffull-record%2FWOS:000350545400004","View Full Record in Web of Science")</f>
        <v>View Full Record in Web of Science</v>
      </c>
    </row>
    <row r="508" spans="1:72" x14ac:dyDescent="0.15">
      <c r="A508" t="s">
        <v>72</v>
      </c>
      <c r="B508" t="s">
        <v>10099</v>
      </c>
      <c r="C508" t="s">
        <v>74</v>
      </c>
      <c r="D508" t="s">
        <v>74</v>
      </c>
      <c r="E508" t="s">
        <v>74</v>
      </c>
      <c r="F508" t="s">
        <v>10100</v>
      </c>
      <c r="G508" t="s">
        <v>74</v>
      </c>
      <c r="H508" t="s">
        <v>74</v>
      </c>
      <c r="I508" t="s">
        <v>10101</v>
      </c>
      <c r="J508" t="s">
        <v>3193</v>
      </c>
      <c r="K508" t="s">
        <v>74</v>
      </c>
      <c r="L508" t="s">
        <v>74</v>
      </c>
      <c r="M508" t="s">
        <v>78</v>
      </c>
      <c r="N508" t="s">
        <v>79</v>
      </c>
      <c r="O508" t="s">
        <v>74</v>
      </c>
      <c r="P508" t="s">
        <v>74</v>
      </c>
      <c r="Q508" t="s">
        <v>74</v>
      </c>
      <c r="R508" t="s">
        <v>74</v>
      </c>
      <c r="S508" t="s">
        <v>74</v>
      </c>
      <c r="T508" t="s">
        <v>10102</v>
      </c>
      <c r="U508" t="s">
        <v>10103</v>
      </c>
      <c r="V508" t="s">
        <v>10104</v>
      </c>
      <c r="W508" t="s">
        <v>10105</v>
      </c>
      <c r="X508" t="s">
        <v>2090</v>
      </c>
      <c r="Y508" t="s">
        <v>10106</v>
      </c>
      <c r="Z508" t="s">
        <v>10107</v>
      </c>
      <c r="AA508" t="s">
        <v>74</v>
      </c>
      <c r="AB508" t="s">
        <v>74</v>
      </c>
      <c r="AC508" t="s">
        <v>74</v>
      </c>
      <c r="AD508" t="s">
        <v>74</v>
      </c>
      <c r="AE508" t="s">
        <v>74</v>
      </c>
      <c r="AF508" t="s">
        <v>74</v>
      </c>
      <c r="AG508">
        <v>35</v>
      </c>
      <c r="AH508">
        <v>6</v>
      </c>
      <c r="AI508">
        <v>8</v>
      </c>
      <c r="AJ508">
        <v>0</v>
      </c>
      <c r="AK508">
        <v>13</v>
      </c>
      <c r="AL508" t="s">
        <v>786</v>
      </c>
      <c r="AM508" t="s">
        <v>787</v>
      </c>
      <c r="AN508" t="s">
        <v>788</v>
      </c>
      <c r="AO508" t="s">
        <v>3206</v>
      </c>
      <c r="AP508" t="s">
        <v>3207</v>
      </c>
      <c r="AQ508" t="s">
        <v>74</v>
      </c>
      <c r="AR508" t="s">
        <v>3208</v>
      </c>
      <c r="AS508" t="s">
        <v>3209</v>
      </c>
      <c r="AT508" t="s">
        <v>8975</v>
      </c>
      <c r="AU508">
        <v>2015</v>
      </c>
      <c r="AV508">
        <v>124</v>
      </c>
      <c r="AW508" t="s">
        <v>74</v>
      </c>
      <c r="AX508" t="s">
        <v>74</v>
      </c>
      <c r="AY508" t="s">
        <v>74</v>
      </c>
      <c r="AZ508" t="s">
        <v>74</v>
      </c>
      <c r="BA508" t="s">
        <v>74</v>
      </c>
      <c r="BB508">
        <v>44</v>
      </c>
      <c r="BC508">
        <v>58</v>
      </c>
      <c r="BD508" t="s">
        <v>74</v>
      </c>
      <c r="BE508" t="s">
        <v>10108</v>
      </c>
      <c r="BF508" t="str">
        <f>HYPERLINK("http://dx.doi.org/10.1016/j.jastp.2015.01.015","http://dx.doi.org/10.1016/j.jastp.2015.01.015")</f>
        <v>http://dx.doi.org/10.1016/j.jastp.2015.01.015</v>
      </c>
      <c r="BG508" t="s">
        <v>74</v>
      </c>
      <c r="BH508" t="s">
        <v>74</v>
      </c>
      <c r="BI508">
        <v>15</v>
      </c>
      <c r="BJ508" t="s">
        <v>3211</v>
      </c>
      <c r="BK508" t="s">
        <v>100</v>
      </c>
      <c r="BL508" t="s">
        <v>3211</v>
      </c>
      <c r="BM508" t="s">
        <v>10109</v>
      </c>
      <c r="BN508" t="s">
        <v>74</v>
      </c>
      <c r="BO508" t="s">
        <v>74</v>
      </c>
      <c r="BP508" t="s">
        <v>74</v>
      </c>
      <c r="BQ508" t="s">
        <v>74</v>
      </c>
      <c r="BR508" t="s">
        <v>104</v>
      </c>
      <c r="BS508" t="s">
        <v>10110</v>
      </c>
      <c r="BT508" t="str">
        <f>HYPERLINK("https%3A%2F%2Fwww.webofscience.com%2Fwos%2Fwoscc%2Ffull-record%2FWOS:000350529800006","View Full Record in Web of Science")</f>
        <v>View Full Record in Web of Science</v>
      </c>
    </row>
    <row r="509" spans="1:72" x14ac:dyDescent="0.15">
      <c r="A509" t="s">
        <v>72</v>
      </c>
      <c r="B509" t="s">
        <v>10111</v>
      </c>
      <c r="C509" t="s">
        <v>74</v>
      </c>
      <c r="D509" t="s">
        <v>74</v>
      </c>
      <c r="E509" t="s">
        <v>74</v>
      </c>
      <c r="F509" t="s">
        <v>10112</v>
      </c>
      <c r="G509" t="s">
        <v>74</v>
      </c>
      <c r="H509" t="s">
        <v>74</v>
      </c>
      <c r="I509" t="s">
        <v>10113</v>
      </c>
      <c r="J509" t="s">
        <v>3402</v>
      </c>
      <c r="K509" t="s">
        <v>74</v>
      </c>
      <c r="L509" t="s">
        <v>74</v>
      </c>
      <c r="M509" t="s">
        <v>78</v>
      </c>
      <c r="N509" t="s">
        <v>79</v>
      </c>
      <c r="O509" t="s">
        <v>74</v>
      </c>
      <c r="P509" t="s">
        <v>74</v>
      </c>
      <c r="Q509" t="s">
        <v>74</v>
      </c>
      <c r="R509" t="s">
        <v>74</v>
      </c>
      <c r="S509" t="s">
        <v>74</v>
      </c>
      <c r="T509" t="s">
        <v>74</v>
      </c>
      <c r="U509" t="s">
        <v>10114</v>
      </c>
      <c r="V509" t="s">
        <v>10115</v>
      </c>
      <c r="W509" t="s">
        <v>10116</v>
      </c>
      <c r="X509" t="s">
        <v>1638</v>
      </c>
      <c r="Y509" t="s">
        <v>10117</v>
      </c>
      <c r="Z509" t="s">
        <v>10118</v>
      </c>
      <c r="AA509" t="s">
        <v>74</v>
      </c>
      <c r="AB509" t="s">
        <v>10119</v>
      </c>
      <c r="AC509" t="s">
        <v>10120</v>
      </c>
      <c r="AD509" t="s">
        <v>10121</v>
      </c>
      <c r="AE509" t="s">
        <v>10122</v>
      </c>
      <c r="AF509" t="s">
        <v>74</v>
      </c>
      <c r="AG509">
        <v>49</v>
      </c>
      <c r="AH509">
        <v>12</v>
      </c>
      <c r="AI509">
        <v>12</v>
      </c>
      <c r="AJ509">
        <v>0</v>
      </c>
      <c r="AK509">
        <v>22</v>
      </c>
      <c r="AL509" t="s">
        <v>2192</v>
      </c>
      <c r="AM509" t="s">
        <v>2193</v>
      </c>
      <c r="AN509" t="s">
        <v>2194</v>
      </c>
      <c r="AO509" t="s">
        <v>3414</v>
      </c>
      <c r="AP509" t="s">
        <v>3415</v>
      </c>
      <c r="AQ509" t="s">
        <v>74</v>
      </c>
      <c r="AR509" t="s">
        <v>3416</v>
      </c>
      <c r="AS509" t="s">
        <v>3417</v>
      </c>
      <c r="AT509" t="s">
        <v>8975</v>
      </c>
      <c r="AU509">
        <v>2015</v>
      </c>
      <c r="AV509">
        <v>72</v>
      </c>
      <c r="AW509">
        <v>3</v>
      </c>
      <c r="AX509" t="s">
        <v>74</v>
      </c>
      <c r="AY509" t="s">
        <v>74</v>
      </c>
      <c r="AZ509" t="s">
        <v>74</v>
      </c>
      <c r="BA509" t="s">
        <v>74</v>
      </c>
      <c r="BB509">
        <v>1010</v>
      </c>
      <c r="BC509">
        <v>1021</v>
      </c>
      <c r="BD509" t="s">
        <v>74</v>
      </c>
      <c r="BE509" t="s">
        <v>10123</v>
      </c>
      <c r="BF509" t="str">
        <f>HYPERLINK("http://dx.doi.org/10.1175/JAS-D-14-0171.1","http://dx.doi.org/10.1175/JAS-D-14-0171.1")</f>
        <v>http://dx.doi.org/10.1175/JAS-D-14-0171.1</v>
      </c>
      <c r="BG509" t="s">
        <v>74</v>
      </c>
      <c r="BH509" t="s">
        <v>74</v>
      </c>
      <c r="BI509">
        <v>12</v>
      </c>
      <c r="BJ509" t="s">
        <v>406</v>
      </c>
      <c r="BK509" t="s">
        <v>100</v>
      </c>
      <c r="BL509" t="s">
        <v>406</v>
      </c>
      <c r="BM509" t="s">
        <v>10124</v>
      </c>
      <c r="BN509" t="s">
        <v>74</v>
      </c>
      <c r="BO509" t="s">
        <v>3380</v>
      </c>
      <c r="BP509" t="s">
        <v>74</v>
      </c>
      <c r="BQ509" t="s">
        <v>74</v>
      </c>
      <c r="BR509" t="s">
        <v>104</v>
      </c>
      <c r="BS509" t="s">
        <v>10125</v>
      </c>
      <c r="BT509" t="str">
        <f>HYPERLINK("https%3A%2F%2Fwww.webofscience.com%2Fwos%2Fwoscc%2Ffull-record%2FWOS:000350333100003","View Full Record in Web of Science")</f>
        <v>View Full Record in Web of Science</v>
      </c>
    </row>
    <row r="510" spans="1:72" x14ac:dyDescent="0.15">
      <c r="A510" t="s">
        <v>72</v>
      </c>
      <c r="B510" t="s">
        <v>10126</v>
      </c>
      <c r="C510" t="s">
        <v>74</v>
      </c>
      <c r="D510" t="s">
        <v>74</v>
      </c>
      <c r="E510" t="s">
        <v>74</v>
      </c>
      <c r="F510" t="s">
        <v>10127</v>
      </c>
      <c r="G510" t="s">
        <v>74</v>
      </c>
      <c r="H510" t="s">
        <v>74</v>
      </c>
      <c r="I510" t="s">
        <v>10128</v>
      </c>
      <c r="J510" t="s">
        <v>10129</v>
      </c>
      <c r="K510" t="s">
        <v>74</v>
      </c>
      <c r="L510" t="s">
        <v>74</v>
      </c>
      <c r="M510" t="s">
        <v>78</v>
      </c>
      <c r="N510" t="s">
        <v>79</v>
      </c>
      <c r="O510" t="s">
        <v>74</v>
      </c>
      <c r="P510" t="s">
        <v>74</v>
      </c>
      <c r="Q510" t="s">
        <v>74</v>
      </c>
      <c r="R510" t="s">
        <v>74</v>
      </c>
      <c r="S510" t="s">
        <v>74</v>
      </c>
      <c r="T510" t="s">
        <v>10130</v>
      </c>
      <c r="U510" t="s">
        <v>10131</v>
      </c>
      <c r="V510" t="s">
        <v>10132</v>
      </c>
      <c r="W510" t="s">
        <v>10133</v>
      </c>
      <c r="X510" t="s">
        <v>10134</v>
      </c>
      <c r="Y510" t="s">
        <v>10135</v>
      </c>
      <c r="Z510" t="s">
        <v>10136</v>
      </c>
      <c r="AA510" t="s">
        <v>10137</v>
      </c>
      <c r="AB510" t="s">
        <v>10138</v>
      </c>
      <c r="AC510" t="s">
        <v>10139</v>
      </c>
      <c r="AD510" t="s">
        <v>10140</v>
      </c>
      <c r="AE510" t="s">
        <v>10141</v>
      </c>
      <c r="AF510" t="s">
        <v>74</v>
      </c>
      <c r="AG510">
        <v>31</v>
      </c>
      <c r="AH510">
        <v>4</v>
      </c>
      <c r="AI510">
        <v>5</v>
      </c>
      <c r="AJ510">
        <v>4</v>
      </c>
      <c r="AK510">
        <v>22</v>
      </c>
      <c r="AL510" t="s">
        <v>786</v>
      </c>
      <c r="AM510" t="s">
        <v>787</v>
      </c>
      <c r="AN510" t="s">
        <v>788</v>
      </c>
      <c r="AO510" t="s">
        <v>10142</v>
      </c>
      <c r="AP510" t="s">
        <v>74</v>
      </c>
      <c r="AQ510" t="s">
        <v>74</v>
      </c>
      <c r="AR510" t="s">
        <v>10129</v>
      </c>
      <c r="AS510" t="s">
        <v>10143</v>
      </c>
      <c r="AT510" t="s">
        <v>8975</v>
      </c>
      <c r="AU510">
        <v>2015</v>
      </c>
      <c r="AV510">
        <v>111</v>
      </c>
      <c r="AW510" t="s">
        <v>74</v>
      </c>
      <c r="AX510" t="s">
        <v>74</v>
      </c>
      <c r="AY510" t="s">
        <v>74</v>
      </c>
      <c r="AZ510" t="s">
        <v>74</v>
      </c>
      <c r="BA510" t="s">
        <v>74</v>
      </c>
      <c r="BB510">
        <v>107</v>
      </c>
      <c r="BC510">
        <v>113</v>
      </c>
      <c r="BD510" t="s">
        <v>74</v>
      </c>
      <c r="BE510" t="s">
        <v>10144</v>
      </c>
      <c r="BF510" t="str">
        <f>HYPERLINK("http://dx.doi.org/10.1016/j.phytochem.2014.12.023","http://dx.doi.org/10.1016/j.phytochem.2014.12.023")</f>
        <v>http://dx.doi.org/10.1016/j.phytochem.2014.12.023</v>
      </c>
      <c r="BG510" t="s">
        <v>74</v>
      </c>
      <c r="BH510" t="s">
        <v>74</v>
      </c>
      <c r="BI510">
        <v>7</v>
      </c>
      <c r="BJ510" t="s">
        <v>10145</v>
      </c>
      <c r="BK510" t="s">
        <v>100</v>
      </c>
      <c r="BL510" t="s">
        <v>10145</v>
      </c>
      <c r="BM510" t="s">
        <v>10146</v>
      </c>
      <c r="BN510">
        <v>25595675</v>
      </c>
      <c r="BO510" t="s">
        <v>2481</v>
      </c>
      <c r="BP510" t="s">
        <v>74</v>
      </c>
      <c r="BQ510" t="s">
        <v>74</v>
      </c>
      <c r="BR510" t="s">
        <v>104</v>
      </c>
      <c r="BS510" t="s">
        <v>10147</v>
      </c>
      <c r="BT510" t="str">
        <f>HYPERLINK("https%3A%2F%2Fwww.webofscience.com%2Fwos%2Fwoscc%2Ffull-record%2FWOS:000350527400013","View Full Record in Web of Science")</f>
        <v>View Full Record in Web of Science</v>
      </c>
    </row>
    <row r="511" spans="1:72" x14ac:dyDescent="0.15">
      <c r="A511" t="s">
        <v>72</v>
      </c>
      <c r="B511" t="s">
        <v>10148</v>
      </c>
      <c r="C511" t="s">
        <v>74</v>
      </c>
      <c r="D511" t="s">
        <v>74</v>
      </c>
      <c r="E511" t="s">
        <v>74</v>
      </c>
      <c r="F511" t="s">
        <v>10149</v>
      </c>
      <c r="G511" t="s">
        <v>74</v>
      </c>
      <c r="H511" t="s">
        <v>74</v>
      </c>
      <c r="I511" t="s">
        <v>10150</v>
      </c>
      <c r="J511" t="s">
        <v>1290</v>
      </c>
      <c r="K511" t="s">
        <v>74</v>
      </c>
      <c r="L511" t="s">
        <v>74</v>
      </c>
      <c r="M511" t="s">
        <v>78</v>
      </c>
      <c r="N511" t="s">
        <v>79</v>
      </c>
      <c r="O511" t="s">
        <v>74</v>
      </c>
      <c r="P511" t="s">
        <v>74</v>
      </c>
      <c r="Q511" t="s">
        <v>74</v>
      </c>
      <c r="R511" t="s">
        <v>74</v>
      </c>
      <c r="S511" t="s">
        <v>74</v>
      </c>
      <c r="T511" t="s">
        <v>10151</v>
      </c>
      <c r="U511" t="s">
        <v>10152</v>
      </c>
      <c r="V511" t="s">
        <v>10153</v>
      </c>
      <c r="W511" t="s">
        <v>10154</v>
      </c>
      <c r="X511" t="s">
        <v>10155</v>
      </c>
      <c r="Y511" t="s">
        <v>4891</v>
      </c>
      <c r="Z511" t="s">
        <v>4892</v>
      </c>
      <c r="AA511" t="s">
        <v>74</v>
      </c>
      <c r="AB511" t="s">
        <v>74</v>
      </c>
      <c r="AC511" t="s">
        <v>10156</v>
      </c>
      <c r="AD511" t="s">
        <v>10157</v>
      </c>
      <c r="AE511" t="s">
        <v>10158</v>
      </c>
      <c r="AF511" t="s">
        <v>74</v>
      </c>
      <c r="AG511">
        <v>72</v>
      </c>
      <c r="AH511">
        <v>16</v>
      </c>
      <c r="AI511">
        <v>18</v>
      </c>
      <c r="AJ511">
        <v>3</v>
      </c>
      <c r="AK511">
        <v>57</v>
      </c>
      <c r="AL511" t="s">
        <v>120</v>
      </c>
      <c r="AM511" t="s">
        <v>121</v>
      </c>
      <c r="AN511" t="s">
        <v>122</v>
      </c>
      <c r="AO511" t="s">
        <v>1305</v>
      </c>
      <c r="AP511" t="s">
        <v>1306</v>
      </c>
      <c r="AQ511" t="s">
        <v>74</v>
      </c>
      <c r="AR511" t="s">
        <v>1307</v>
      </c>
      <c r="AS511" t="s">
        <v>1308</v>
      </c>
      <c r="AT511" t="s">
        <v>8975</v>
      </c>
      <c r="AU511">
        <v>2015</v>
      </c>
      <c r="AV511">
        <v>38</v>
      </c>
      <c r="AW511">
        <v>3</v>
      </c>
      <c r="AX511" t="s">
        <v>74</v>
      </c>
      <c r="AY511" t="s">
        <v>74</v>
      </c>
      <c r="AZ511" t="s">
        <v>74</v>
      </c>
      <c r="BA511" t="s">
        <v>74</v>
      </c>
      <c r="BB511">
        <v>275</v>
      </c>
      <c r="BC511">
        <v>286</v>
      </c>
      <c r="BD511" t="s">
        <v>74</v>
      </c>
      <c r="BE511" t="s">
        <v>10159</v>
      </c>
      <c r="BF511" t="str">
        <f>HYPERLINK("http://dx.doi.org/10.1007/s00300-014-1583-x","http://dx.doi.org/10.1007/s00300-014-1583-x")</f>
        <v>http://dx.doi.org/10.1007/s00300-014-1583-x</v>
      </c>
      <c r="BG511" t="s">
        <v>74</v>
      </c>
      <c r="BH511" t="s">
        <v>74</v>
      </c>
      <c r="BI511">
        <v>12</v>
      </c>
      <c r="BJ511" t="s">
        <v>1311</v>
      </c>
      <c r="BK511" t="s">
        <v>100</v>
      </c>
      <c r="BL511" t="s">
        <v>154</v>
      </c>
      <c r="BM511" t="s">
        <v>10160</v>
      </c>
      <c r="BN511" t="s">
        <v>74</v>
      </c>
      <c r="BO511" t="s">
        <v>74</v>
      </c>
      <c r="BP511" t="s">
        <v>74</v>
      </c>
      <c r="BQ511" t="s">
        <v>74</v>
      </c>
      <c r="BR511" t="s">
        <v>104</v>
      </c>
      <c r="BS511" t="s">
        <v>10161</v>
      </c>
      <c r="BT511" t="str">
        <f>HYPERLINK("https%3A%2F%2Fwww.webofscience.com%2Fwos%2Fwoscc%2Ffull-record%2FWOS:000350040500001","View Full Record in Web of Science")</f>
        <v>View Full Record in Web of Science</v>
      </c>
    </row>
    <row r="512" spans="1:72" x14ac:dyDescent="0.15">
      <c r="A512" t="s">
        <v>72</v>
      </c>
      <c r="B512" t="s">
        <v>10162</v>
      </c>
      <c r="C512" t="s">
        <v>74</v>
      </c>
      <c r="D512" t="s">
        <v>74</v>
      </c>
      <c r="E512" t="s">
        <v>74</v>
      </c>
      <c r="F512" t="s">
        <v>10163</v>
      </c>
      <c r="G512" t="s">
        <v>74</v>
      </c>
      <c r="H512" t="s">
        <v>74</v>
      </c>
      <c r="I512" t="s">
        <v>10164</v>
      </c>
      <c r="J512" t="s">
        <v>1290</v>
      </c>
      <c r="K512" t="s">
        <v>74</v>
      </c>
      <c r="L512" t="s">
        <v>74</v>
      </c>
      <c r="M512" t="s">
        <v>78</v>
      </c>
      <c r="N512" t="s">
        <v>79</v>
      </c>
      <c r="O512" t="s">
        <v>74</v>
      </c>
      <c r="P512" t="s">
        <v>74</v>
      </c>
      <c r="Q512" t="s">
        <v>74</v>
      </c>
      <c r="R512" t="s">
        <v>74</v>
      </c>
      <c r="S512" t="s">
        <v>74</v>
      </c>
      <c r="T512" t="s">
        <v>10165</v>
      </c>
      <c r="U512" t="s">
        <v>10166</v>
      </c>
      <c r="V512" t="s">
        <v>10167</v>
      </c>
      <c r="W512" t="s">
        <v>10168</v>
      </c>
      <c r="X512" t="s">
        <v>10169</v>
      </c>
      <c r="Y512" t="s">
        <v>10170</v>
      </c>
      <c r="Z512" t="s">
        <v>10171</v>
      </c>
      <c r="AA512" t="s">
        <v>10172</v>
      </c>
      <c r="AB512" t="s">
        <v>10173</v>
      </c>
      <c r="AC512" t="s">
        <v>10174</v>
      </c>
      <c r="AD512" t="s">
        <v>10175</v>
      </c>
      <c r="AE512" t="s">
        <v>10176</v>
      </c>
      <c r="AF512" t="s">
        <v>74</v>
      </c>
      <c r="AG512">
        <v>41</v>
      </c>
      <c r="AH512">
        <v>30</v>
      </c>
      <c r="AI512">
        <v>31</v>
      </c>
      <c r="AJ512">
        <v>0</v>
      </c>
      <c r="AK512">
        <v>28</v>
      </c>
      <c r="AL512" t="s">
        <v>120</v>
      </c>
      <c r="AM512" t="s">
        <v>121</v>
      </c>
      <c r="AN512" t="s">
        <v>122</v>
      </c>
      <c r="AO512" t="s">
        <v>1305</v>
      </c>
      <c r="AP512" t="s">
        <v>1306</v>
      </c>
      <c r="AQ512" t="s">
        <v>74</v>
      </c>
      <c r="AR512" t="s">
        <v>1307</v>
      </c>
      <c r="AS512" t="s">
        <v>1308</v>
      </c>
      <c r="AT512" t="s">
        <v>8975</v>
      </c>
      <c r="AU512">
        <v>2015</v>
      </c>
      <c r="AV512">
        <v>38</v>
      </c>
      <c r="AW512">
        <v>3</v>
      </c>
      <c r="AX512" t="s">
        <v>74</v>
      </c>
      <c r="AY512" t="s">
        <v>74</v>
      </c>
      <c r="AZ512" t="s">
        <v>74</v>
      </c>
      <c r="BA512" t="s">
        <v>74</v>
      </c>
      <c r="BB512">
        <v>319</v>
      </c>
      <c r="BC512">
        <v>331</v>
      </c>
      <c r="BD512" t="s">
        <v>74</v>
      </c>
      <c r="BE512" t="s">
        <v>10177</v>
      </c>
      <c r="BF512" t="str">
        <f>HYPERLINK("http://dx.doi.org/10.1007/s00300-014-1588-5","http://dx.doi.org/10.1007/s00300-014-1588-5")</f>
        <v>http://dx.doi.org/10.1007/s00300-014-1588-5</v>
      </c>
      <c r="BG512" t="s">
        <v>74</v>
      </c>
      <c r="BH512" t="s">
        <v>74</v>
      </c>
      <c r="BI512">
        <v>13</v>
      </c>
      <c r="BJ512" t="s">
        <v>1311</v>
      </c>
      <c r="BK512" t="s">
        <v>100</v>
      </c>
      <c r="BL512" t="s">
        <v>154</v>
      </c>
      <c r="BM512" t="s">
        <v>10160</v>
      </c>
      <c r="BN512" t="s">
        <v>74</v>
      </c>
      <c r="BO512" t="s">
        <v>74</v>
      </c>
      <c r="BP512" t="s">
        <v>74</v>
      </c>
      <c r="BQ512" t="s">
        <v>74</v>
      </c>
      <c r="BR512" t="s">
        <v>104</v>
      </c>
      <c r="BS512" t="s">
        <v>10178</v>
      </c>
      <c r="BT512" t="str">
        <f>HYPERLINK("https%3A%2F%2Fwww.webofscience.com%2Fwos%2Fwoscc%2Ffull-record%2FWOS:000350040500004","View Full Record in Web of Science")</f>
        <v>View Full Record in Web of Science</v>
      </c>
    </row>
    <row r="513" spans="1:72" x14ac:dyDescent="0.15">
      <c r="A513" t="s">
        <v>72</v>
      </c>
      <c r="B513" t="s">
        <v>10179</v>
      </c>
      <c r="C513" t="s">
        <v>74</v>
      </c>
      <c r="D513" t="s">
        <v>74</v>
      </c>
      <c r="E513" t="s">
        <v>74</v>
      </c>
      <c r="F513" t="s">
        <v>10180</v>
      </c>
      <c r="G513" t="s">
        <v>74</v>
      </c>
      <c r="H513" t="s">
        <v>74</v>
      </c>
      <c r="I513" t="s">
        <v>10181</v>
      </c>
      <c r="J513" t="s">
        <v>1290</v>
      </c>
      <c r="K513" t="s">
        <v>74</v>
      </c>
      <c r="L513" t="s">
        <v>74</v>
      </c>
      <c r="M513" t="s">
        <v>78</v>
      </c>
      <c r="N513" t="s">
        <v>79</v>
      </c>
      <c r="O513" t="s">
        <v>74</v>
      </c>
      <c r="P513" t="s">
        <v>74</v>
      </c>
      <c r="Q513" t="s">
        <v>74</v>
      </c>
      <c r="R513" t="s">
        <v>74</v>
      </c>
      <c r="S513" t="s">
        <v>74</v>
      </c>
      <c r="T513" t="s">
        <v>10182</v>
      </c>
      <c r="U513" t="s">
        <v>10183</v>
      </c>
      <c r="V513" t="s">
        <v>10184</v>
      </c>
      <c r="W513" t="s">
        <v>10185</v>
      </c>
      <c r="X513" t="s">
        <v>10186</v>
      </c>
      <c r="Y513" t="s">
        <v>10187</v>
      </c>
      <c r="Z513" t="s">
        <v>10188</v>
      </c>
      <c r="AA513" t="s">
        <v>10189</v>
      </c>
      <c r="AB513" t="s">
        <v>10190</v>
      </c>
      <c r="AC513" t="s">
        <v>10191</v>
      </c>
      <c r="AD513" t="s">
        <v>10192</v>
      </c>
      <c r="AE513" t="s">
        <v>10193</v>
      </c>
      <c r="AF513" t="s">
        <v>74</v>
      </c>
      <c r="AG513">
        <v>58</v>
      </c>
      <c r="AH513">
        <v>15</v>
      </c>
      <c r="AI513">
        <v>15</v>
      </c>
      <c r="AJ513">
        <v>4</v>
      </c>
      <c r="AK513">
        <v>28</v>
      </c>
      <c r="AL513" t="s">
        <v>120</v>
      </c>
      <c r="AM513" t="s">
        <v>121</v>
      </c>
      <c r="AN513" t="s">
        <v>122</v>
      </c>
      <c r="AO513" t="s">
        <v>1305</v>
      </c>
      <c r="AP513" t="s">
        <v>1306</v>
      </c>
      <c r="AQ513" t="s">
        <v>74</v>
      </c>
      <c r="AR513" t="s">
        <v>1307</v>
      </c>
      <c r="AS513" t="s">
        <v>1308</v>
      </c>
      <c r="AT513" t="s">
        <v>8975</v>
      </c>
      <c r="AU513">
        <v>2015</v>
      </c>
      <c r="AV513">
        <v>38</v>
      </c>
      <c r="AW513">
        <v>3</v>
      </c>
      <c r="AX513" t="s">
        <v>74</v>
      </c>
      <c r="AY513" t="s">
        <v>74</v>
      </c>
      <c r="AZ513" t="s">
        <v>74</v>
      </c>
      <c r="BA513" t="s">
        <v>74</v>
      </c>
      <c r="BB513">
        <v>333</v>
      </c>
      <c r="BC513">
        <v>342</v>
      </c>
      <c r="BD513" t="s">
        <v>74</v>
      </c>
      <c r="BE513" t="s">
        <v>10194</v>
      </c>
      <c r="BF513" t="str">
        <f>HYPERLINK("http://dx.doi.org/10.1007/s00300-014-1589-4","http://dx.doi.org/10.1007/s00300-014-1589-4")</f>
        <v>http://dx.doi.org/10.1007/s00300-014-1589-4</v>
      </c>
      <c r="BG513" t="s">
        <v>74</v>
      </c>
      <c r="BH513" t="s">
        <v>74</v>
      </c>
      <c r="BI513">
        <v>10</v>
      </c>
      <c r="BJ513" t="s">
        <v>1311</v>
      </c>
      <c r="BK513" t="s">
        <v>100</v>
      </c>
      <c r="BL513" t="s">
        <v>154</v>
      </c>
      <c r="BM513" t="s">
        <v>10160</v>
      </c>
      <c r="BN513" t="s">
        <v>74</v>
      </c>
      <c r="BO513" t="s">
        <v>74</v>
      </c>
      <c r="BP513" t="s">
        <v>74</v>
      </c>
      <c r="BQ513" t="s">
        <v>74</v>
      </c>
      <c r="BR513" t="s">
        <v>104</v>
      </c>
      <c r="BS513" t="s">
        <v>10195</v>
      </c>
      <c r="BT513" t="str">
        <f>HYPERLINK("https%3A%2F%2Fwww.webofscience.com%2Fwos%2Fwoscc%2Ffull-record%2FWOS:000350040500005","View Full Record in Web of Science")</f>
        <v>View Full Record in Web of Science</v>
      </c>
    </row>
    <row r="514" spans="1:72" x14ac:dyDescent="0.15">
      <c r="A514" t="s">
        <v>72</v>
      </c>
      <c r="B514" t="s">
        <v>10196</v>
      </c>
      <c r="C514" t="s">
        <v>74</v>
      </c>
      <c r="D514" t="s">
        <v>74</v>
      </c>
      <c r="E514" t="s">
        <v>74</v>
      </c>
      <c r="F514" t="s">
        <v>10197</v>
      </c>
      <c r="G514" t="s">
        <v>74</v>
      </c>
      <c r="H514" t="s">
        <v>74</v>
      </c>
      <c r="I514" t="s">
        <v>10198</v>
      </c>
      <c r="J514" t="s">
        <v>1290</v>
      </c>
      <c r="K514" t="s">
        <v>74</v>
      </c>
      <c r="L514" t="s">
        <v>74</v>
      </c>
      <c r="M514" t="s">
        <v>78</v>
      </c>
      <c r="N514" t="s">
        <v>79</v>
      </c>
      <c r="O514" t="s">
        <v>74</v>
      </c>
      <c r="P514" t="s">
        <v>74</v>
      </c>
      <c r="Q514" t="s">
        <v>74</v>
      </c>
      <c r="R514" t="s">
        <v>74</v>
      </c>
      <c r="S514" t="s">
        <v>74</v>
      </c>
      <c r="T514" t="s">
        <v>10199</v>
      </c>
      <c r="U514" t="s">
        <v>10200</v>
      </c>
      <c r="V514" t="s">
        <v>10201</v>
      </c>
      <c r="W514" t="s">
        <v>10202</v>
      </c>
      <c r="X514" t="s">
        <v>10203</v>
      </c>
      <c r="Y514" t="s">
        <v>10204</v>
      </c>
      <c r="Z514" t="s">
        <v>10205</v>
      </c>
      <c r="AA514" t="s">
        <v>10206</v>
      </c>
      <c r="AB514" t="s">
        <v>10207</v>
      </c>
      <c r="AC514" t="s">
        <v>10208</v>
      </c>
      <c r="AD514" t="s">
        <v>10209</v>
      </c>
      <c r="AE514" t="s">
        <v>10210</v>
      </c>
      <c r="AF514" t="s">
        <v>74</v>
      </c>
      <c r="AG514">
        <v>66</v>
      </c>
      <c r="AH514">
        <v>16</v>
      </c>
      <c r="AI514">
        <v>21</v>
      </c>
      <c r="AJ514">
        <v>1</v>
      </c>
      <c r="AK514">
        <v>41</v>
      </c>
      <c r="AL514" t="s">
        <v>120</v>
      </c>
      <c r="AM514" t="s">
        <v>121</v>
      </c>
      <c r="AN514" t="s">
        <v>1304</v>
      </c>
      <c r="AO514" t="s">
        <v>1305</v>
      </c>
      <c r="AP514" t="s">
        <v>1306</v>
      </c>
      <c r="AQ514" t="s">
        <v>74</v>
      </c>
      <c r="AR514" t="s">
        <v>1307</v>
      </c>
      <c r="AS514" t="s">
        <v>1308</v>
      </c>
      <c r="AT514" t="s">
        <v>8975</v>
      </c>
      <c r="AU514">
        <v>2015</v>
      </c>
      <c r="AV514">
        <v>38</v>
      </c>
      <c r="AW514">
        <v>3</v>
      </c>
      <c r="AX514" t="s">
        <v>74</v>
      </c>
      <c r="AY514" t="s">
        <v>74</v>
      </c>
      <c r="AZ514" t="s">
        <v>74</v>
      </c>
      <c r="BA514" t="s">
        <v>74</v>
      </c>
      <c r="BB514">
        <v>401</v>
      </c>
      <c r="BC514">
        <v>411</v>
      </c>
      <c r="BD514" t="s">
        <v>74</v>
      </c>
      <c r="BE514" t="s">
        <v>10211</v>
      </c>
      <c r="BF514" t="str">
        <f>HYPERLINK("http://dx.doi.org/10.1007/s00300-014-1596-5","http://dx.doi.org/10.1007/s00300-014-1596-5")</f>
        <v>http://dx.doi.org/10.1007/s00300-014-1596-5</v>
      </c>
      <c r="BG514" t="s">
        <v>74</v>
      </c>
      <c r="BH514" t="s">
        <v>74</v>
      </c>
      <c r="BI514">
        <v>11</v>
      </c>
      <c r="BJ514" t="s">
        <v>1311</v>
      </c>
      <c r="BK514" t="s">
        <v>100</v>
      </c>
      <c r="BL514" t="s">
        <v>154</v>
      </c>
      <c r="BM514" t="s">
        <v>10160</v>
      </c>
      <c r="BN514" t="s">
        <v>74</v>
      </c>
      <c r="BO514" t="s">
        <v>74</v>
      </c>
      <c r="BP514" t="s">
        <v>74</v>
      </c>
      <c r="BQ514" t="s">
        <v>74</v>
      </c>
      <c r="BR514" t="s">
        <v>104</v>
      </c>
      <c r="BS514" t="s">
        <v>10212</v>
      </c>
      <c r="BT514" t="str">
        <f>HYPERLINK("https%3A%2F%2Fwww.webofscience.com%2Fwos%2Fwoscc%2Ffull-record%2FWOS:000350040500011","View Full Record in Web of Science")</f>
        <v>View Full Record in Web of Science</v>
      </c>
    </row>
    <row r="515" spans="1:72" x14ac:dyDescent="0.15">
      <c r="A515" t="s">
        <v>72</v>
      </c>
      <c r="B515" t="s">
        <v>10213</v>
      </c>
      <c r="C515" t="s">
        <v>74</v>
      </c>
      <c r="D515" t="s">
        <v>74</v>
      </c>
      <c r="E515" t="s">
        <v>74</v>
      </c>
      <c r="F515" t="s">
        <v>10214</v>
      </c>
      <c r="G515" t="s">
        <v>74</v>
      </c>
      <c r="H515" t="s">
        <v>74</v>
      </c>
      <c r="I515" t="s">
        <v>10215</v>
      </c>
      <c r="J515" t="s">
        <v>1290</v>
      </c>
      <c r="K515" t="s">
        <v>74</v>
      </c>
      <c r="L515" t="s">
        <v>74</v>
      </c>
      <c r="M515" t="s">
        <v>78</v>
      </c>
      <c r="N515" t="s">
        <v>79</v>
      </c>
      <c r="O515" t="s">
        <v>74</v>
      </c>
      <c r="P515" t="s">
        <v>74</v>
      </c>
      <c r="Q515" t="s">
        <v>74</v>
      </c>
      <c r="R515" t="s">
        <v>74</v>
      </c>
      <c r="S515" t="s">
        <v>74</v>
      </c>
      <c r="T515" t="s">
        <v>10216</v>
      </c>
      <c r="U515" t="s">
        <v>10217</v>
      </c>
      <c r="V515" t="s">
        <v>10218</v>
      </c>
      <c r="W515" t="s">
        <v>10219</v>
      </c>
      <c r="X515" t="s">
        <v>10220</v>
      </c>
      <c r="Y515" t="s">
        <v>10221</v>
      </c>
      <c r="Z515" t="s">
        <v>10222</v>
      </c>
      <c r="AA515" t="s">
        <v>10223</v>
      </c>
      <c r="AB515" t="s">
        <v>10224</v>
      </c>
      <c r="AC515" t="s">
        <v>10225</v>
      </c>
      <c r="AD515" t="s">
        <v>10226</v>
      </c>
      <c r="AE515" t="s">
        <v>10227</v>
      </c>
      <c r="AF515" t="s">
        <v>74</v>
      </c>
      <c r="AG515">
        <v>50</v>
      </c>
      <c r="AH515">
        <v>10</v>
      </c>
      <c r="AI515">
        <v>10</v>
      </c>
      <c r="AJ515">
        <v>0</v>
      </c>
      <c r="AK515">
        <v>20</v>
      </c>
      <c r="AL515" t="s">
        <v>120</v>
      </c>
      <c r="AM515" t="s">
        <v>121</v>
      </c>
      <c r="AN515" t="s">
        <v>122</v>
      </c>
      <c r="AO515" t="s">
        <v>1305</v>
      </c>
      <c r="AP515" t="s">
        <v>1306</v>
      </c>
      <c r="AQ515" t="s">
        <v>74</v>
      </c>
      <c r="AR515" t="s">
        <v>1307</v>
      </c>
      <c r="AS515" t="s">
        <v>1308</v>
      </c>
      <c r="AT515" t="s">
        <v>8975</v>
      </c>
      <c r="AU515">
        <v>2015</v>
      </c>
      <c r="AV515">
        <v>38</v>
      </c>
      <c r="AW515">
        <v>3</v>
      </c>
      <c r="AX515" t="s">
        <v>74</v>
      </c>
      <c r="AY515" t="s">
        <v>74</v>
      </c>
      <c r="AZ515" t="s">
        <v>74</v>
      </c>
      <c r="BA515" t="s">
        <v>74</v>
      </c>
      <c r="BB515">
        <v>413</v>
      </c>
      <c r="BC515">
        <v>430</v>
      </c>
      <c r="BD515" t="s">
        <v>74</v>
      </c>
      <c r="BE515" t="s">
        <v>10228</v>
      </c>
      <c r="BF515" t="str">
        <f>HYPERLINK("http://dx.doi.org/10.1007/s00300-014-1585-8","http://dx.doi.org/10.1007/s00300-014-1585-8")</f>
        <v>http://dx.doi.org/10.1007/s00300-014-1585-8</v>
      </c>
      <c r="BG515" t="s">
        <v>74</v>
      </c>
      <c r="BH515" t="s">
        <v>74</v>
      </c>
      <c r="BI515">
        <v>18</v>
      </c>
      <c r="BJ515" t="s">
        <v>1311</v>
      </c>
      <c r="BK515" t="s">
        <v>100</v>
      </c>
      <c r="BL515" t="s">
        <v>154</v>
      </c>
      <c r="BM515" t="s">
        <v>10160</v>
      </c>
      <c r="BN515" t="s">
        <v>74</v>
      </c>
      <c r="BO515" t="s">
        <v>74</v>
      </c>
      <c r="BP515" t="s">
        <v>74</v>
      </c>
      <c r="BQ515" t="s">
        <v>74</v>
      </c>
      <c r="BR515" t="s">
        <v>104</v>
      </c>
      <c r="BS515" t="s">
        <v>10229</v>
      </c>
      <c r="BT515" t="str">
        <f>HYPERLINK("https%3A%2F%2Fwww.webofscience.com%2Fwos%2Fwoscc%2Ffull-record%2FWOS:000350040500012","View Full Record in Web of Science")</f>
        <v>View Full Record in Web of Science</v>
      </c>
    </row>
    <row r="516" spans="1:72" x14ac:dyDescent="0.15">
      <c r="A516" t="s">
        <v>72</v>
      </c>
      <c r="B516" t="s">
        <v>10230</v>
      </c>
      <c r="C516" t="s">
        <v>74</v>
      </c>
      <c r="D516" t="s">
        <v>74</v>
      </c>
      <c r="E516" t="s">
        <v>74</v>
      </c>
      <c r="F516" t="s">
        <v>10231</v>
      </c>
      <c r="G516" t="s">
        <v>74</v>
      </c>
      <c r="H516" t="s">
        <v>74</v>
      </c>
      <c r="I516" t="s">
        <v>10232</v>
      </c>
      <c r="J516" t="s">
        <v>10233</v>
      </c>
      <c r="K516" t="s">
        <v>74</v>
      </c>
      <c r="L516" t="s">
        <v>74</v>
      </c>
      <c r="M516" t="s">
        <v>78</v>
      </c>
      <c r="N516" t="s">
        <v>79</v>
      </c>
      <c r="O516" t="s">
        <v>74</v>
      </c>
      <c r="P516" t="s">
        <v>74</v>
      </c>
      <c r="Q516" t="s">
        <v>74</v>
      </c>
      <c r="R516" t="s">
        <v>74</v>
      </c>
      <c r="S516" t="s">
        <v>74</v>
      </c>
      <c r="T516" t="s">
        <v>10234</v>
      </c>
      <c r="U516" t="s">
        <v>10235</v>
      </c>
      <c r="V516" t="s">
        <v>10236</v>
      </c>
      <c r="W516" t="s">
        <v>10237</v>
      </c>
      <c r="X516" t="s">
        <v>10238</v>
      </c>
      <c r="Y516" t="s">
        <v>10239</v>
      </c>
      <c r="Z516" t="s">
        <v>10240</v>
      </c>
      <c r="AA516" t="s">
        <v>10241</v>
      </c>
      <c r="AB516" t="s">
        <v>10242</v>
      </c>
      <c r="AC516" t="s">
        <v>74</v>
      </c>
      <c r="AD516" t="s">
        <v>74</v>
      </c>
      <c r="AE516" t="s">
        <v>74</v>
      </c>
      <c r="AF516" t="s">
        <v>74</v>
      </c>
      <c r="AG516">
        <v>24</v>
      </c>
      <c r="AH516">
        <v>5</v>
      </c>
      <c r="AI516">
        <v>5</v>
      </c>
      <c r="AJ516">
        <v>0</v>
      </c>
      <c r="AK516">
        <v>5</v>
      </c>
      <c r="AL516" t="s">
        <v>1158</v>
      </c>
      <c r="AM516" t="s">
        <v>787</v>
      </c>
      <c r="AN516" t="s">
        <v>1159</v>
      </c>
      <c r="AO516" t="s">
        <v>10243</v>
      </c>
      <c r="AP516" t="s">
        <v>10244</v>
      </c>
      <c r="AQ516" t="s">
        <v>74</v>
      </c>
      <c r="AR516" t="s">
        <v>10245</v>
      </c>
      <c r="AS516" t="s">
        <v>10246</v>
      </c>
      <c r="AT516" t="s">
        <v>10247</v>
      </c>
      <c r="AU516">
        <v>2015</v>
      </c>
      <c r="AV516">
        <v>55</v>
      </c>
      <c r="AW516">
        <v>5</v>
      </c>
      <c r="AX516" t="s">
        <v>74</v>
      </c>
      <c r="AY516" t="s">
        <v>74</v>
      </c>
      <c r="AZ516" t="s">
        <v>74</v>
      </c>
      <c r="BA516" t="s">
        <v>74</v>
      </c>
      <c r="BB516">
        <v>1349</v>
      </c>
      <c r="BC516">
        <v>1355</v>
      </c>
      <c r="BD516" t="s">
        <v>74</v>
      </c>
      <c r="BE516" t="s">
        <v>10248</v>
      </c>
      <c r="BF516" t="str">
        <f>HYPERLINK("http://dx.doi.org/10.1016/j.asr.2014.11.034","http://dx.doi.org/10.1016/j.asr.2014.11.034")</f>
        <v>http://dx.doi.org/10.1016/j.asr.2014.11.034</v>
      </c>
      <c r="BG516" t="s">
        <v>74</v>
      </c>
      <c r="BH516" t="s">
        <v>74</v>
      </c>
      <c r="BI516">
        <v>7</v>
      </c>
      <c r="BJ516" t="s">
        <v>10249</v>
      </c>
      <c r="BK516" t="s">
        <v>100</v>
      </c>
      <c r="BL516" t="s">
        <v>10250</v>
      </c>
      <c r="BM516" t="s">
        <v>10251</v>
      </c>
      <c r="BN516" t="s">
        <v>74</v>
      </c>
      <c r="BO516" t="s">
        <v>74</v>
      </c>
      <c r="BP516" t="s">
        <v>74</v>
      </c>
      <c r="BQ516" t="s">
        <v>74</v>
      </c>
      <c r="BR516" t="s">
        <v>104</v>
      </c>
      <c r="BS516" t="s">
        <v>10252</v>
      </c>
      <c r="BT516" t="str">
        <f>HYPERLINK("https%3A%2F%2Fwww.webofscience.com%2Fwos%2Fwoscc%2Ffull-record%2FWOS:000349727800008","View Full Record in Web of Science")</f>
        <v>View Full Record in Web of Science</v>
      </c>
    </row>
    <row r="517" spans="1:72" x14ac:dyDescent="0.15">
      <c r="A517" t="s">
        <v>72</v>
      </c>
      <c r="B517" t="s">
        <v>10253</v>
      </c>
      <c r="C517" t="s">
        <v>74</v>
      </c>
      <c r="D517" t="s">
        <v>74</v>
      </c>
      <c r="E517" t="s">
        <v>74</v>
      </c>
      <c r="F517" t="s">
        <v>10254</v>
      </c>
      <c r="G517" t="s">
        <v>74</v>
      </c>
      <c r="H517" t="s">
        <v>74</v>
      </c>
      <c r="I517" t="s">
        <v>10255</v>
      </c>
      <c r="J517" t="s">
        <v>6680</v>
      </c>
      <c r="K517" t="s">
        <v>74</v>
      </c>
      <c r="L517" t="s">
        <v>74</v>
      </c>
      <c r="M517" t="s">
        <v>78</v>
      </c>
      <c r="N517" t="s">
        <v>79</v>
      </c>
      <c r="O517" t="s">
        <v>74</v>
      </c>
      <c r="P517" t="s">
        <v>74</v>
      </c>
      <c r="Q517" t="s">
        <v>74</v>
      </c>
      <c r="R517" t="s">
        <v>74</v>
      </c>
      <c r="S517" t="s">
        <v>74</v>
      </c>
      <c r="T517" t="s">
        <v>10256</v>
      </c>
      <c r="U517" t="s">
        <v>10257</v>
      </c>
      <c r="V517" t="s">
        <v>10258</v>
      </c>
      <c r="W517" t="s">
        <v>10259</v>
      </c>
      <c r="X517" t="s">
        <v>5287</v>
      </c>
      <c r="Y517" t="s">
        <v>10260</v>
      </c>
      <c r="Z517" t="s">
        <v>10261</v>
      </c>
      <c r="AA517" t="s">
        <v>74</v>
      </c>
      <c r="AB517" t="s">
        <v>2635</v>
      </c>
      <c r="AC517" t="s">
        <v>10262</v>
      </c>
      <c r="AD517" t="s">
        <v>10263</v>
      </c>
      <c r="AE517" t="s">
        <v>10264</v>
      </c>
      <c r="AF517" t="s">
        <v>74</v>
      </c>
      <c r="AG517">
        <v>85</v>
      </c>
      <c r="AH517">
        <v>7</v>
      </c>
      <c r="AI517">
        <v>7</v>
      </c>
      <c r="AJ517">
        <v>0</v>
      </c>
      <c r="AK517">
        <v>6</v>
      </c>
      <c r="AL517" t="s">
        <v>3986</v>
      </c>
      <c r="AM517" t="s">
        <v>121</v>
      </c>
      <c r="AN517" t="s">
        <v>3987</v>
      </c>
      <c r="AO517" t="s">
        <v>6692</v>
      </c>
      <c r="AP517" t="s">
        <v>6693</v>
      </c>
      <c r="AQ517" t="s">
        <v>74</v>
      </c>
      <c r="AR517" t="s">
        <v>6694</v>
      </c>
      <c r="AS517" t="s">
        <v>6695</v>
      </c>
      <c r="AT517" t="s">
        <v>8975</v>
      </c>
      <c r="AU517">
        <v>2015</v>
      </c>
      <c r="AV517">
        <v>181</v>
      </c>
      <c r="AW517" t="s">
        <v>74</v>
      </c>
      <c r="AX517" t="s">
        <v>74</v>
      </c>
      <c r="AY517" t="s">
        <v>74</v>
      </c>
      <c r="AZ517" t="s">
        <v>74</v>
      </c>
      <c r="BA517" t="s">
        <v>74</v>
      </c>
      <c r="BB517">
        <v>18</v>
      </c>
      <c r="BC517">
        <v>26</v>
      </c>
      <c r="BD517" t="s">
        <v>74</v>
      </c>
      <c r="BE517" t="s">
        <v>10265</v>
      </c>
      <c r="BF517" t="str">
        <f>HYPERLINK("http://dx.doi.org/10.1016/j.cbpa.2014.11.016","http://dx.doi.org/10.1016/j.cbpa.2014.11.016")</f>
        <v>http://dx.doi.org/10.1016/j.cbpa.2014.11.016</v>
      </c>
      <c r="BG517" t="s">
        <v>74</v>
      </c>
      <c r="BH517" t="s">
        <v>74</v>
      </c>
      <c r="BI517">
        <v>9</v>
      </c>
      <c r="BJ517" t="s">
        <v>6697</v>
      </c>
      <c r="BK517" t="s">
        <v>100</v>
      </c>
      <c r="BL517" t="s">
        <v>6697</v>
      </c>
      <c r="BM517" t="s">
        <v>10266</v>
      </c>
      <c r="BN517">
        <v>25433337</v>
      </c>
      <c r="BO517" t="s">
        <v>559</v>
      </c>
      <c r="BP517" t="s">
        <v>74</v>
      </c>
      <c r="BQ517" t="s">
        <v>74</v>
      </c>
      <c r="BR517" t="s">
        <v>104</v>
      </c>
      <c r="BS517" t="s">
        <v>10267</v>
      </c>
      <c r="BT517" t="str">
        <f>HYPERLINK("https%3A%2F%2Fwww.webofscience.com%2Fwos%2Fwoscc%2Ffull-record%2FWOS:000350081400003","View Full Record in Web of Science")</f>
        <v>View Full Record in Web of Science</v>
      </c>
    </row>
    <row r="518" spans="1:72" x14ac:dyDescent="0.15">
      <c r="A518" t="s">
        <v>72</v>
      </c>
      <c r="B518" t="s">
        <v>10268</v>
      </c>
      <c r="C518" t="s">
        <v>74</v>
      </c>
      <c r="D518" t="s">
        <v>74</v>
      </c>
      <c r="E518" t="s">
        <v>74</v>
      </c>
      <c r="F518" t="s">
        <v>10269</v>
      </c>
      <c r="G518" t="s">
        <v>74</v>
      </c>
      <c r="H518" t="s">
        <v>74</v>
      </c>
      <c r="I518" t="s">
        <v>10270</v>
      </c>
      <c r="J518" t="s">
        <v>2571</v>
      </c>
      <c r="K518" t="s">
        <v>74</v>
      </c>
      <c r="L518" t="s">
        <v>74</v>
      </c>
      <c r="M518" t="s">
        <v>78</v>
      </c>
      <c r="N518" t="s">
        <v>79</v>
      </c>
      <c r="O518" t="s">
        <v>74</v>
      </c>
      <c r="P518" t="s">
        <v>74</v>
      </c>
      <c r="Q518" t="s">
        <v>74</v>
      </c>
      <c r="R518" t="s">
        <v>74</v>
      </c>
      <c r="S518" t="s">
        <v>74</v>
      </c>
      <c r="T518" t="s">
        <v>10271</v>
      </c>
      <c r="U518" t="s">
        <v>10272</v>
      </c>
      <c r="V518" t="s">
        <v>10273</v>
      </c>
      <c r="W518" t="s">
        <v>10274</v>
      </c>
      <c r="X518" t="s">
        <v>10275</v>
      </c>
      <c r="Y518" t="s">
        <v>10276</v>
      </c>
      <c r="Z518" t="s">
        <v>10277</v>
      </c>
      <c r="AA518" t="s">
        <v>10278</v>
      </c>
      <c r="AB518" t="s">
        <v>10279</v>
      </c>
      <c r="AC518" t="s">
        <v>10280</v>
      </c>
      <c r="AD518" t="s">
        <v>10281</v>
      </c>
      <c r="AE518" t="s">
        <v>10282</v>
      </c>
      <c r="AF518" t="s">
        <v>74</v>
      </c>
      <c r="AG518">
        <v>34</v>
      </c>
      <c r="AH518">
        <v>9</v>
      </c>
      <c r="AI518">
        <v>11</v>
      </c>
      <c r="AJ518">
        <v>0</v>
      </c>
      <c r="AK518">
        <v>35</v>
      </c>
      <c r="AL518" t="s">
        <v>786</v>
      </c>
      <c r="AM518" t="s">
        <v>787</v>
      </c>
      <c r="AN518" t="s">
        <v>788</v>
      </c>
      <c r="AO518" t="s">
        <v>2583</v>
      </c>
      <c r="AP518" t="s">
        <v>2584</v>
      </c>
      <c r="AQ518" t="s">
        <v>74</v>
      </c>
      <c r="AR518" t="s">
        <v>2585</v>
      </c>
      <c r="AS518" t="s">
        <v>2586</v>
      </c>
      <c r="AT518" t="s">
        <v>8975</v>
      </c>
      <c r="AU518">
        <v>2015</v>
      </c>
      <c r="AV518">
        <v>97</v>
      </c>
      <c r="AW518" t="s">
        <v>74</v>
      </c>
      <c r="AX518" t="s">
        <v>74</v>
      </c>
      <c r="AY518" t="s">
        <v>74</v>
      </c>
      <c r="AZ518" t="s">
        <v>74</v>
      </c>
      <c r="BA518" t="s">
        <v>74</v>
      </c>
      <c r="BB518">
        <v>19</v>
      </c>
      <c r="BC518">
        <v>28</v>
      </c>
      <c r="BD518" t="s">
        <v>74</v>
      </c>
      <c r="BE518" t="s">
        <v>10283</v>
      </c>
      <c r="BF518" t="str">
        <f>HYPERLINK("http://dx.doi.org/10.1016/j.dsr.2014.11.009","http://dx.doi.org/10.1016/j.dsr.2014.11.009")</f>
        <v>http://dx.doi.org/10.1016/j.dsr.2014.11.009</v>
      </c>
      <c r="BG518" t="s">
        <v>74</v>
      </c>
      <c r="BH518" t="s">
        <v>74</v>
      </c>
      <c r="BI518">
        <v>10</v>
      </c>
      <c r="BJ518" t="s">
        <v>1540</v>
      </c>
      <c r="BK518" t="s">
        <v>100</v>
      </c>
      <c r="BL518" t="s">
        <v>1540</v>
      </c>
      <c r="BM518" t="s">
        <v>10284</v>
      </c>
      <c r="BN518" t="s">
        <v>74</v>
      </c>
      <c r="BO518" t="s">
        <v>74</v>
      </c>
      <c r="BP518" t="s">
        <v>74</v>
      </c>
      <c r="BQ518" t="s">
        <v>74</v>
      </c>
      <c r="BR518" t="s">
        <v>104</v>
      </c>
      <c r="BS518" t="s">
        <v>10285</v>
      </c>
      <c r="BT518" t="str">
        <f>HYPERLINK("https%3A%2F%2Fwww.webofscience.com%2Fwos%2Fwoscc%2Ffull-record%2FWOS:000350088800003","View Full Record in Web of Science")</f>
        <v>View Full Record in Web of Science</v>
      </c>
    </row>
    <row r="519" spans="1:72" x14ac:dyDescent="0.15">
      <c r="A519" t="s">
        <v>72</v>
      </c>
      <c r="B519" t="s">
        <v>10286</v>
      </c>
      <c r="C519" t="s">
        <v>74</v>
      </c>
      <c r="D519" t="s">
        <v>74</v>
      </c>
      <c r="E519" t="s">
        <v>74</v>
      </c>
      <c r="F519" t="s">
        <v>10287</v>
      </c>
      <c r="G519" t="s">
        <v>74</v>
      </c>
      <c r="H519" t="s">
        <v>74</v>
      </c>
      <c r="I519" t="s">
        <v>10288</v>
      </c>
      <c r="J519" t="s">
        <v>848</v>
      </c>
      <c r="K519" t="s">
        <v>74</v>
      </c>
      <c r="L519" t="s">
        <v>74</v>
      </c>
      <c r="M519" t="s">
        <v>78</v>
      </c>
      <c r="N519" t="s">
        <v>79</v>
      </c>
      <c r="O519" t="s">
        <v>74</v>
      </c>
      <c r="P519" t="s">
        <v>74</v>
      </c>
      <c r="Q519" t="s">
        <v>74</v>
      </c>
      <c r="R519" t="s">
        <v>74</v>
      </c>
      <c r="S519" t="s">
        <v>74</v>
      </c>
      <c r="T519" t="s">
        <v>10289</v>
      </c>
      <c r="U519" t="s">
        <v>10290</v>
      </c>
      <c r="V519" t="s">
        <v>10291</v>
      </c>
      <c r="W519" t="s">
        <v>10292</v>
      </c>
      <c r="X519" t="s">
        <v>10293</v>
      </c>
      <c r="Y519" t="s">
        <v>10294</v>
      </c>
      <c r="Z519" t="s">
        <v>10295</v>
      </c>
      <c r="AA519" t="s">
        <v>10296</v>
      </c>
      <c r="AB519" t="s">
        <v>10297</v>
      </c>
      <c r="AC519" t="s">
        <v>10298</v>
      </c>
      <c r="AD519" t="s">
        <v>10299</v>
      </c>
      <c r="AE519" t="s">
        <v>10300</v>
      </c>
      <c r="AF519" t="s">
        <v>74</v>
      </c>
      <c r="AG519">
        <v>90</v>
      </c>
      <c r="AH519">
        <v>33</v>
      </c>
      <c r="AI519">
        <v>35</v>
      </c>
      <c r="AJ519">
        <v>2</v>
      </c>
      <c r="AK519">
        <v>53</v>
      </c>
      <c r="AL519" t="s">
        <v>1039</v>
      </c>
      <c r="AM519" t="s">
        <v>816</v>
      </c>
      <c r="AN519" t="s">
        <v>1040</v>
      </c>
      <c r="AO519" t="s">
        <v>858</v>
      </c>
      <c r="AP519" t="s">
        <v>859</v>
      </c>
      <c r="AQ519" t="s">
        <v>74</v>
      </c>
      <c r="AR519" t="s">
        <v>860</v>
      </c>
      <c r="AS519" t="s">
        <v>861</v>
      </c>
      <c r="AT519" t="s">
        <v>10247</v>
      </c>
      <c r="AU519">
        <v>2015</v>
      </c>
      <c r="AV519">
        <v>413</v>
      </c>
      <c r="AW519" t="s">
        <v>74</v>
      </c>
      <c r="AX519" t="s">
        <v>74</v>
      </c>
      <c r="AY519" t="s">
        <v>74</v>
      </c>
      <c r="AZ519" t="s">
        <v>74</v>
      </c>
      <c r="BA519" t="s">
        <v>74</v>
      </c>
      <c r="BB519">
        <v>37</v>
      </c>
      <c r="BC519">
        <v>50</v>
      </c>
      <c r="BD519" t="s">
        <v>74</v>
      </c>
      <c r="BE519" t="s">
        <v>10301</v>
      </c>
      <c r="BF519" t="str">
        <f>HYPERLINK("http://dx.doi.org/10.1016/j.epsl.2014.12.050","http://dx.doi.org/10.1016/j.epsl.2014.12.050")</f>
        <v>http://dx.doi.org/10.1016/j.epsl.2014.12.050</v>
      </c>
      <c r="BG519" t="s">
        <v>74</v>
      </c>
      <c r="BH519" t="s">
        <v>74</v>
      </c>
      <c r="BI519">
        <v>14</v>
      </c>
      <c r="BJ519" t="s">
        <v>863</v>
      </c>
      <c r="BK519" t="s">
        <v>100</v>
      </c>
      <c r="BL519" t="s">
        <v>863</v>
      </c>
      <c r="BM519" t="s">
        <v>10302</v>
      </c>
      <c r="BN519" t="s">
        <v>74</v>
      </c>
      <c r="BO519" t="s">
        <v>74</v>
      </c>
      <c r="BP519" t="s">
        <v>74</v>
      </c>
      <c r="BQ519" t="s">
        <v>74</v>
      </c>
      <c r="BR519" t="s">
        <v>104</v>
      </c>
      <c r="BS519" t="s">
        <v>10303</v>
      </c>
      <c r="BT519" t="str">
        <f>HYPERLINK("https%3A%2F%2Fwww.webofscience.com%2Fwos%2Fwoscc%2Ffull-record%2FWOS:000349875300004","View Full Record in Web of Science")</f>
        <v>View Full Record in Web of Science</v>
      </c>
    </row>
    <row r="520" spans="1:72" x14ac:dyDescent="0.15">
      <c r="A520" t="s">
        <v>72</v>
      </c>
      <c r="B520" t="s">
        <v>10304</v>
      </c>
      <c r="C520" t="s">
        <v>74</v>
      </c>
      <c r="D520" t="s">
        <v>74</v>
      </c>
      <c r="E520" t="s">
        <v>74</v>
      </c>
      <c r="F520" t="s">
        <v>10305</v>
      </c>
      <c r="G520" t="s">
        <v>74</v>
      </c>
      <c r="H520" t="s">
        <v>74</v>
      </c>
      <c r="I520" t="s">
        <v>10306</v>
      </c>
      <c r="J520" t="s">
        <v>10307</v>
      </c>
      <c r="K520" t="s">
        <v>74</v>
      </c>
      <c r="L520" t="s">
        <v>74</v>
      </c>
      <c r="M520" t="s">
        <v>78</v>
      </c>
      <c r="N520" t="s">
        <v>79</v>
      </c>
      <c r="O520" t="s">
        <v>74</v>
      </c>
      <c r="P520" t="s">
        <v>74</v>
      </c>
      <c r="Q520" t="s">
        <v>74</v>
      </c>
      <c r="R520" t="s">
        <v>74</v>
      </c>
      <c r="S520" t="s">
        <v>74</v>
      </c>
      <c r="T520" t="s">
        <v>10308</v>
      </c>
      <c r="U520" t="s">
        <v>10309</v>
      </c>
      <c r="V520" t="s">
        <v>10310</v>
      </c>
      <c r="W520" t="s">
        <v>10311</v>
      </c>
      <c r="X520" t="s">
        <v>10312</v>
      </c>
      <c r="Y520" t="s">
        <v>4539</v>
      </c>
      <c r="Z520" t="s">
        <v>10313</v>
      </c>
      <c r="AA520" t="s">
        <v>74</v>
      </c>
      <c r="AB520" t="s">
        <v>74</v>
      </c>
      <c r="AC520" t="s">
        <v>10314</v>
      </c>
      <c r="AD520" t="s">
        <v>10315</v>
      </c>
      <c r="AE520" t="s">
        <v>10316</v>
      </c>
      <c r="AF520" t="s">
        <v>74</v>
      </c>
      <c r="AG520">
        <v>38</v>
      </c>
      <c r="AH520">
        <v>5</v>
      </c>
      <c r="AI520">
        <v>5</v>
      </c>
      <c r="AJ520">
        <v>0</v>
      </c>
      <c r="AK520">
        <v>10</v>
      </c>
      <c r="AL520" t="s">
        <v>377</v>
      </c>
      <c r="AM520" t="s">
        <v>378</v>
      </c>
      <c r="AN520" t="s">
        <v>379</v>
      </c>
      <c r="AO520" t="s">
        <v>10317</v>
      </c>
      <c r="AP520" t="s">
        <v>10318</v>
      </c>
      <c r="AQ520" t="s">
        <v>74</v>
      </c>
      <c r="AR520" t="s">
        <v>10319</v>
      </c>
      <c r="AS520" t="s">
        <v>10320</v>
      </c>
      <c r="AT520" t="s">
        <v>8975</v>
      </c>
      <c r="AU520">
        <v>2015</v>
      </c>
      <c r="AV520">
        <v>69</v>
      </c>
      <c r="AW520">
        <v>1</v>
      </c>
      <c r="AX520" t="s">
        <v>74</v>
      </c>
      <c r="AY520" t="s">
        <v>74</v>
      </c>
      <c r="AZ520" t="s">
        <v>74</v>
      </c>
      <c r="BA520" t="s">
        <v>74</v>
      </c>
      <c r="BB520">
        <v>37</v>
      </c>
      <c r="BC520">
        <v>56</v>
      </c>
      <c r="BD520" t="s">
        <v>74</v>
      </c>
      <c r="BE520" t="s">
        <v>10321</v>
      </c>
      <c r="BF520" t="str">
        <f>HYPERLINK("http://dx.doi.org/10.1007/s10152-014-0415-2","http://dx.doi.org/10.1007/s10152-014-0415-2")</f>
        <v>http://dx.doi.org/10.1007/s10152-014-0415-2</v>
      </c>
      <c r="BG520" t="s">
        <v>74</v>
      </c>
      <c r="BH520" t="s">
        <v>74</v>
      </c>
      <c r="BI520">
        <v>20</v>
      </c>
      <c r="BJ520" t="s">
        <v>1766</v>
      </c>
      <c r="BK520" t="s">
        <v>100</v>
      </c>
      <c r="BL520" t="s">
        <v>1766</v>
      </c>
      <c r="BM520" t="s">
        <v>10322</v>
      </c>
      <c r="BN520" t="s">
        <v>74</v>
      </c>
      <c r="BO520" t="s">
        <v>156</v>
      </c>
      <c r="BP520" t="s">
        <v>74</v>
      </c>
      <c r="BQ520" t="s">
        <v>74</v>
      </c>
      <c r="BR520" t="s">
        <v>104</v>
      </c>
      <c r="BS520" t="s">
        <v>10323</v>
      </c>
      <c r="BT520" t="str">
        <f>HYPERLINK("https%3A%2F%2Fwww.webofscience.com%2Fwos%2Fwoscc%2Ffull-record%2FWOS:000350208000004","View Full Record in Web of Science")</f>
        <v>View Full Record in Web of Science</v>
      </c>
    </row>
    <row r="521" spans="1:72" x14ac:dyDescent="0.15">
      <c r="A521" t="s">
        <v>72</v>
      </c>
      <c r="B521" t="s">
        <v>10324</v>
      </c>
      <c r="C521" t="s">
        <v>74</v>
      </c>
      <c r="D521" t="s">
        <v>74</v>
      </c>
      <c r="E521" t="s">
        <v>74</v>
      </c>
      <c r="F521" t="s">
        <v>10325</v>
      </c>
      <c r="G521" t="s">
        <v>74</v>
      </c>
      <c r="H521" t="s">
        <v>74</v>
      </c>
      <c r="I521" t="s">
        <v>10326</v>
      </c>
      <c r="J521" t="s">
        <v>10307</v>
      </c>
      <c r="K521" t="s">
        <v>74</v>
      </c>
      <c r="L521" t="s">
        <v>74</v>
      </c>
      <c r="M521" t="s">
        <v>78</v>
      </c>
      <c r="N521" t="s">
        <v>79</v>
      </c>
      <c r="O521" t="s">
        <v>74</v>
      </c>
      <c r="P521" t="s">
        <v>74</v>
      </c>
      <c r="Q521" t="s">
        <v>74</v>
      </c>
      <c r="R521" t="s">
        <v>74</v>
      </c>
      <c r="S521" t="s">
        <v>74</v>
      </c>
      <c r="T521" t="s">
        <v>10327</v>
      </c>
      <c r="U521" t="s">
        <v>10328</v>
      </c>
      <c r="V521" t="s">
        <v>10329</v>
      </c>
      <c r="W521" t="s">
        <v>10330</v>
      </c>
      <c r="X521" t="s">
        <v>10331</v>
      </c>
      <c r="Y521" t="s">
        <v>10332</v>
      </c>
      <c r="Z521" t="s">
        <v>10333</v>
      </c>
      <c r="AA521" t="s">
        <v>10334</v>
      </c>
      <c r="AB521" t="s">
        <v>10335</v>
      </c>
      <c r="AC521" t="s">
        <v>10336</v>
      </c>
      <c r="AD521" t="s">
        <v>10337</v>
      </c>
      <c r="AE521" t="s">
        <v>10338</v>
      </c>
      <c r="AF521" t="s">
        <v>74</v>
      </c>
      <c r="AG521">
        <v>64</v>
      </c>
      <c r="AH521">
        <v>11</v>
      </c>
      <c r="AI521">
        <v>11</v>
      </c>
      <c r="AJ521">
        <v>0</v>
      </c>
      <c r="AK521">
        <v>15</v>
      </c>
      <c r="AL521" t="s">
        <v>377</v>
      </c>
      <c r="AM521" t="s">
        <v>378</v>
      </c>
      <c r="AN521" t="s">
        <v>379</v>
      </c>
      <c r="AO521" t="s">
        <v>10317</v>
      </c>
      <c r="AP521" t="s">
        <v>10318</v>
      </c>
      <c r="AQ521" t="s">
        <v>74</v>
      </c>
      <c r="AR521" t="s">
        <v>10319</v>
      </c>
      <c r="AS521" t="s">
        <v>10320</v>
      </c>
      <c r="AT521" t="s">
        <v>8975</v>
      </c>
      <c r="AU521">
        <v>2015</v>
      </c>
      <c r="AV521">
        <v>69</v>
      </c>
      <c r="AW521">
        <v>1</v>
      </c>
      <c r="AX521" t="s">
        <v>74</v>
      </c>
      <c r="AY521" t="s">
        <v>74</v>
      </c>
      <c r="AZ521" t="s">
        <v>74</v>
      </c>
      <c r="BA521" t="s">
        <v>74</v>
      </c>
      <c r="BB521">
        <v>113</v>
      </c>
      <c r="BC521">
        <v>121</v>
      </c>
      <c r="BD521" t="s">
        <v>74</v>
      </c>
      <c r="BE521" t="s">
        <v>10339</v>
      </c>
      <c r="BF521" t="str">
        <f>HYPERLINK("http://dx.doi.org/10.1007/s10152-014-0420-5","http://dx.doi.org/10.1007/s10152-014-0420-5")</f>
        <v>http://dx.doi.org/10.1007/s10152-014-0420-5</v>
      </c>
      <c r="BG521" t="s">
        <v>74</v>
      </c>
      <c r="BH521" t="s">
        <v>74</v>
      </c>
      <c r="BI521">
        <v>9</v>
      </c>
      <c r="BJ521" t="s">
        <v>1766</v>
      </c>
      <c r="BK521" t="s">
        <v>100</v>
      </c>
      <c r="BL521" t="s">
        <v>1766</v>
      </c>
      <c r="BM521" t="s">
        <v>10322</v>
      </c>
      <c r="BN521" t="s">
        <v>74</v>
      </c>
      <c r="BO521" t="s">
        <v>2481</v>
      </c>
      <c r="BP521" t="s">
        <v>74</v>
      </c>
      <c r="BQ521" t="s">
        <v>74</v>
      </c>
      <c r="BR521" t="s">
        <v>104</v>
      </c>
      <c r="BS521" t="s">
        <v>10340</v>
      </c>
      <c r="BT521" t="str">
        <f>HYPERLINK("https%3A%2F%2Fwww.webofscience.com%2Fwos%2Fwoscc%2Ffull-record%2FWOS:000350208000008","View Full Record in Web of Science")</f>
        <v>View Full Record in Web of Science</v>
      </c>
    </row>
    <row r="522" spans="1:72" x14ac:dyDescent="0.15">
      <c r="A522" t="s">
        <v>72</v>
      </c>
      <c r="B522" t="s">
        <v>10341</v>
      </c>
      <c r="C522" t="s">
        <v>74</v>
      </c>
      <c r="D522" t="s">
        <v>74</v>
      </c>
      <c r="E522" t="s">
        <v>74</v>
      </c>
      <c r="F522" t="s">
        <v>10342</v>
      </c>
      <c r="G522" t="s">
        <v>74</v>
      </c>
      <c r="H522" t="s">
        <v>74</v>
      </c>
      <c r="I522" t="s">
        <v>10343</v>
      </c>
      <c r="J522" t="s">
        <v>7035</v>
      </c>
      <c r="K522" t="s">
        <v>74</v>
      </c>
      <c r="L522" t="s">
        <v>74</v>
      </c>
      <c r="M522" t="s">
        <v>78</v>
      </c>
      <c r="N522" t="s">
        <v>79</v>
      </c>
      <c r="O522" t="s">
        <v>74</v>
      </c>
      <c r="P522" t="s">
        <v>74</v>
      </c>
      <c r="Q522" t="s">
        <v>74</v>
      </c>
      <c r="R522" t="s">
        <v>74</v>
      </c>
      <c r="S522" t="s">
        <v>74</v>
      </c>
      <c r="T522" t="s">
        <v>10344</v>
      </c>
      <c r="U522" t="s">
        <v>10345</v>
      </c>
      <c r="V522" t="s">
        <v>10346</v>
      </c>
      <c r="W522" t="s">
        <v>10347</v>
      </c>
      <c r="X522" t="s">
        <v>10348</v>
      </c>
      <c r="Y522" t="s">
        <v>10349</v>
      </c>
      <c r="Z522" t="s">
        <v>10350</v>
      </c>
      <c r="AA522" t="s">
        <v>10351</v>
      </c>
      <c r="AB522" t="s">
        <v>10352</v>
      </c>
      <c r="AC522" t="s">
        <v>10353</v>
      </c>
      <c r="AD522" t="s">
        <v>10354</v>
      </c>
      <c r="AE522" t="s">
        <v>10355</v>
      </c>
      <c r="AF522" t="s">
        <v>74</v>
      </c>
      <c r="AG522">
        <v>61</v>
      </c>
      <c r="AH522">
        <v>22</v>
      </c>
      <c r="AI522">
        <v>24</v>
      </c>
      <c r="AJ522">
        <v>0</v>
      </c>
      <c r="AK522">
        <v>17</v>
      </c>
      <c r="AL522" t="s">
        <v>1039</v>
      </c>
      <c r="AM522" t="s">
        <v>816</v>
      </c>
      <c r="AN522" t="s">
        <v>1040</v>
      </c>
      <c r="AO522" t="s">
        <v>7051</v>
      </c>
      <c r="AP522" t="s">
        <v>7052</v>
      </c>
      <c r="AQ522" t="s">
        <v>74</v>
      </c>
      <c r="AR522" t="s">
        <v>7053</v>
      </c>
      <c r="AS522" t="s">
        <v>7054</v>
      </c>
      <c r="AT522" t="s">
        <v>8975</v>
      </c>
      <c r="AU522">
        <v>2015</v>
      </c>
      <c r="AV522">
        <v>258</v>
      </c>
      <c r="AW522" t="s">
        <v>74</v>
      </c>
      <c r="AX522" t="s">
        <v>74</v>
      </c>
      <c r="AY522" t="s">
        <v>74</v>
      </c>
      <c r="AZ522" t="s">
        <v>74</v>
      </c>
      <c r="BA522" t="s">
        <v>74</v>
      </c>
      <c r="BB522">
        <v>171</v>
      </c>
      <c r="BC522">
        <v>185</v>
      </c>
      <c r="BD522" t="s">
        <v>74</v>
      </c>
      <c r="BE522" t="s">
        <v>10356</v>
      </c>
      <c r="BF522" t="str">
        <f>HYPERLINK("http://dx.doi.org/10.1016/j.precamres.2014.12.011","http://dx.doi.org/10.1016/j.precamres.2014.12.011")</f>
        <v>http://dx.doi.org/10.1016/j.precamres.2014.12.011</v>
      </c>
      <c r="BG522" t="s">
        <v>74</v>
      </c>
      <c r="BH522" t="s">
        <v>74</v>
      </c>
      <c r="BI522">
        <v>15</v>
      </c>
      <c r="BJ522" t="s">
        <v>219</v>
      </c>
      <c r="BK522" t="s">
        <v>100</v>
      </c>
      <c r="BL522" t="s">
        <v>220</v>
      </c>
      <c r="BM522" t="s">
        <v>10357</v>
      </c>
      <c r="BN522" t="s">
        <v>74</v>
      </c>
      <c r="BO522" t="s">
        <v>74</v>
      </c>
      <c r="BP522" t="s">
        <v>74</v>
      </c>
      <c r="BQ522" t="s">
        <v>74</v>
      </c>
      <c r="BR522" t="s">
        <v>104</v>
      </c>
      <c r="BS522" t="s">
        <v>10358</v>
      </c>
      <c r="BT522" t="str">
        <f>HYPERLINK("https%3A%2F%2Fwww.webofscience.com%2Fwos%2Fwoscc%2Ffull-record%2FWOS:000349875200010","View Full Record in Web of Science")</f>
        <v>View Full Record in Web of Science</v>
      </c>
    </row>
    <row r="523" spans="1:72" x14ac:dyDescent="0.15">
      <c r="A523" t="s">
        <v>72</v>
      </c>
      <c r="B523" t="s">
        <v>10359</v>
      </c>
      <c r="C523" t="s">
        <v>74</v>
      </c>
      <c r="D523" t="s">
        <v>74</v>
      </c>
      <c r="E523" t="s">
        <v>74</v>
      </c>
      <c r="F523" t="s">
        <v>10360</v>
      </c>
      <c r="G523" t="s">
        <v>74</v>
      </c>
      <c r="H523" t="s">
        <v>74</v>
      </c>
      <c r="I523" t="s">
        <v>10361</v>
      </c>
      <c r="J523" t="s">
        <v>10362</v>
      </c>
      <c r="K523" t="s">
        <v>74</v>
      </c>
      <c r="L523" t="s">
        <v>74</v>
      </c>
      <c r="M523" t="s">
        <v>78</v>
      </c>
      <c r="N523" t="s">
        <v>79</v>
      </c>
      <c r="O523" t="s">
        <v>74</v>
      </c>
      <c r="P523" t="s">
        <v>74</v>
      </c>
      <c r="Q523" t="s">
        <v>74</v>
      </c>
      <c r="R523" t="s">
        <v>74</v>
      </c>
      <c r="S523" t="s">
        <v>74</v>
      </c>
      <c r="T523" t="s">
        <v>10363</v>
      </c>
      <c r="U523" t="s">
        <v>10364</v>
      </c>
      <c r="V523" t="s">
        <v>10365</v>
      </c>
      <c r="W523" t="s">
        <v>10366</v>
      </c>
      <c r="X523" t="s">
        <v>302</v>
      </c>
      <c r="Y523" t="s">
        <v>10367</v>
      </c>
      <c r="Z523" t="s">
        <v>10368</v>
      </c>
      <c r="AA523" t="s">
        <v>10369</v>
      </c>
      <c r="AB523" t="s">
        <v>10370</v>
      </c>
      <c r="AC523" t="s">
        <v>10371</v>
      </c>
      <c r="AD523" t="s">
        <v>10372</v>
      </c>
      <c r="AE523" t="s">
        <v>10373</v>
      </c>
      <c r="AF523" t="s">
        <v>74</v>
      </c>
      <c r="AG523">
        <v>70</v>
      </c>
      <c r="AH523">
        <v>17</v>
      </c>
      <c r="AI523">
        <v>20</v>
      </c>
      <c r="AJ523">
        <v>0</v>
      </c>
      <c r="AK523">
        <v>24</v>
      </c>
      <c r="AL523" t="s">
        <v>120</v>
      </c>
      <c r="AM523" t="s">
        <v>2560</v>
      </c>
      <c r="AN523" t="s">
        <v>2561</v>
      </c>
      <c r="AO523" t="s">
        <v>10374</v>
      </c>
      <c r="AP523" t="s">
        <v>10375</v>
      </c>
      <c r="AQ523" t="s">
        <v>74</v>
      </c>
      <c r="AR523" t="s">
        <v>10376</v>
      </c>
      <c r="AS523" t="s">
        <v>10377</v>
      </c>
      <c r="AT523" t="s">
        <v>8975</v>
      </c>
      <c r="AU523">
        <v>2015</v>
      </c>
      <c r="AV523">
        <v>31</v>
      </c>
      <c r="AW523">
        <v>3</v>
      </c>
      <c r="AX523" t="s">
        <v>74</v>
      </c>
      <c r="AY523" t="s">
        <v>74</v>
      </c>
      <c r="AZ523" t="s">
        <v>74</v>
      </c>
      <c r="BA523" t="s">
        <v>74</v>
      </c>
      <c r="BB523">
        <v>517</v>
      </c>
      <c r="BC523">
        <v>526</v>
      </c>
      <c r="BD523" t="s">
        <v>74</v>
      </c>
      <c r="BE523" t="s">
        <v>10378</v>
      </c>
      <c r="BF523" t="str">
        <f>HYPERLINK("http://dx.doi.org/10.1007/s11274-015-1808-3","http://dx.doi.org/10.1007/s11274-015-1808-3")</f>
        <v>http://dx.doi.org/10.1007/s11274-015-1808-3</v>
      </c>
      <c r="BG523" t="s">
        <v>74</v>
      </c>
      <c r="BH523" t="s">
        <v>74</v>
      </c>
      <c r="BI523">
        <v>10</v>
      </c>
      <c r="BJ523" t="s">
        <v>10379</v>
      </c>
      <c r="BK523" t="s">
        <v>100</v>
      </c>
      <c r="BL523" t="s">
        <v>10379</v>
      </c>
      <c r="BM523" t="s">
        <v>10380</v>
      </c>
      <c r="BN523">
        <v>25643668</v>
      </c>
      <c r="BO523" t="s">
        <v>1123</v>
      </c>
      <c r="BP523" t="s">
        <v>74</v>
      </c>
      <c r="BQ523" t="s">
        <v>74</v>
      </c>
      <c r="BR523" t="s">
        <v>104</v>
      </c>
      <c r="BS523" t="s">
        <v>10381</v>
      </c>
      <c r="BT523" t="str">
        <f>HYPERLINK("https%3A%2F%2Fwww.webofscience.com%2Fwos%2Fwoscc%2Ffull-record%2FWOS:000349978200009","View Full Record in Web of Science")</f>
        <v>View Full Record in Web of Science</v>
      </c>
    </row>
    <row r="524" spans="1:72" x14ac:dyDescent="0.15">
      <c r="A524" t="s">
        <v>72</v>
      </c>
      <c r="B524" t="s">
        <v>10382</v>
      </c>
      <c r="C524" t="s">
        <v>74</v>
      </c>
      <c r="D524" t="s">
        <v>74</v>
      </c>
      <c r="E524" t="s">
        <v>74</v>
      </c>
      <c r="F524" t="s">
        <v>10383</v>
      </c>
      <c r="G524" t="s">
        <v>74</v>
      </c>
      <c r="H524" t="s">
        <v>74</v>
      </c>
      <c r="I524" t="s">
        <v>10384</v>
      </c>
      <c r="J524" t="s">
        <v>10385</v>
      </c>
      <c r="K524" t="s">
        <v>74</v>
      </c>
      <c r="L524" t="s">
        <v>74</v>
      </c>
      <c r="M524" t="s">
        <v>78</v>
      </c>
      <c r="N524" t="s">
        <v>79</v>
      </c>
      <c r="O524" t="s">
        <v>74</v>
      </c>
      <c r="P524" t="s">
        <v>74</v>
      </c>
      <c r="Q524" t="s">
        <v>74</v>
      </c>
      <c r="R524" t="s">
        <v>74</v>
      </c>
      <c r="S524" t="s">
        <v>74</v>
      </c>
      <c r="T524" t="s">
        <v>10386</v>
      </c>
      <c r="U524" t="s">
        <v>10387</v>
      </c>
      <c r="V524" t="s">
        <v>10388</v>
      </c>
      <c r="W524" t="s">
        <v>10389</v>
      </c>
      <c r="X524" t="s">
        <v>10390</v>
      </c>
      <c r="Y524" t="s">
        <v>10391</v>
      </c>
      <c r="Z524" t="s">
        <v>10392</v>
      </c>
      <c r="AA524" t="s">
        <v>10393</v>
      </c>
      <c r="AB524" t="s">
        <v>10394</v>
      </c>
      <c r="AC524" t="s">
        <v>10395</v>
      </c>
      <c r="AD524" t="s">
        <v>10396</v>
      </c>
      <c r="AE524" t="s">
        <v>10397</v>
      </c>
      <c r="AF524" t="s">
        <v>74</v>
      </c>
      <c r="AG524">
        <v>71</v>
      </c>
      <c r="AH524">
        <v>19</v>
      </c>
      <c r="AI524">
        <v>21</v>
      </c>
      <c r="AJ524">
        <v>3</v>
      </c>
      <c r="AK524">
        <v>60</v>
      </c>
      <c r="AL524" t="s">
        <v>91</v>
      </c>
      <c r="AM524" t="s">
        <v>92</v>
      </c>
      <c r="AN524" t="s">
        <v>93</v>
      </c>
      <c r="AO524" t="s">
        <v>10398</v>
      </c>
      <c r="AP524" t="s">
        <v>10399</v>
      </c>
      <c r="AQ524" t="s">
        <v>74</v>
      </c>
      <c r="AR524" t="s">
        <v>10400</v>
      </c>
      <c r="AS524" t="s">
        <v>10401</v>
      </c>
      <c r="AT524" t="s">
        <v>8975</v>
      </c>
      <c r="AU524">
        <v>2015</v>
      </c>
      <c r="AV524">
        <v>15</v>
      </c>
      <c r="AW524">
        <v>2</v>
      </c>
      <c r="AX524" t="s">
        <v>74</v>
      </c>
      <c r="AY524" t="s">
        <v>74</v>
      </c>
      <c r="AZ524" t="s">
        <v>74</v>
      </c>
      <c r="BA524" t="s">
        <v>74</v>
      </c>
      <c r="BB524">
        <v>425</v>
      </c>
      <c r="BC524">
        <v>436</v>
      </c>
      <c r="BD524" t="s">
        <v>74</v>
      </c>
      <c r="BE524" t="s">
        <v>10402</v>
      </c>
      <c r="BF524" t="str">
        <f>HYPERLINK("http://dx.doi.org/10.1111/1755-0998.12316","http://dx.doi.org/10.1111/1755-0998.12316")</f>
        <v>http://dx.doi.org/10.1111/1755-0998.12316</v>
      </c>
      <c r="BG524" t="s">
        <v>74</v>
      </c>
      <c r="BH524" t="s">
        <v>74</v>
      </c>
      <c r="BI524">
        <v>12</v>
      </c>
      <c r="BJ524" t="s">
        <v>10403</v>
      </c>
      <c r="BK524" t="s">
        <v>100</v>
      </c>
      <c r="BL524" t="s">
        <v>10404</v>
      </c>
      <c r="BM524" t="s">
        <v>10405</v>
      </c>
      <c r="BN524">
        <v>25143045</v>
      </c>
      <c r="BO524" t="s">
        <v>74</v>
      </c>
      <c r="BP524" t="s">
        <v>74</v>
      </c>
      <c r="BQ524" t="s">
        <v>74</v>
      </c>
      <c r="BR524" t="s">
        <v>104</v>
      </c>
      <c r="BS524" t="s">
        <v>10406</v>
      </c>
      <c r="BT524" t="str">
        <f>HYPERLINK("https%3A%2F%2Fwww.webofscience.com%2Fwos%2Fwoscc%2Ffull-record%2FWOS:000349819000020","View Full Record in Web of Science")</f>
        <v>View Full Record in Web of Science</v>
      </c>
    </row>
    <row r="525" spans="1:72" x14ac:dyDescent="0.15">
      <c r="A525" t="s">
        <v>72</v>
      </c>
      <c r="B525" t="s">
        <v>10407</v>
      </c>
      <c r="C525" t="s">
        <v>74</v>
      </c>
      <c r="D525" t="s">
        <v>74</v>
      </c>
      <c r="E525" t="s">
        <v>74</v>
      </c>
      <c r="F525" t="s">
        <v>10408</v>
      </c>
      <c r="G525" t="s">
        <v>74</v>
      </c>
      <c r="H525" t="s">
        <v>74</v>
      </c>
      <c r="I525" t="s">
        <v>10409</v>
      </c>
      <c r="J525" t="s">
        <v>10410</v>
      </c>
      <c r="K525" t="s">
        <v>74</v>
      </c>
      <c r="L525" t="s">
        <v>74</v>
      </c>
      <c r="M525" t="s">
        <v>78</v>
      </c>
      <c r="N525" t="s">
        <v>79</v>
      </c>
      <c r="O525" t="s">
        <v>74</v>
      </c>
      <c r="P525" t="s">
        <v>74</v>
      </c>
      <c r="Q525" t="s">
        <v>74</v>
      </c>
      <c r="R525" t="s">
        <v>74</v>
      </c>
      <c r="S525" t="s">
        <v>74</v>
      </c>
      <c r="T525" t="s">
        <v>10411</v>
      </c>
      <c r="U525" t="s">
        <v>10412</v>
      </c>
      <c r="V525" t="s">
        <v>10413</v>
      </c>
      <c r="W525" t="s">
        <v>10414</v>
      </c>
      <c r="X525" t="s">
        <v>10415</v>
      </c>
      <c r="Y525" t="s">
        <v>10416</v>
      </c>
      <c r="Z525" t="s">
        <v>10417</v>
      </c>
      <c r="AA525" t="s">
        <v>74</v>
      </c>
      <c r="AB525" t="s">
        <v>10418</v>
      </c>
      <c r="AC525" t="s">
        <v>10419</v>
      </c>
      <c r="AD525" t="s">
        <v>10420</v>
      </c>
      <c r="AE525" t="s">
        <v>10421</v>
      </c>
      <c r="AF525" t="s">
        <v>74</v>
      </c>
      <c r="AG525">
        <v>86</v>
      </c>
      <c r="AH525">
        <v>20</v>
      </c>
      <c r="AI525">
        <v>22</v>
      </c>
      <c r="AJ525">
        <v>0</v>
      </c>
      <c r="AK525">
        <v>33</v>
      </c>
      <c r="AL525" t="s">
        <v>1158</v>
      </c>
      <c r="AM525" t="s">
        <v>787</v>
      </c>
      <c r="AN525" t="s">
        <v>1159</v>
      </c>
      <c r="AO525" t="s">
        <v>10422</v>
      </c>
      <c r="AP525" t="s">
        <v>10423</v>
      </c>
      <c r="AQ525" t="s">
        <v>74</v>
      </c>
      <c r="AR525" t="s">
        <v>10424</v>
      </c>
      <c r="AS525" t="s">
        <v>10425</v>
      </c>
      <c r="AT525" t="s">
        <v>8975</v>
      </c>
      <c r="AU525">
        <v>2015</v>
      </c>
      <c r="AV525">
        <v>65</v>
      </c>
      <c r="AW525" t="s">
        <v>74</v>
      </c>
      <c r="AX525" t="s">
        <v>74</v>
      </c>
      <c r="AY525" t="s">
        <v>74</v>
      </c>
      <c r="AZ525" t="s">
        <v>74</v>
      </c>
      <c r="BA525" t="s">
        <v>74</v>
      </c>
      <c r="BB525">
        <v>67</v>
      </c>
      <c r="BC525">
        <v>78</v>
      </c>
      <c r="BD525" t="s">
        <v>74</v>
      </c>
      <c r="BE525" t="s">
        <v>10426</v>
      </c>
      <c r="BF525" t="str">
        <f>HYPERLINK("http://dx.doi.org/10.1016/j.envsoft.2014.11.022","http://dx.doi.org/10.1016/j.envsoft.2014.11.022")</f>
        <v>http://dx.doi.org/10.1016/j.envsoft.2014.11.022</v>
      </c>
      <c r="BG525" t="s">
        <v>74</v>
      </c>
      <c r="BH525" t="s">
        <v>74</v>
      </c>
      <c r="BI525">
        <v>12</v>
      </c>
      <c r="BJ525" t="s">
        <v>10427</v>
      </c>
      <c r="BK525" t="s">
        <v>100</v>
      </c>
      <c r="BL525" t="s">
        <v>10428</v>
      </c>
      <c r="BM525" t="s">
        <v>10429</v>
      </c>
      <c r="BN525" t="s">
        <v>74</v>
      </c>
      <c r="BO525" t="s">
        <v>74</v>
      </c>
      <c r="BP525" t="s">
        <v>74</v>
      </c>
      <c r="BQ525" t="s">
        <v>74</v>
      </c>
      <c r="BR525" t="s">
        <v>104</v>
      </c>
      <c r="BS525" t="s">
        <v>10430</v>
      </c>
      <c r="BT525" t="str">
        <f>HYPERLINK("https%3A%2F%2Fwww.webofscience.com%2Fwos%2Fwoscc%2Ffull-record%2FWOS:000349588800007","View Full Record in Web of Science")</f>
        <v>View Full Record in Web of Science</v>
      </c>
    </row>
    <row r="526" spans="1:72" x14ac:dyDescent="0.15">
      <c r="A526" t="s">
        <v>72</v>
      </c>
      <c r="B526" t="s">
        <v>10431</v>
      </c>
      <c r="C526" t="s">
        <v>74</v>
      </c>
      <c r="D526" t="s">
        <v>74</v>
      </c>
      <c r="E526" t="s">
        <v>74</v>
      </c>
      <c r="F526" t="s">
        <v>10432</v>
      </c>
      <c r="G526" t="s">
        <v>74</v>
      </c>
      <c r="H526" t="s">
        <v>74</v>
      </c>
      <c r="I526" t="s">
        <v>10433</v>
      </c>
      <c r="J526" t="s">
        <v>10434</v>
      </c>
      <c r="K526" t="s">
        <v>74</v>
      </c>
      <c r="L526" t="s">
        <v>74</v>
      </c>
      <c r="M526" t="s">
        <v>78</v>
      </c>
      <c r="N526" t="s">
        <v>79</v>
      </c>
      <c r="O526" t="s">
        <v>74</v>
      </c>
      <c r="P526" t="s">
        <v>74</v>
      </c>
      <c r="Q526" t="s">
        <v>74</v>
      </c>
      <c r="R526" t="s">
        <v>74</v>
      </c>
      <c r="S526" t="s">
        <v>74</v>
      </c>
      <c r="T526" t="s">
        <v>10435</v>
      </c>
      <c r="U526" t="s">
        <v>10436</v>
      </c>
      <c r="V526" t="s">
        <v>10437</v>
      </c>
      <c r="W526" t="s">
        <v>10438</v>
      </c>
      <c r="X526" t="s">
        <v>10439</v>
      </c>
      <c r="Y526" t="s">
        <v>10440</v>
      </c>
      <c r="Z526" t="s">
        <v>10441</v>
      </c>
      <c r="AA526" t="s">
        <v>10442</v>
      </c>
      <c r="AB526" t="s">
        <v>10443</v>
      </c>
      <c r="AC526" t="s">
        <v>10444</v>
      </c>
      <c r="AD526" t="s">
        <v>4575</v>
      </c>
      <c r="AE526" t="s">
        <v>10445</v>
      </c>
      <c r="AF526" t="s">
        <v>74</v>
      </c>
      <c r="AG526">
        <v>74</v>
      </c>
      <c r="AH526">
        <v>20</v>
      </c>
      <c r="AI526">
        <v>22</v>
      </c>
      <c r="AJ526">
        <v>4</v>
      </c>
      <c r="AK526">
        <v>63</v>
      </c>
      <c r="AL526" t="s">
        <v>7073</v>
      </c>
      <c r="AM526" t="s">
        <v>378</v>
      </c>
      <c r="AN526" t="s">
        <v>7074</v>
      </c>
      <c r="AO526" t="s">
        <v>10446</v>
      </c>
      <c r="AP526" t="s">
        <v>10447</v>
      </c>
      <c r="AQ526" t="s">
        <v>74</v>
      </c>
      <c r="AR526" t="s">
        <v>10448</v>
      </c>
      <c r="AS526" t="s">
        <v>10449</v>
      </c>
      <c r="AT526" t="s">
        <v>10247</v>
      </c>
      <c r="AU526">
        <v>2015</v>
      </c>
      <c r="AV526">
        <v>150</v>
      </c>
      <c r="AW526" t="s">
        <v>74</v>
      </c>
      <c r="AX526" t="s">
        <v>74</v>
      </c>
      <c r="AY526" t="s">
        <v>74</v>
      </c>
      <c r="AZ526" t="s">
        <v>74</v>
      </c>
      <c r="BA526" t="s">
        <v>74</v>
      </c>
      <c r="BB526">
        <v>69</v>
      </c>
      <c r="BC526">
        <v>80</v>
      </c>
      <c r="BD526" t="s">
        <v>74</v>
      </c>
      <c r="BE526" t="s">
        <v>10450</v>
      </c>
      <c r="BF526" t="str">
        <f>HYPERLINK("http://dx.doi.org/10.1016/j.jenvman.2014.11.013","http://dx.doi.org/10.1016/j.jenvman.2014.11.013")</f>
        <v>http://dx.doi.org/10.1016/j.jenvman.2014.11.013</v>
      </c>
      <c r="BG526" t="s">
        <v>74</v>
      </c>
      <c r="BH526" t="s">
        <v>74</v>
      </c>
      <c r="BI526">
        <v>12</v>
      </c>
      <c r="BJ526" t="s">
        <v>2957</v>
      </c>
      <c r="BK526" t="s">
        <v>1019</v>
      </c>
      <c r="BL526" t="s">
        <v>1048</v>
      </c>
      <c r="BM526" t="s">
        <v>10451</v>
      </c>
      <c r="BN526">
        <v>25438114</v>
      </c>
      <c r="BO526" t="s">
        <v>74</v>
      </c>
      <c r="BP526" t="s">
        <v>74</v>
      </c>
      <c r="BQ526" t="s">
        <v>74</v>
      </c>
      <c r="BR526" t="s">
        <v>104</v>
      </c>
      <c r="BS526" t="s">
        <v>10452</v>
      </c>
      <c r="BT526" t="str">
        <f>HYPERLINK("https%3A%2F%2Fwww.webofscience.com%2Fwos%2Fwoscc%2Ffull-record%2FWOS:000349504300008","View Full Record in Web of Science")</f>
        <v>View Full Record in Web of Science</v>
      </c>
    </row>
    <row r="527" spans="1:72" x14ac:dyDescent="0.15">
      <c r="A527" t="s">
        <v>72</v>
      </c>
      <c r="B527" t="s">
        <v>10453</v>
      </c>
      <c r="C527" t="s">
        <v>74</v>
      </c>
      <c r="D527" t="s">
        <v>74</v>
      </c>
      <c r="E527" t="s">
        <v>74</v>
      </c>
      <c r="F527" t="s">
        <v>10454</v>
      </c>
      <c r="G527" t="s">
        <v>74</v>
      </c>
      <c r="H527" t="s">
        <v>74</v>
      </c>
      <c r="I527" t="s">
        <v>10455</v>
      </c>
      <c r="J527" t="s">
        <v>10456</v>
      </c>
      <c r="K527" t="s">
        <v>74</v>
      </c>
      <c r="L527" t="s">
        <v>74</v>
      </c>
      <c r="M527" t="s">
        <v>78</v>
      </c>
      <c r="N527" t="s">
        <v>79</v>
      </c>
      <c r="O527" t="s">
        <v>74</v>
      </c>
      <c r="P527" t="s">
        <v>74</v>
      </c>
      <c r="Q527" t="s">
        <v>74</v>
      </c>
      <c r="R527" t="s">
        <v>74</v>
      </c>
      <c r="S527" t="s">
        <v>74</v>
      </c>
      <c r="T527" t="s">
        <v>10457</v>
      </c>
      <c r="U527" t="s">
        <v>10458</v>
      </c>
      <c r="V527" t="s">
        <v>10459</v>
      </c>
      <c r="W527" t="s">
        <v>10460</v>
      </c>
      <c r="X527" t="s">
        <v>10461</v>
      </c>
      <c r="Y527" t="s">
        <v>10462</v>
      </c>
      <c r="Z527" t="s">
        <v>10463</v>
      </c>
      <c r="AA527" t="s">
        <v>10464</v>
      </c>
      <c r="AB527" t="s">
        <v>74</v>
      </c>
      <c r="AC527" t="s">
        <v>74</v>
      </c>
      <c r="AD527" t="s">
        <v>74</v>
      </c>
      <c r="AE527" t="s">
        <v>74</v>
      </c>
      <c r="AF527" t="s">
        <v>74</v>
      </c>
      <c r="AG527">
        <v>138</v>
      </c>
      <c r="AH527">
        <v>10</v>
      </c>
      <c r="AI527">
        <v>13</v>
      </c>
      <c r="AJ527">
        <v>1</v>
      </c>
      <c r="AK527">
        <v>23</v>
      </c>
      <c r="AL527" t="s">
        <v>2659</v>
      </c>
      <c r="AM527" t="s">
        <v>2660</v>
      </c>
      <c r="AN527" t="s">
        <v>2661</v>
      </c>
      <c r="AO527" t="s">
        <v>10465</v>
      </c>
      <c r="AP527" t="s">
        <v>10466</v>
      </c>
      <c r="AQ527" t="s">
        <v>74</v>
      </c>
      <c r="AR527" t="s">
        <v>10467</v>
      </c>
      <c r="AS527" t="s">
        <v>10468</v>
      </c>
      <c r="AT527" t="s">
        <v>8975</v>
      </c>
      <c r="AU527">
        <v>2015</v>
      </c>
      <c r="AV527">
        <v>15</v>
      </c>
      <c r="AW527">
        <v>1</v>
      </c>
      <c r="AX527" t="s">
        <v>74</v>
      </c>
      <c r="AY527" t="s">
        <v>74</v>
      </c>
      <c r="AZ527" t="s">
        <v>74</v>
      </c>
      <c r="BA527" t="s">
        <v>74</v>
      </c>
      <c r="BB527">
        <v>65</v>
      </c>
      <c r="BC527">
        <v>99</v>
      </c>
      <c r="BD527" t="s">
        <v>74</v>
      </c>
      <c r="BE527" t="s">
        <v>10469</v>
      </c>
      <c r="BF527" t="str">
        <f>HYPERLINK("http://dx.doi.org/10.1007/s13127-014-0193-3","http://dx.doi.org/10.1007/s13127-014-0193-3")</f>
        <v>http://dx.doi.org/10.1007/s13127-014-0193-3</v>
      </c>
      <c r="BG527" t="s">
        <v>74</v>
      </c>
      <c r="BH527" t="s">
        <v>74</v>
      </c>
      <c r="BI527">
        <v>35</v>
      </c>
      <c r="BJ527" t="s">
        <v>3944</v>
      </c>
      <c r="BK527" t="s">
        <v>100</v>
      </c>
      <c r="BL527" t="s">
        <v>3944</v>
      </c>
      <c r="BM527" t="s">
        <v>10470</v>
      </c>
      <c r="BN527" t="s">
        <v>74</v>
      </c>
      <c r="BO527" t="s">
        <v>74</v>
      </c>
      <c r="BP527" t="s">
        <v>74</v>
      </c>
      <c r="BQ527" t="s">
        <v>74</v>
      </c>
      <c r="BR527" t="s">
        <v>104</v>
      </c>
      <c r="BS527" t="s">
        <v>10471</v>
      </c>
      <c r="BT527" t="str">
        <f>HYPERLINK("https%3A%2F%2Fwww.webofscience.com%2Fwos%2Fwoscc%2Ffull-record%2FWOS:000349329000004","View Full Record in Web of Science")</f>
        <v>View Full Record in Web of Science</v>
      </c>
    </row>
    <row r="528" spans="1:72" x14ac:dyDescent="0.15">
      <c r="A528" t="s">
        <v>72</v>
      </c>
      <c r="B528" t="s">
        <v>10472</v>
      </c>
      <c r="C528" t="s">
        <v>74</v>
      </c>
      <c r="D528" t="s">
        <v>74</v>
      </c>
      <c r="E528" t="s">
        <v>74</v>
      </c>
      <c r="F528" t="s">
        <v>10473</v>
      </c>
      <c r="G528" t="s">
        <v>74</v>
      </c>
      <c r="H528" t="s">
        <v>74</v>
      </c>
      <c r="I528" t="s">
        <v>10474</v>
      </c>
      <c r="J528" t="s">
        <v>10475</v>
      </c>
      <c r="K528" t="s">
        <v>74</v>
      </c>
      <c r="L528" t="s">
        <v>74</v>
      </c>
      <c r="M528" t="s">
        <v>78</v>
      </c>
      <c r="N528" t="s">
        <v>79</v>
      </c>
      <c r="O528" t="s">
        <v>74</v>
      </c>
      <c r="P528" t="s">
        <v>74</v>
      </c>
      <c r="Q528" t="s">
        <v>74</v>
      </c>
      <c r="R528" t="s">
        <v>74</v>
      </c>
      <c r="S528" t="s">
        <v>74</v>
      </c>
      <c r="T528" t="s">
        <v>10476</v>
      </c>
      <c r="U528" t="s">
        <v>10477</v>
      </c>
      <c r="V528" t="s">
        <v>10478</v>
      </c>
      <c r="W528" t="s">
        <v>10479</v>
      </c>
      <c r="X528" t="s">
        <v>10480</v>
      </c>
      <c r="Y528" t="s">
        <v>10481</v>
      </c>
      <c r="Z528" t="s">
        <v>10482</v>
      </c>
      <c r="AA528" t="s">
        <v>10483</v>
      </c>
      <c r="AB528" t="s">
        <v>10484</v>
      </c>
      <c r="AC528" t="s">
        <v>10485</v>
      </c>
      <c r="AD528" t="s">
        <v>10485</v>
      </c>
      <c r="AE528" t="s">
        <v>10486</v>
      </c>
      <c r="AF528" t="s">
        <v>74</v>
      </c>
      <c r="AG528">
        <v>34</v>
      </c>
      <c r="AH528">
        <v>39</v>
      </c>
      <c r="AI528">
        <v>40</v>
      </c>
      <c r="AJ528">
        <v>1</v>
      </c>
      <c r="AK528">
        <v>62</v>
      </c>
      <c r="AL528" t="s">
        <v>1158</v>
      </c>
      <c r="AM528" t="s">
        <v>787</v>
      </c>
      <c r="AN528" t="s">
        <v>1159</v>
      </c>
      <c r="AO528" t="s">
        <v>10487</v>
      </c>
      <c r="AP528" t="s">
        <v>10488</v>
      </c>
      <c r="AQ528" t="s">
        <v>74</v>
      </c>
      <c r="AR528" t="s">
        <v>10489</v>
      </c>
      <c r="AS528" t="s">
        <v>10490</v>
      </c>
      <c r="AT528" t="s">
        <v>8975</v>
      </c>
      <c r="AU528">
        <v>2015</v>
      </c>
      <c r="AV528">
        <v>179</v>
      </c>
      <c r="AW528" t="s">
        <v>74</v>
      </c>
      <c r="AX528" t="s">
        <v>74</v>
      </c>
      <c r="AY528" t="s">
        <v>74</v>
      </c>
      <c r="AZ528" t="s">
        <v>74</v>
      </c>
      <c r="BA528" t="s">
        <v>74</v>
      </c>
      <c r="BB528">
        <v>573</v>
      </c>
      <c r="BC528">
        <v>584</v>
      </c>
      <c r="BD528" t="s">
        <v>74</v>
      </c>
      <c r="BE528" t="s">
        <v>10491</v>
      </c>
      <c r="BF528" t="str">
        <f>HYPERLINK("http://dx.doi.org/10.1016/j.biortech.2014.12.070","http://dx.doi.org/10.1016/j.biortech.2014.12.070")</f>
        <v>http://dx.doi.org/10.1016/j.biortech.2014.12.070</v>
      </c>
      <c r="BG528" t="s">
        <v>74</v>
      </c>
      <c r="BH528" t="s">
        <v>74</v>
      </c>
      <c r="BI528">
        <v>12</v>
      </c>
      <c r="BJ528" t="s">
        <v>10492</v>
      </c>
      <c r="BK528" t="s">
        <v>100</v>
      </c>
      <c r="BL528" t="s">
        <v>10493</v>
      </c>
      <c r="BM528" t="s">
        <v>10494</v>
      </c>
      <c r="BN528">
        <v>25590281</v>
      </c>
      <c r="BO528" t="s">
        <v>2481</v>
      </c>
      <c r="BP528" t="s">
        <v>74</v>
      </c>
      <c r="BQ528" t="s">
        <v>74</v>
      </c>
      <c r="BR528" t="s">
        <v>104</v>
      </c>
      <c r="BS528" t="s">
        <v>10495</v>
      </c>
      <c r="BT528" t="str">
        <f>HYPERLINK("https%3A%2F%2Fwww.webofscience.com%2Fwos%2Fwoscc%2Ffull-record%2FWOS:000348041600076","View Full Record in Web of Science")</f>
        <v>View Full Record in Web of Science</v>
      </c>
    </row>
    <row r="529" spans="1:72" x14ac:dyDescent="0.15">
      <c r="A529" t="s">
        <v>72</v>
      </c>
      <c r="B529" t="s">
        <v>10496</v>
      </c>
      <c r="C529" t="s">
        <v>74</v>
      </c>
      <c r="D529" t="s">
        <v>74</v>
      </c>
      <c r="E529" t="s">
        <v>74</v>
      </c>
      <c r="F529" t="s">
        <v>10497</v>
      </c>
      <c r="G529" t="s">
        <v>74</v>
      </c>
      <c r="H529" t="s">
        <v>74</v>
      </c>
      <c r="I529" t="s">
        <v>10498</v>
      </c>
      <c r="J529" t="s">
        <v>10499</v>
      </c>
      <c r="K529" t="s">
        <v>74</v>
      </c>
      <c r="L529" t="s">
        <v>74</v>
      </c>
      <c r="M529" t="s">
        <v>78</v>
      </c>
      <c r="N529" t="s">
        <v>79</v>
      </c>
      <c r="O529" t="s">
        <v>74</v>
      </c>
      <c r="P529" t="s">
        <v>74</v>
      </c>
      <c r="Q529" t="s">
        <v>74</v>
      </c>
      <c r="R529" t="s">
        <v>74</v>
      </c>
      <c r="S529" t="s">
        <v>74</v>
      </c>
      <c r="T529" t="s">
        <v>10500</v>
      </c>
      <c r="U529" t="s">
        <v>10501</v>
      </c>
      <c r="V529" t="s">
        <v>10502</v>
      </c>
      <c r="W529" t="s">
        <v>10503</v>
      </c>
      <c r="X529" t="s">
        <v>10504</v>
      </c>
      <c r="Y529" t="s">
        <v>10505</v>
      </c>
      <c r="Z529" t="s">
        <v>10506</v>
      </c>
      <c r="AA529" t="s">
        <v>10507</v>
      </c>
      <c r="AB529" t="s">
        <v>10508</v>
      </c>
      <c r="AC529" t="s">
        <v>10509</v>
      </c>
      <c r="AD529" t="s">
        <v>10510</v>
      </c>
      <c r="AE529" t="s">
        <v>10511</v>
      </c>
      <c r="AF529" t="s">
        <v>74</v>
      </c>
      <c r="AG529">
        <v>89</v>
      </c>
      <c r="AH529">
        <v>11</v>
      </c>
      <c r="AI529">
        <v>11</v>
      </c>
      <c r="AJ529">
        <v>0</v>
      </c>
      <c r="AK529">
        <v>29</v>
      </c>
      <c r="AL529" t="s">
        <v>120</v>
      </c>
      <c r="AM529" t="s">
        <v>121</v>
      </c>
      <c r="AN529" t="s">
        <v>122</v>
      </c>
      <c r="AO529" t="s">
        <v>10512</v>
      </c>
      <c r="AP529" t="s">
        <v>10513</v>
      </c>
      <c r="AQ529" t="s">
        <v>74</v>
      </c>
      <c r="AR529" t="s">
        <v>10514</v>
      </c>
      <c r="AS529" t="s">
        <v>10515</v>
      </c>
      <c r="AT529" t="s">
        <v>8975</v>
      </c>
      <c r="AU529">
        <v>2015</v>
      </c>
      <c r="AV529">
        <v>98</v>
      </c>
      <c r="AW529">
        <v>3</v>
      </c>
      <c r="AX529" t="s">
        <v>74</v>
      </c>
      <c r="AY529" t="s">
        <v>74</v>
      </c>
      <c r="AZ529" t="s">
        <v>74</v>
      </c>
      <c r="BA529" t="s">
        <v>74</v>
      </c>
      <c r="BB529">
        <v>775</v>
      </c>
      <c r="BC529">
        <v>788</v>
      </c>
      <c r="BD529" t="s">
        <v>74</v>
      </c>
      <c r="BE529" t="s">
        <v>10516</v>
      </c>
      <c r="BF529" t="str">
        <f>HYPERLINK("http://dx.doi.org/10.1007/s10641-014-0311-2","http://dx.doi.org/10.1007/s10641-014-0311-2")</f>
        <v>http://dx.doi.org/10.1007/s10641-014-0311-2</v>
      </c>
      <c r="BG529" t="s">
        <v>74</v>
      </c>
      <c r="BH529" t="s">
        <v>74</v>
      </c>
      <c r="BI529">
        <v>14</v>
      </c>
      <c r="BJ529" t="s">
        <v>3292</v>
      </c>
      <c r="BK529" t="s">
        <v>100</v>
      </c>
      <c r="BL529" t="s">
        <v>3293</v>
      </c>
      <c r="BM529" t="s">
        <v>10517</v>
      </c>
      <c r="BN529" t="s">
        <v>74</v>
      </c>
      <c r="BO529" t="s">
        <v>74</v>
      </c>
      <c r="BP529" t="s">
        <v>74</v>
      </c>
      <c r="BQ529" t="s">
        <v>74</v>
      </c>
      <c r="BR529" t="s">
        <v>104</v>
      </c>
      <c r="BS529" t="s">
        <v>10518</v>
      </c>
      <c r="BT529" t="str">
        <f>HYPERLINK("https%3A%2F%2Fwww.webofscience.com%2Fwos%2Fwoscc%2Ffull-record%2FWOS:000349029800003","View Full Record in Web of Science")</f>
        <v>View Full Record in Web of Science</v>
      </c>
    </row>
    <row r="530" spans="1:72" x14ac:dyDescent="0.15">
      <c r="A530" t="s">
        <v>72</v>
      </c>
      <c r="B530" t="s">
        <v>10519</v>
      </c>
      <c r="C530" t="s">
        <v>74</v>
      </c>
      <c r="D530" t="s">
        <v>74</v>
      </c>
      <c r="E530" t="s">
        <v>74</v>
      </c>
      <c r="F530" t="s">
        <v>10520</v>
      </c>
      <c r="G530" t="s">
        <v>74</v>
      </c>
      <c r="H530" t="s">
        <v>74</v>
      </c>
      <c r="I530" t="s">
        <v>10521</v>
      </c>
      <c r="J530" t="s">
        <v>10522</v>
      </c>
      <c r="K530" t="s">
        <v>74</v>
      </c>
      <c r="L530" t="s">
        <v>74</v>
      </c>
      <c r="M530" t="s">
        <v>78</v>
      </c>
      <c r="N530" t="s">
        <v>79</v>
      </c>
      <c r="O530" t="s">
        <v>74</v>
      </c>
      <c r="P530" t="s">
        <v>74</v>
      </c>
      <c r="Q530" t="s">
        <v>74</v>
      </c>
      <c r="R530" t="s">
        <v>74</v>
      </c>
      <c r="S530" t="s">
        <v>74</v>
      </c>
      <c r="T530" t="s">
        <v>10523</v>
      </c>
      <c r="U530" t="s">
        <v>10524</v>
      </c>
      <c r="V530" t="s">
        <v>10525</v>
      </c>
      <c r="W530" t="s">
        <v>10526</v>
      </c>
      <c r="X530" t="s">
        <v>10527</v>
      </c>
      <c r="Y530" t="s">
        <v>10528</v>
      </c>
      <c r="Z530" t="s">
        <v>10529</v>
      </c>
      <c r="AA530" t="s">
        <v>10530</v>
      </c>
      <c r="AB530" t="s">
        <v>74</v>
      </c>
      <c r="AC530" t="s">
        <v>10531</v>
      </c>
      <c r="AD530" t="s">
        <v>10532</v>
      </c>
      <c r="AE530" t="s">
        <v>10533</v>
      </c>
      <c r="AF530" t="s">
        <v>74</v>
      </c>
      <c r="AG530">
        <v>33</v>
      </c>
      <c r="AH530">
        <v>12</v>
      </c>
      <c r="AI530">
        <v>12</v>
      </c>
      <c r="AJ530">
        <v>1</v>
      </c>
      <c r="AK530">
        <v>24</v>
      </c>
      <c r="AL530" t="s">
        <v>10534</v>
      </c>
      <c r="AM530" t="s">
        <v>10535</v>
      </c>
      <c r="AN530" t="s">
        <v>10536</v>
      </c>
      <c r="AO530" t="s">
        <v>10537</v>
      </c>
      <c r="AP530" t="s">
        <v>10538</v>
      </c>
      <c r="AQ530" t="s">
        <v>74</v>
      </c>
      <c r="AR530" t="s">
        <v>10539</v>
      </c>
      <c r="AS530" t="s">
        <v>10540</v>
      </c>
      <c r="AT530" t="s">
        <v>8975</v>
      </c>
      <c r="AU530">
        <v>2015</v>
      </c>
      <c r="AV530">
        <v>30</v>
      </c>
      <c r="AW530">
        <v>1</v>
      </c>
      <c r="AX530" t="s">
        <v>74</v>
      </c>
      <c r="AY530" t="s">
        <v>74</v>
      </c>
      <c r="AZ530" t="s">
        <v>74</v>
      </c>
      <c r="BA530" t="s">
        <v>74</v>
      </c>
      <c r="BB530">
        <v>35</v>
      </c>
      <c r="BC530">
        <v>47</v>
      </c>
      <c r="BD530" t="s">
        <v>74</v>
      </c>
      <c r="BE530" t="s">
        <v>10541</v>
      </c>
      <c r="BF530" t="str">
        <f>HYPERLINK("http://dx.doi.org/10.4490/algae.2015.30.1.035","http://dx.doi.org/10.4490/algae.2015.30.1.035")</f>
        <v>http://dx.doi.org/10.4490/algae.2015.30.1.035</v>
      </c>
      <c r="BG530" t="s">
        <v>74</v>
      </c>
      <c r="BH530" t="s">
        <v>74</v>
      </c>
      <c r="BI530">
        <v>13</v>
      </c>
      <c r="BJ530" t="s">
        <v>7657</v>
      </c>
      <c r="BK530" t="s">
        <v>100</v>
      </c>
      <c r="BL530" t="s">
        <v>7657</v>
      </c>
      <c r="BM530" t="s">
        <v>10542</v>
      </c>
      <c r="BN530" t="s">
        <v>74</v>
      </c>
      <c r="BO530" t="s">
        <v>156</v>
      </c>
      <c r="BP530" t="s">
        <v>74</v>
      </c>
      <c r="BQ530" t="s">
        <v>74</v>
      </c>
      <c r="BR530" t="s">
        <v>104</v>
      </c>
      <c r="BS530" t="s">
        <v>10543</v>
      </c>
      <c r="BT530" t="str">
        <f>HYPERLINK("https%3A%2F%2Fwww.webofscience.com%2Fwos%2Fwoscc%2Ffull-record%2FWOS:000352180600003","View Full Record in Web of Science")</f>
        <v>View Full Record in Web of Science</v>
      </c>
    </row>
    <row r="531" spans="1:72" x14ac:dyDescent="0.15">
      <c r="A531" t="s">
        <v>72</v>
      </c>
      <c r="B531" t="s">
        <v>10544</v>
      </c>
      <c r="C531" t="s">
        <v>74</v>
      </c>
      <c r="D531" t="s">
        <v>74</v>
      </c>
      <c r="E531" t="s">
        <v>74</v>
      </c>
      <c r="F531" t="s">
        <v>10545</v>
      </c>
      <c r="G531" t="s">
        <v>74</v>
      </c>
      <c r="H531" t="s">
        <v>74</v>
      </c>
      <c r="I531" t="s">
        <v>10546</v>
      </c>
      <c r="J531" t="s">
        <v>10547</v>
      </c>
      <c r="K531" t="s">
        <v>74</v>
      </c>
      <c r="L531" t="s">
        <v>74</v>
      </c>
      <c r="M531" t="s">
        <v>78</v>
      </c>
      <c r="N531" t="s">
        <v>79</v>
      </c>
      <c r="O531" t="s">
        <v>74</v>
      </c>
      <c r="P531" t="s">
        <v>74</v>
      </c>
      <c r="Q531" t="s">
        <v>74</v>
      </c>
      <c r="R531" t="s">
        <v>74</v>
      </c>
      <c r="S531" t="s">
        <v>74</v>
      </c>
      <c r="T531" t="s">
        <v>10548</v>
      </c>
      <c r="U531" t="s">
        <v>74</v>
      </c>
      <c r="V531" t="s">
        <v>10549</v>
      </c>
      <c r="W531" t="s">
        <v>10550</v>
      </c>
      <c r="X531" t="s">
        <v>4873</v>
      </c>
      <c r="Y531" t="s">
        <v>10551</v>
      </c>
      <c r="Z531" t="s">
        <v>4875</v>
      </c>
      <c r="AA531" t="s">
        <v>4876</v>
      </c>
      <c r="AB531" t="s">
        <v>10552</v>
      </c>
      <c r="AC531" t="s">
        <v>10553</v>
      </c>
      <c r="AD531" t="s">
        <v>4879</v>
      </c>
      <c r="AE531" t="s">
        <v>10554</v>
      </c>
      <c r="AF531" t="s">
        <v>74</v>
      </c>
      <c r="AG531">
        <v>14</v>
      </c>
      <c r="AH531">
        <v>8</v>
      </c>
      <c r="AI531">
        <v>11</v>
      </c>
      <c r="AJ531">
        <v>1</v>
      </c>
      <c r="AK531">
        <v>22</v>
      </c>
      <c r="AL531" t="s">
        <v>10555</v>
      </c>
      <c r="AM531" t="s">
        <v>10556</v>
      </c>
      <c r="AN531" t="s">
        <v>10557</v>
      </c>
      <c r="AO531" t="s">
        <v>10558</v>
      </c>
      <c r="AP531" t="s">
        <v>10559</v>
      </c>
      <c r="AQ531" t="s">
        <v>74</v>
      </c>
      <c r="AR531" t="s">
        <v>10560</v>
      </c>
      <c r="AS531" t="s">
        <v>10561</v>
      </c>
      <c r="AT531" t="s">
        <v>8975</v>
      </c>
      <c r="AU531">
        <v>2015</v>
      </c>
      <c r="AV531">
        <v>33</v>
      </c>
      <c r="AW531">
        <v>1</v>
      </c>
      <c r="AX531" t="s">
        <v>74</v>
      </c>
      <c r="AY531" t="s">
        <v>74</v>
      </c>
      <c r="AZ531" t="s">
        <v>74</v>
      </c>
      <c r="BA531" t="s">
        <v>74</v>
      </c>
      <c r="BB531">
        <v>118</v>
      </c>
      <c r="BC531">
        <v>120</v>
      </c>
      <c r="BD531" t="s">
        <v>74</v>
      </c>
      <c r="BE531" t="s">
        <v>10562</v>
      </c>
      <c r="BF531" t="str">
        <f>HYPERLINK("http://dx.doi.org/10.4003/006.033.0108","http://dx.doi.org/10.4003/006.033.0108")</f>
        <v>http://dx.doi.org/10.4003/006.033.0108</v>
      </c>
      <c r="BG531" t="s">
        <v>74</v>
      </c>
      <c r="BH531" t="s">
        <v>74</v>
      </c>
      <c r="BI531">
        <v>3</v>
      </c>
      <c r="BJ531" t="s">
        <v>3378</v>
      </c>
      <c r="BK531" t="s">
        <v>100</v>
      </c>
      <c r="BL531" t="s">
        <v>3378</v>
      </c>
      <c r="BM531" t="s">
        <v>10563</v>
      </c>
      <c r="BN531" t="s">
        <v>74</v>
      </c>
      <c r="BO531" t="s">
        <v>74</v>
      </c>
      <c r="BP531" t="s">
        <v>74</v>
      </c>
      <c r="BQ531" t="s">
        <v>74</v>
      </c>
      <c r="BR531" t="s">
        <v>104</v>
      </c>
      <c r="BS531" t="s">
        <v>10564</v>
      </c>
      <c r="BT531" t="str">
        <f>HYPERLINK("https%3A%2F%2Fwww.webofscience.com%2Fwos%2Fwoscc%2Ffull-record%2FWOS:000351417000013","View Full Record in Web of Science")</f>
        <v>View Full Record in Web of Science</v>
      </c>
    </row>
    <row r="532" spans="1:72" x14ac:dyDescent="0.15">
      <c r="A532" t="s">
        <v>72</v>
      </c>
      <c r="B532" t="s">
        <v>10565</v>
      </c>
      <c r="C532" t="s">
        <v>74</v>
      </c>
      <c r="D532" t="s">
        <v>74</v>
      </c>
      <c r="E532" t="s">
        <v>74</v>
      </c>
      <c r="F532" t="s">
        <v>10566</v>
      </c>
      <c r="G532" t="s">
        <v>74</v>
      </c>
      <c r="H532" t="s">
        <v>74</v>
      </c>
      <c r="I532" t="s">
        <v>10567</v>
      </c>
      <c r="J532" t="s">
        <v>10568</v>
      </c>
      <c r="K532" t="s">
        <v>74</v>
      </c>
      <c r="L532" t="s">
        <v>74</v>
      </c>
      <c r="M532" t="s">
        <v>78</v>
      </c>
      <c r="N532" t="s">
        <v>79</v>
      </c>
      <c r="O532" t="s">
        <v>74</v>
      </c>
      <c r="P532" t="s">
        <v>74</v>
      </c>
      <c r="Q532" t="s">
        <v>74</v>
      </c>
      <c r="R532" t="s">
        <v>74</v>
      </c>
      <c r="S532" t="s">
        <v>74</v>
      </c>
      <c r="T532" t="s">
        <v>10569</v>
      </c>
      <c r="U532" t="s">
        <v>10570</v>
      </c>
      <c r="V532" t="s">
        <v>10571</v>
      </c>
      <c r="W532" t="s">
        <v>10572</v>
      </c>
      <c r="X532" t="s">
        <v>10573</v>
      </c>
      <c r="Y532" t="s">
        <v>10574</v>
      </c>
      <c r="Z532" t="s">
        <v>10575</v>
      </c>
      <c r="AA532" t="s">
        <v>10576</v>
      </c>
      <c r="AB532" t="s">
        <v>10577</v>
      </c>
      <c r="AC532" t="s">
        <v>10578</v>
      </c>
      <c r="AD532" t="s">
        <v>10579</v>
      </c>
      <c r="AE532" t="s">
        <v>10580</v>
      </c>
      <c r="AF532" t="s">
        <v>74</v>
      </c>
      <c r="AG532">
        <v>61</v>
      </c>
      <c r="AH532">
        <v>25</v>
      </c>
      <c r="AI532">
        <v>26</v>
      </c>
      <c r="AJ532">
        <v>2</v>
      </c>
      <c r="AK532">
        <v>91</v>
      </c>
      <c r="AL532" t="s">
        <v>120</v>
      </c>
      <c r="AM532" t="s">
        <v>121</v>
      </c>
      <c r="AN532" t="s">
        <v>1304</v>
      </c>
      <c r="AO532" t="s">
        <v>10581</v>
      </c>
      <c r="AP532" t="s">
        <v>10582</v>
      </c>
      <c r="AQ532" t="s">
        <v>74</v>
      </c>
      <c r="AR532" t="s">
        <v>10583</v>
      </c>
      <c r="AS532" t="s">
        <v>10584</v>
      </c>
      <c r="AT532" t="s">
        <v>8975</v>
      </c>
      <c r="AU532">
        <v>2015</v>
      </c>
      <c r="AV532">
        <v>197</v>
      </c>
      <c r="AW532">
        <v>2</v>
      </c>
      <c r="AX532" t="s">
        <v>74</v>
      </c>
      <c r="AY532" t="s">
        <v>74</v>
      </c>
      <c r="AZ532" t="s">
        <v>74</v>
      </c>
      <c r="BA532" t="s">
        <v>74</v>
      </c>
      <c r="BB532">
        <v>165</v>
      </c>
      <c r="BC532">
        <v>179</v>
      </c>
      <c r="BD532" t="s">
        <v>74</v>
      </c>
      <c r="BE532" t="s">
        <v>10585</v>
      </c>
      <c r="BF532" t="str">
        <f>HYPERLINK("http://dx.doi.org/10.1007/s00203-014-1035-6","http://dx.doi.org/10.1007/s00203-014-1035-6")</f>
        <v>http://dx.doi.org/10.1007/s00203-014-1035-6</v>
      </c>
      <c r="BG532" t="s">
        <v>74</v>
      </c>
      <c r="BH532" t="s">
        <v>74</v>
      </c>
      <c r="BI532">
        <v>15</v>
      </c>
      <c r="BJ532" t="s">
        <v>483</v>
      </c>
      <c r="BK532" t="s">
        <v>100</v>
      </c>
      <c r="BL532" t="s">
        <v>483</v>
      </c>
      <c r="BM532" t="s">
        <v>10586</v>
      </c>
      <c r="BN532">
        <v>25205422</v>
      </c>
      <c r="BO532" t="s">
        <v>74</v>
      </c>
      <c r="BP532" t="s">
        <v>74</v>
      </c>
      <c r="BQ532" t="s">
        <v>74</v>
      </c>
      <c r="BR532" t="s">
        <v>104</v>
      </c>
      <c r="BS532" t="s">
        <v>10587</v>
      </c>
      <c r="BT532" t="str">
        <f>HYPERLINK("https%3A%2F%2Fwww.webofscience.com%2Fwos%2Fwoscc%2Ffull-record%2FWOS:000349391400005","View Full Record in Web of Science")</f>
        <v>View Full Record in Web of Science</v>
      </c>
    </row>
    <row r="533" spans="1:72" x14ac:dyDescent="0.15">
      <c r="A533" t="s">
        <v>72</v>
      </c>
      <c r="B533" t="s">
        <v>10588</v>
      </c>
      <c r="C533" t="s">
        <v>74</v>
      </c>
      <c r="D533" t="s">
        <v>74</v>
      </c>
      <c r="E533" t="s">
        <v>74</v>
      </c>
      <c r="F533" t="s">
        <v>10589</v>
      </c>
      <c r="G533" t="s">
        <v>74</v>
      </c>
      <c r="H533" t="s">
        <v>74</v>
      </c>
      <c r="I533" t="s">
        <v>10590</v>
      </c>
      <c r="J533" t="s">
        <v>2288</v>
      </c>
      <c r="K533" t="s">
        <v>74</v>
      </c>
      <c r="L533" t="s">
        <v>74</v>
      </c>
      <c r="M533" t="s">
        <v>78</v>
      </c>
      <c r="N533" t="s">
        <v>79</v>
      </c>
      <c r="O533" t="s">
        <v>74</v>
      </c>
      <c r="P533" t="s">
        <v>74</v>
      </c>
      <c r="Q533" t="s">
        <v>74</v>
      </c>
      <c r="R533" t="s">
        <v>74</v>
      </c>
      <c r="S533" t="s">
        <v>74</v>
      </c>
      <c r="T533" t="s">
        <v>2289</v>
      </c>
      <c r="U533" t="s">
        <v>10591</v>
      </c>
      <c r="V533" t="s">
        <v>10592</v>
      </c>
      <c r="W533" t="s">
        <v>10593</v>
      </c>
      <c r="X533" t="s">
        <v>10594</v>
      </c>
      <c r="Y533" t="s">
        <v>2294</v>
      </c>
      <c r="Z533" t="s">
        <v>10595</v>
      </c>
      <c r="AA533" t="s">
        <v>10596</v>
      </c>
      <c r="AB533" t="s">
        <v>10597</v>
      </c>
      <c r="AC533" t="s">
        <v>10598</v>
      </c>
      <c r="AD533" t="s">
        <v>2299</v>
      </c>
      <c r="AE533" t="s">
        <v>10599</v>
      </c>
      <c r="AF533" t="s">
        <v>74</v>
      </c>
      <c r="AG533">
        <v>65</v>
      </c>
      <c r="AH533">
        <v>45</v>
      </c>
      <c r="AI533">
        <v>47</v>
      </c>
      <c r="AJ533">
        <v>0</v>
      </c>
      <c r="AK533">
        <v>10</v>
      </c>
      <c r="AL533" t="s">
        <v>621</v>
      </c>
      <c r="AM533" t="s">
        <v>622</v>
      </c>
      <c r="AN533" t="s">
        <v>623</v>
      </c>
      <c r="AO533" t="s">
        <v>2301</v>
      </c>
      <c r="AP533" t="s">
        <v>2302</v>
      </c>
      <c r="AQ533" t="s">
        <v>74</v>
      </c>
      <c r="AR533" t="s">
        <v>2303</v>
      </c>
      <c r="AS533" t="s">
        <v>2304</v>
      </c>
      <c r="AT533" t="s">
        <v>8975</v>
      </c>
      <c r="AU533">
        <v>2015</v>
      </c>
      <c r="AV533">
        <v>149</v>
      </c>
      <c r="AW533">
        <v>3</v>
      </c>
      <c r="AX533" t="s">
        <v>74</v>
      </c>
      <c r="AY533" t="s">
        <v>74</v>
      </c>
      <c r="AZ533" t="s">
        <v>74</v>
      </c>
      <c r="BA533" t="s">
        <v>74</v>
      </c>
      <c r="BB533" t="s">
        <v>74</v>
      </c>
      <c r="BC533" t="s">
        <v>74</v>
      </c>
      <c r="BD533">
        <v>102</v>
      </c>
      <c r="BE533" t="s">
        <v>10600</v>
      </c>
      <c r="BF533" t="str">
        <f>HYPERLINK("http://dx.doi.org/10.1088/0004-6256/149/3/102","http://dx.doi.org/10.1088/0004-6256/149/3/102")</f>
        <v>http://dx.doi.org/10.1088/0004-6256/149/3/102</v>
      </c>
      <c r="BG533" t="s">
        <v>74</v>
      </c>
      <c r="BH533" t="s">
        <v>74</v>
      </c>
      <c r="BI533">
        <v>11</v>
      </c>
      <c r="BJ533" t="s">
        <v>246</v>
      </c>
      <c r="BK533" t="s">
        <v>100</v>
      </c>
      <c r="BL533" t="s">
        <v>246</v>
      </c>
      <c r="BM533" t="s">
        <v>10601</v>
      </c>
      <c r="BN533" t="s">
        <v>74</v>
      </c>
      <c r="BO533" t="s">
        <v>103</v>
      </c>
      <c r="BP533" t="s">
        <v>74</v>
      </c>
      <c r="BQ533" t="s">
        <v>74</v>
      </c>
      <c r="BR533" t="s">
        <v>104</v>
      </c>
      <c r="BS533" t="s">
        <v>10602</v>
      </c>
      <c r="BT533" t="str">
        <f>HYPERLINK("https%3A%2F%2Fwww.webofscience.com%2Fwos%2Fwoscc%2Ffull-record%2FWOS:000352304000013","View Full Record in Web of Science")</f>
        <v>View Full Record in Web of Science</v>
      </c>
    </row>
    <row r="534" spans="1:72" x14ac:dyDescent="0.15">
      <c r="A534" t="s">
        <v>72</v>
      </c>
      <c r="B534" t="s">
        <v>10603</v>
      </c>
      <c r="C534" t="s">
        <v>74</v>
      </c>
      <c r="D534" t="s">
        <v>74</v>
      </c>
      <c r="E534" t="s">
        <v>74</v>
      </c>
      <c r="F534" t="s">
        <v>10604</v>
      </c>
      <c r="G534" t="s">
        <v>74</v>
      </c>
      <c r="H534" t="s">
        <v>74</v>
      </c>
      <c r="I534" t="s">
        <v>10605</v>
      </c>
      <c r="J534" t="s">
        <v>10606</v>
      </c>
      <c r="K534" t="s">
        <v>74</v>
      </c>
      <c r="L534" t="s">
        <v>74</v>
      </c>
      <c r="M534" t="s">
        <v>78</v>
      </c>
      <c r="N534" t="s">
        <v>79</v>
      </c>
      <c r="O534" t="s">
        <v>74</v>
      </c>
      <c r="P534" t="s">
        <v>74</v>
      </c>
      <c r="Q534" t="s">
        <v>74</v>
      </c>
      <c r="R534" t="s">
        <v>74</v>
      </c>
      <c r="S534" t="s">
        <v>74</v>
      </c>
      <c r="T534" t="s">
        <v>10607</v>
      </c>
      <c r="U534" t="s">
        <v>10608</v>
      </c>
      <c r="V534" t="s">
        <v>10609</v>
      </c>
      <c r="W534" t="s">
        <v>10610</v>
      </c>
      <c r="X534" t="s">
        <v>10611</v>
      </c>
      <c r="Y534" t="s">
        <v>10612</v>
      </c>
      <c r="Z534" t="s">
        <v>10613</v>
      </c>
      <c r="AA534" t="s">
        <v>10614</v>
      </c>
      <c r="AB534" t="s">
        <v>10615</v>
      </c>
      <c r="AC534" t="s">
        <v>10616</v>
      </c>
      <c r="AD534" t="s">
        <v>10617</v>
      </c>
      <c r="AE534" t="s">
        <v>10618</v>
      </c>
      <c r="AF534" t="s">
        <v>74</v>
      </c>
      <c r="AG534">
        <v>38</v>
      </c>
      <c r="AH534">
        <v>18</v>
      </c>
      <c r="AI534">
        <v>22</v>
      </c>
      <c r="AJ534">
        <v>1</v>
      </c>
      <c r="AK534">
        <v>8</v>
      </c>
      <c r="AL534" t="s">
        <v>815</v>
      </c>
      <c r="AM534" t="s">
        <v>816</v>
      </c>
      <c r="AN534" t="s">
        <v>817</v>
      </c>
      <c r="AO534" t="s">
        <v>10619</v>
      </c>
      <c r="AP534" t="s">
        <v>10620</v>
      </c>
      <c r="AQ534" t="s">
        <v>74</v>
      </c>
      <c r="AR534" t="s">
        <v>10621</v>
      </c>
      <c r="AS534" t="s">
        <v>10622</v>
      </c>
      <c r="AT534" t="s">
        <v>8975</v>
      </c>
      <c r="AU534">
        <v>2015</v>
      </c>
      <c r="AV534">
        <v>62</v>
      </c>
      <c r="AW534" t="s">
        <v>74</v>
      </c>
      <c r="AX534" t="s">
        <v>74</v>
      </c>
      <c r="AY534" t="s">
        <v>74</v>
      </c>
      <c r="AZ534" t="s">
        <v>74</v>
      </c>
      <c r="BA534" t="s">
        <v>74</v>
      </c>
      <c r="BB534">
        <v>139</v>
      </c>
      <c r="BC534">
        <v>151</v>
      </c>
      <c r="BD534" t="s">
        <v>74</v>
      </c>
      <c r="BE534" t="s">
        <v>10623</v>
      </c>
      <c r="BF534" t="str">
        <f>HYPERLINK("http://dx.doi.org/10.1016/j.astropartphys.2014.09.002","http://dx.doi.org/10.1016/j.astropartphys.2014.09.002")</f>
        <v>http://dx.doi.org/10.1016/j.astropartphys.2014.09.002</v>
      </c>
      <c r="BG534" t="s">
        <v>74</v>
      </c>
      <c r="BH534" t="s">
        <v>74</v>
      </c>
      <c r="BI534">
        <v>13</v>
      </c>
      <c r="BJ534" t="s">
        <v>10624</v>
      </c>
      <c r="BK534" t="s">
        <v>100</v>
      </c>
      <c r="BL534" t="s">
        <v>10625</v>
      </c>
      <c r="BM534" t="s">
        <v>10626</v>
      </c>
      <c r="BN534" t="s">
        <v>74</v>
      </c>
      <c r="BO534" t="s">
        <v>248</v>
      </c>
      <c r="BP534" t="s">
        <v>74</v>
      </c>
      <c r="BQ534" t="s">
        <v>74</v>
      </c>
      <c r="BR534" t="s">
        <v>104</v>
      </c>
      <c r="BS534" t="s">
        <v>10627</v>
      </c>
      <c r="BT534" t="str">
        <f>HYPERLINK("https%3A%2F%2Fwww.webofscience.com%2Fwos%2Fwoscc%2Ffull-record%2FWOS:000346548200017","View Full Record in Web of Science")</f>
        <v>View Full Record in Web of Science</v>
      </c>
    </row>
    <row r="535" spans="1:72" x14ac:dyDescent="0.15">
      <c r="A535" t="s">
        <v>72</v>
      </c>
      <c r="B535" t="s">
        <v>10628</v>
      </c>
      <c r="C535" t="s">
        <v>74</v>
      </c>
      <c r="D535" t="s">
        <v>74</v>
      </c>
      <c r="E535" t="s">
        <v>74</v>
      </c>
      <c r="F535" t="s">
        <v>10629</v>
      </c>
      <c r="G535" t="s">
        <v>74</v>
      </c>
      <c r="H535" t="s">
        <v>74</v>
      </c>
      <c r="I535" t="s">
        <v>10630</v>
      </c>
      <c r="J535" t="s">
        <v>7218</v>
      </c>
      <c r="K535" t="s">
        <v>74</v>
      </c>
      <c r="L535" t="s">
        <v>74</v>
      </c>
      <c r="M535" t="s">
        <v>78</v>
      </c>
      <c r="N535" t="s">
        <v>79</v>
      </c>
      <c r="O535" t="s">
        <v>74</v>
      </c>
      <c r="P535" t="s">
        <v>74</v>
      </c>
      <c r="Q535" t="s">
        <v>74</v>
      </c>
      <c r="R535" t="s">
        <v>74</v>
      </c>
      <c r="S535" t="s">
        <v>74</v>
      </c>
      <c r="T535" t="s">
        <v>10631</v>
      </c>
      <c r="U535" t="s">
        <v>10632</v>
      </c>
      <c r="V535" t="s">
        <v>10633</v>
      </c>
      <c r="W535" t="s">
        <v>10634</v>
      </c>
      <c r="X535" t="s">
        <v>10635</v>
      </c>
      <c r="Y535" t="s">
        <v>10636</v>
      </c>
      <c r="Z535" t="s">
        <v>10637</v>
      </c>
      <c r="AA535" t="s">
        <v>10638</v>
      </c>
      <c r="AB535" t="s">
        <v>10639</v>
      </c>
      <c r="AC535" t="s">
        <v>10640</v>
      </c>
      <c r="AD535" t="s">
        <v>10641</v>
      </c>
      <c r="AE535" t="s">
        <v>10642</v>
      </c>
      <c r="AF535" t="s">
        <v>74</v>
      </c>
      <c r="AG535">
        <v>50</v>
      </c>
      <c r="AH535">
        <v>26</v>
      </c>
      <c r="AI535">
        <v>27</v>
      </c>
      <c r="AJ535">
        <v>1</v>
      </c>
      <c r="AK535">
        <v>66</v>
      </c>
      <c r="AL535" t="s">
        <v>1508</v>
      </c>
      <c r="AM535" t="s">
        <v>92</v>
      </c>
      <c r="AN535" t="s">
        <v>93</v>
      </c>
      <c r="AO535" t="s">
        <v>7231</v>
      </c>
      <c r="AP535" t="s">
        <v>7232</v>
      </c>
      <c r="AQ535" t="s">
        <v>74</v>
      </c>
      <c r="AR535" t="s">
        <v>7233</v>
      </c>
      <c r="AS535" t="s">
        <v>7234</v>
      </c>
      <c r="AT535" t="s">
        <v>8975</v>
      </c>
      <c r="AU535">
        <v>2015</v>
      </c>
      <c r="AV535">
        <v>114</v>
      </c>
      <c r="AW535">
        <v>3</v>
      </c>
      <c r="AX535" t="s">
        <v>74</v>
      </c>
      <c r="AY535" t="s">
        <v>74</v>
      </c>
      <c r="AZ535" t="s">
        <v>74</v>
      </c>
      <c r="BA535" t="s">
        <v>74</v>
      </c>
      <c r="BB535">
        <v>513</v>
      </c>
      <c r="BC535">
        <v>526</v>
      </c>
      <c r="BD535" t="s">
        <v>74</v>
      </c>
      <c r="BE535" t="s">
        <v>10643</v>
      </c>
      <c r="BF535" t="str">
        <f>HYPERLINK("http://dx.doi.org/10.1111/bij.12454","http://dx.doi.org/10.1111/bij.12454")</f>
        <v>http://dx.doi.org/10.1111/bij.12454</v>
      </c>
      <c r="BG535" t="s">
        <v>74</v>
      </c>
      <c r="BH535" t="s">
        <v>74</v>
      </c>
      <c r="BI535">
        <v>14</v>
      </c>
      <c r="BJ535" t="s">
        <v>3894</v>
      </c>
      <c r="BK535" t="s">
        <v>100</v>
      </c>
      <c r="BL535" t="s">
        <v>3894</v>
      </c>
      <c r="BM535" t="s">
        <v>10644</v>
      </c>
      <c r="BN535" t="s">
        <v>74</v>
      </c>
      <c r="BO535" t="s">
        <v>156</v>
      </c>
      <c r="BP535" t="s">
        <v>74</v>
      </c>
      <c r="BQ535" t="s">
        <v>74</v>
      </c>
      <c r="BR535" t="s">
        <v>104</v>
      </c>
      <c r="BS535" t="s">
        <v>10645</v>
      </c>
      <c r="BT535" t="str">
        <f>HYPERLINK("https%3A%2F%2Fwww.webofscience.com%2Fwos%2Fwoscc%2Ffull-record%2FWOS:000349749100003","View Full Record in Web of Science")</f>
        <v>View Full Record in Web of Science</v>
      </c>
    </row>
    <row r="536" spans="1:72" x14ac:dyDescent="0.15">
      <c r="A536" t="s">
        <v>72</v>
      </c>
      <c r="B536" t="s">
        <v>10646</v>
      </c>
      <c r="C536" t="s">
        <v>74</v>
      </c>
      <c r="D536" t="s">
        <v>74</v>
      </c>
      <c r="E536" t="s">
        <v>74</v>
      </c>
      <c r="F536" t="s">
        <v>10647</v>
      </c>
      <c r="G536" t="s">
        <v>74</v>
      </c>
      <c r="H536" t="s">
        <v>74</v>
      </c>
      <c r="I536" t="s">
        <v>10648</v>
      </c>
      <c r="J536" t="s">
        <v>10649</v>
      </c>
      <c r="K536" t="s">
        <v>74</v>
      </c>
      <c r="L536" t="s">
        <v>74</v>
      </c>
      <c r="M536" t="s">
        <v>78</v>
      </c>
      <c r="N536" t="s">
        <v>2805</v>
      </c>
      <c r="O536" t="s">
        <v>74</v>
      </c>
      <c r="P536" t="s">
        <v>74</v>
      </c>
      <c r="Q536" t="s">
        <v>74</v>
      </c>
      <c r="R536" t="s">
        <v>74</v>
      </c>
      <c r="S536" t="s">
        <v>74</v>
      </c>
      <c r="T536" t="s">
        <v>74</v>
      </c>
      <c r="U536" t="s">
        <v>74</v>
      </c>
      <c r="V536" t="s">
        <v>74</v>
      </c>
      <c r="W536" t="s">
        <v>10650</v>
      </c>
      <c r="X536" t="s">
        <v>2514</v>
      </c>
      <c r="Y536" t="s">
        <v>10651</v>
      </c>
      <c r="Z536" t="s">
        <v>10652</v>
      </c>
      <c r="AA536" t="s">
        <v>10653</v>
      </c>
      <c r="AB536" t="s">
        <v>74</v>
      </c>
      <c r="AC536" t="s">
        <v>74</v>
      </c>
      <c r="AD536" t="s">
        <v>74</v>
      </c>
      <c r="AE536" t="s">
        <v>74</v>
      </c>
      <c r="AF536" t="s">
        <v>74</v>
      </c>
      <c r="AG536">
        <v>0</v>
      </c>
      <c r="AH536">
        <v>1</v>
      </c>
      <c r="AI536">
        <v>1</v>
      </c>
      <c r="AJ536">
        <v>0</v>
      </c>
      <c r="AK536">
        <v>1</v>
      </c>
      <c r="AL536" t="s">
        <v>2167</v>
      </c>
      <c r="AM536" t="s">
        <v>2168</v>
      </c>
      <c r="AN536" t="s">
        <v>2169</v>
      </c>
      <c r="AO536" t="s">
        <v>10654</v>
      </c>
      <c r="AP536" t="s">
        <v>10655</v>
      </c>
      <c r="AQ536" t="s">
        <v>74</v>
      </c>
      <c r="AR536" t="s">
        <v>10656</v>
      </c>
      <c r="AS536" t="s">
        <v>10657</v>
      </c>
      <c r="AT536" t="s">
        <v>8975</v>
      </c>
      <c r="AU536">
        <v>2015</v>
      </c>
      <c r="AV536">
        <v>74</v>
      </c>
      <c r="AW536">
        <v>1</v>
      </c>
      <c r="AX536" t="s">
        <v>74</v>
      </c>
      <c r="AY536" t="s">
        <v>74</v>
      </c>
      <c r="AZ536" t="s">
        <v>74</v>
      </c>
      <c r="BA536" t="s">
        <v>74</v>
      </c>
      <c r="BB536">
        <v>40</v>
      </c>
      <c r="BC536">
        <v>44</v>
      </c>
      <c r="BD536" t="s">
        <v>74</v>
      </c>
      <c r="BE536" t="s">
        <v>10658</v>
      </c>
      <c r="BF536" t="str">
        <f>HYPERLINK("http://dx.doi.org/10.1017/S0008197315000227","http://dx.doi.org/10.1017/S0008197315000227")</f>
        <v>http://dx.doi.org/10.1017/S0008197315000227</v>
      </c>
      <c r="BG536" t="s">
        <v>74</v>
      </c>
      <c r="BH536" t="s">
        <v>74</v>
      </c>
      <c r="BI536">
        <v>6</v>
      </c>
      <c r="BJ536" t="s">
        <v>5056</v>
      </c>
      <c r="BK536" t="s">
        <v>1189</v>
      </c>
      <c r="BL536" t="s">
        <v>1190</v>
      </c>
      <c r="BM536" t="s">
        <v>10659</v>
      </c>
      <c r="BN536" t="s">
        <v>74</v>
      </c>
      <c r="BO536" t="s">
        <v>74</v>
      </c>
      <c r="BP536" t="s">
        <v>74</v>
      </c>
      <c r="BQ536" t="s">
        <v>74</v>
      </c>
      <c r="BR536" t="s">
        <v>104</v>
      </c>
      <c r="BS536" t="s">
        <v>10660</v>
      </c>
      <c r="BT536" t="str">
        <f>HYPERLINK("https%3A%2F%2Fwww.webofscience.com%2Fwos%2Fwoscc%2Ffull-record%2FWOS:000351915000013","View Full Record in Web of Science")</f>
        <v>View Full Record in Web of Science</v>
      </c>
    </row>
    <row r="537" spans="1:72" x14ac:dyDescent="0.15">
      <c r="A537" t="s">
        <v>72</v>
      </c>
      <c r="B537" t="s">
        <v>10661</v>
      </c>
      <c r="C537" t="s">
        <v>74</v>
      </c>
      <c r="D537" t="s">
        <v>74</v>
      </c>
      <c r="E537" t="s">
        <v>74</v>
      </c>
      <c r="F537" t="s">
        <v>10662</v>
      </c>
      <c r="G537" t="s">
        <v>74</v>
      </c>
      <c r="H537" t="s">
        <v>74</v>
      </c>
      <c r="I537" t="s">
        <v>10663</v>
      </c>
      <c r="J537" t="s">
        <v>10664</v>
      </c>
      <c r="K537" t="s">
        <v>74</v>
      </c>
      <c r="L537" t="s">
        <v>74</v>
      </c>
      <c r="M537" t="s">
        <v>78</v>
      </c>
      <c r="N537" t="s">
        <v>79</v>
      </c>
      <c r="O537" t="s">
        <v>74</v>
      </c>
      <c r="P537" t="s">
        <v>74</v>
      </c>
      <c r="Q537" t="s">
        <v>74</v>
      </c>
      <c r="R537" t="s">
        <v>74</v>
      </c>
      <c r="S537" t="s">
        <v>74</v>
      </c>
      <c r="T537" t="s">
        <v>74</v>
      </c>
      <c r="U537" t="s">
        <v>74</v>
      </c>
      <c r="V537" t="s">
        <v>74</v>
      </c>
      <c r="W537" t="s">
        <v>10665</v>
      </c>
      <c r="X537" t="s">
        <v>10666</v>
      </c>
      <c r="Y537" t="s">
        <v>10667</v>
      </c>
      <c r="Z537" t="s">
        <v>10668</v>
      </c>
      <c r="AA537" t="s">
        <v>74</v>
      </c>
      <c r="AB537" t="s">
        <v>10669</v>
      </c>
      <c r="AC537" t="s">
        <v>10670</v>
      </c>
      <c r="AD537" t="s">
        <v>713</v>
      </c>
      <c r="AE537" t="s">
        <v>74</v>
      </c>
      <c r="AF537" t="s">
        <v>74</v>
      </c>
      <c r="AG537">
        <v>15</v>
      </c>
      <c r="AH537">
        <v>0</v>
      </c>
      <c r="AI537">
        <v>0</v>
      </c>
      <c r="AJ537">
        <v>0</v>
      </c>
      <c r="AK537">
        <v>7</v>
      </c>
      <c r="AL537" t="s">
        <v>5909</v>
      </c>
      <c r="AM537" t="s">
        <v>5767</v>
      </c>
      <c r="AN537" t="s">
        <v>5910</v>
      </c>
      <c r="AO537" t="s">
        <v>10671</v>
      </c>
      <c r="AP537" t="s">
        <v>10672</v>
      </c>
      <c r="AQ537" t="s">
        <v>74</v>
      </c>
      <c r="AR537" t="s">
        <v>10664</v>
      </c>
      <c r="AS537" t="s">
        <v>10673</v>
      </c>
      <c r="AT537" t="s">
        <v>8975</v>
      </c>
      <c r="AU537">
        <v>2015</v>
      </c>
      <c r="AV537">
        <v>25</v>
      </c>
      <c r="AW537">
        <v>3</v>
      </c>
      <c r="AX537" t="s">
        <v>74</v>
      </c>
      <c r="AY537" t="s">
        <v>74</v>
      </c>
      <c r="AZ537" t="s">
        <v>74</v>
      </c>
      <c r="BA537" t="s">
        <v>74</v>
      </c>
      <c r="BB537" t="s">
        <v>74</v>
      </c>
      <c r="BC537" t="s">
        <v>74</v>
      </c>
      <c r="BD537">
        <v>36201</v>
      </c>
      <c r="BE537" t="s">
        <v>10674</v>
      </c>
      <c r="BF537" t="str">
        <f>HYPERLINK("http://dx.doi.org/10.1063/1.4915260","http://dx.doi.org/10.1063/1.4915260")</f>
        <v>http://dx.doi.org/10.1063/1.4915260</v>
      </c>
      <c r="BG537" t="s">
        <v>74</v>
      </c>
      <c r="BH537" t="s">
        <v>74</v>
      </c>
      <c r="BI537">
        <v>2</v>
      </c>
      <c r="BJ537" t="s">
        <v>10675</v>
      </c>
      <c r="BK537" t="s">
        <v>100</v>
      </c>
      <c r="BL537" t="s">
        <v>10676</v>
      </c>
      <c r="BM537" t="s">
        <v>10677</v>
      </c>
      <c r="BN537">
        <v>25833438</v>
      </c>
      <c r="BO537" t="s">
        <v>4666</v>
      </c>
      <c r="BP537" t="s">
        <v>74</v>
      </c>
      <c r="BQ537" t="s">
        <v>74</v>
      </c>
      <c r="BR537" t="s">
        <v>104</v>
      </c>
      <c r="BS537" t="s">
        <v>10678</v>
      </c>
      <c r="BT537" t="str">
        <f>HYPERLINK("https%3A%2F%2Fwww.webofscience.com%2Fwos%2Fwoscc%2Ffull-record%2FWOS:000352314600017","View Full Record in Web of Science")</f>
        <v>View Full Record in Web of Science</v>
      </c>
    </row>
    <row r="538" spans="1:72" x14ac:dyDescent="0.15">
      <c r="A538" t="s">
        <v>72</v>
      </c>
      <c r="B538" t="s">
        <v>10679</v>
      </c>
      <c r="C538" t="s">
        <v>74</v>
      </c>
      <c r="D538" t="s">
        <v>74</v>
      </c>
      <c r="E538" t="s">
        <v>74</v>
      </c>
      <c r="F538" t="s">
        <v>10680</v>
      </c>
      <c r="G538" t="s">
        <v>74</v>
      </c>
      <c r="H538" t="s">
        <v>74</v>
      </c>
      <c r="I538" t="s">
        <v>10681</v>
      </c>
      <c r="J538" t="s">
        <v>10682</v>
      </c>
      <c r="K538" t="s">
        <v>74</v>
      </c>
      <c r="L538" t="s">
        <v>74</v>
      </c>
      <c r="M538" t="s">
        <v>78</v>
      </c>
      <c r="N538" t="s">
        <v>79</v>
      </c>
      <c r="O538" t="s">
        <v>74</v>
      </c>
      <c r="P538" t="s">
        <v>74</v>
      </c>
      <c r="Q538" t="s">
        <v>74</v>
      </c>
      <c r="R538" t="s">
        <v>74</v>
      </c>
      <c r="S538" t="s">
        <v>74</v>
      </c>
      <c r="T538" t="s">
        <v>10683</v>
      </c>
      <c r="U538" t="s">
        <v>10684</v>
      </c>
      <c r="V538" t="s">
        <v>10685</v>
      </c>
      <c r="W538" t="s">
        <v>10686</v>
      </c>
      <c r="X538" t="s">
        <v>2651</v>
      </c>
      <c r="Y538" t="s">
        <v>10687</v>
      </c>
      <c r="Z538" t="s">
        <v>10688</v>
      </c>
      <c r="AA538" t="s">
        <v>10689</v>
      </c>
      <c r="AB538" t="s">
        <v>10690</v>
      </c>
      <c r="AC538" t="s">
        <v>10691</v>
      </c>
      <c r="AD538" t="s">
        <v>10691</v>
      </c>
      <c r="AE538" t="s">
        <v>10692</v>
      </c>
      <c r="AF538" t="s">
        <v>74</v>
      </c>
      <c r="AG538">
        <v>54</v>
      </c>
      <c r="AH538">
        <v>47</v>
      </c>
      <c r="AI538">
        <v>47</v>
      </c>
      <c r="AJ538">
        <v>1</v>
      </c>
      <c r="AK538">
        <v>27</v>
      </c>
      <c r="AL538" t="s">
        <v>10693</v>
      </c>
      <c r="AM538" t="s">
        <v>10694</v>
      </c>
      <c r="AN538" t="s">
        <v>10695</v>
      </c>
      <c r="AO538" t="s">
        <v>10696</v>
      </c>
      <c r="AP538" t="s">
        <v>74</v>
      </c>
      <c r="AQ538" t="s">
        <v>74</v>
      </c>
      <c r="AR538" t="s">
        <v>10697</v>
      </c>
      <c r="AS538" t="s">
        <v>10698</v>
      </c>
      <c r="AT538" t="s">
        <v>8975</v>
      </c>
      <c r="AU538">
        <v>2015</v>
      </c>
      <c r="AV538">
        <v>41</v>
      </c>
      <c r="AW538">
        <v>1</v>
      </c>
      <c r="AX538" t="s">
        <v>74</v>
      </c>
      <c r="AY538" t="s">
        <v>74</v>
      </c>
      <c r="AZ538" t="s">
        <v>74</v>
      </c>
      <c r="BA538" t="s">
        <v>74</v>
      </c>
      <c r="BB538">
        <v>1</v>
      </c>
      <c r="BC538">
        <v>20</v>
      </c>
      <c r="BD538" t="s">
        <v>74</v>
      </c>
      <c r="BE538" t="s">
        <v>10699</v>
      </c>
      <c r="BF538" t="str">
        <f>HYPERLINK("http://dx.doi.org/10.7773/cm.v41i1.2338","http://dx.doi.org/10.7773/cm.v41i1.2338")</f>
        <v>http://dx.doi.org/10.7773/cm.v41i1.2338</v>
      </c>
      <c r="BG538" t="s">
        <v>74</v>
      </c>
      <c r="BH538" t="s">
        <v>74</v>
      </c>
      <c r="BI538">
        <v>20</v>
      </c>
      <c r="BJ538" t="s">
        <v>2667</v>
      </c>
      <c r="BK538" t="s">
        <v>100</v>
      </c>
      <c r="BL538" t="s">
        <v>2667</v>
      </c>
      <c r="BM538" t="s">
        <v>10700</v>
      </c>
      <c r="BN538" t="s">
        <v>74</v>
      </c>
      <c r="BO538" t="s">
        <v>1490</v>
      </c>
      <c r="BP538" t="s">
        <v>74</v>
      </c>
      <c r="BQ538" t="s">
        <v>74</v>
      </c>
      <c r="BR538" t="s">
        <v>104</v>
      </c>
      <c r="BS538" t="s">
        <v>10701</v>
      </c>
      <c r="BT538" t="str">
        <f>HYPERLINK("https%3A%2F%2Fwww.webofscience.com%2Fwos%2Fwoscc%2Ffull-record%2FWOS:000354588500001","View Full Record in Web of Science")</f>
        <v>View Full Record in Web of Science</v>
      </c>
    </row>
    <row r="539" spans="1:72" x14ac:dyDescent="0.15">
      <c r="A539" t="s">
        <v>72</v>
      </c>
      <c r="B539" t="s">
        <v>10702</v>
      </c>
      <c r="C539" t="s">
        <v>74</v>
      </c>
      <c r="D539" t="s">
        <v>74</v>
      </c>
      <c r="E539" t="s">
        <v>74</v>
      </c>
      <c r="F539" t="s">
        <v>10703</v>
      </c>
      <c r="G539" t="s">
        <v>74</v>
      </c>
      <c r="H539" t="s">
        <v>74</v>
      </c>
      <c r="I539" t="s">
        <v>10704</v>
      </c>
      <c r="J539" t="s">
        <v>6680</v>
      </c>
      <c r="K539" t="s">
        <v>74</v>
      </c>
      <c r="L539" t="s">
        <v>74</v>
      </c>
      <c r="M539" t="s">
        <v>78</v>
      </c>
      <c r="N539" t="s">
        <v>79</v>
      </c>
      <c r="O539" t="s">
        <v>74</v>
      </c>
      <c r="P539" t="s">
        <v>74</v>
      </c>
      <c r="Q539" t="s">
        <v>74</v>
      </c>
      <c r="R539" t="s">
        <v>74</v>
      </c>
      <c r="S539" t="s">
        <v>74</v>
      </c>
      <c r="T539" t="s">
        <v>10705</v>
      </c>
      <c r="U539" t="s">
        <v>10706</v>
      </c>
      <c r="V539" t="s">
        <v>10707</v>
      </c>
      <c r="W539" t="s">
        <v>10708</v>
      </c>
      <c r="X539" t="s">
        <v>10709</v>
      </c>
      <c r="Y539" t="s">
        <v>10710</v>
      </c>
      <c r="Z539" t="s">
        <v>10711</v>
      </c>
      <c r="AA539" t="s">
        <v>10712</v>
      </c>
      <c r="AB539" t="s">
        <v>10713</v>
      </c>
      <c r="AC539" t="s">
        <v>10714</v>
      </c>
      <c r="AD539" t="s">
        <v>10715</v>
      </c>
      <c r="AE539" t="s">
        <v>10716</v>
      </c>
      <c r="AF539" t="s">
        <v>74</v>
      </c>
      <c r="AG539">
        <v>51</v>
      </c>
      <c r="AH539">
        <v>7</v>
      </c>
      <c r="AI539">
        <v>7</v>
      </c>
      <c r="AJ539">
        <v>3</v>
      </c>
      <c r="AK539">
        <v>40</v>
      </c>
      <c r="AL539" t="s">
        <v>3986</v>
      </c>
      <c r="AM539" t="s">
        <v>121</v>
      </c>
      <c r="AN539" t="s">
        <v>10717</v>
      </c>
      <c r="AO539" t="s">
        <v>6692</v>
      </c>
      <c r="AP539" t="s">
        <v>6693</v>
      </c>
      <c r="AQ539" t="s">
        <v>74</v>
      </c>
      <c r="AR539" t="s">
        <v>6694</v>
      </c>
      <c r="AS539" t="s">
        <v>6695</v>
      </c>
      <c r="AT539" t="s">
        <v>8975</v>
      </c>
      <c r="AU539">
        <v>2015</v>
      </c>
      <c r="AV539">
        <v>181</v>
      </c>
      <c r="AW539" t="s">
        <v>74</v>
      </c>
      <c r="AX539" t="s">
        <v>74</v>
      </c>
      <c r="AY539" t="s">
        <v>74</v>
      </c>
      <c r="AZ539" t="s">
        <v>74</v>
      </c>
      <c r="BA539" t="s">
        <v>74</v>
      </c>
      <c r="BB539">
        <v>54</v>
      </c>
      <c r="BC539">
        <v>61</v>
      </c>
      <c r="BD539" t="s">
        <v>74</v>
      </c>
      <c r="BE539" t="s">
        <v>10718</v>
      </c>
      <c r="BF539" t="str">
        <f>HYPERLINK("http://dx.doi.org/10.1016/j.cbpa.2014.11.015","http://dx.doi.org/10.1016/j.cbpa.2014.11.015")</f>
        <v>http://dx.doi.org/10.1016/j.cbpa.2014.11.015</v>
      </c>
      <c r="BG539" t="s">
        <v>74</v>
      </c>
      <c r="BH539" t="s">
        <v>74</v>
      </c>
      <c r="BI539">
        <v>8</v>
      </c>
      <c r="BJ539" t="s">
        <v>6697</v>
      </c>
      <c r="BK539" t="s">
        <v>100</v>
      </c>
      <c r="BL539" t="s">
        <v>6697</v>
      </c>
      <c r="BM539" t="s">
        <v>10266</v>
      </c>
      <c r="BN539">
        <v>25434602</v>
      </c>
      <c r="BO539" t="s">
        <v>74</v>
      </c>
      <c r="BP539" t="s">
        <v>74</v>
      </c>
      <c r="BQ539" t="s">
        <v>74</v>
      </c>
      <c r="BR539" t="s">
        <v>104</v>
      </c>
      <c r="BS539" t="s">
        <v>10719</v>
      </c>
      <c r="BT539" t="str">
        <f>HYPERLINK("https%3A%2F%2Fwww.webofscience.com%2Fwos%2Fwoscc%2Ffull-record%2FWOS:000350081400007","View Full Record in Web of Science")</f>
        <v>View Full Record in Web of Science</v>
      </c>
    </row>
    <row r="540" spans="1:72" x14ac:dyDescent="0.15">
      <c r="A540" t="s">
        <v>72</v>
      </c>
      <c r="B540" t="s">
        <v>10720</v>
      </c>
      <c r="C540" t="s">
        <v>74</v>
      </c>
      <c r="D540" t="s">
        <v>74</v>
      </c>
      <c r="E540" t="s">
        <v>74</v>
      </c>
      <c r="F540" t="s">
        <v>10721</v>
      </c>
      <c r="G540" t="s">
        <v>74</v>
      </c>
      <c r="H540" t="s">
        <v>74</v>
      </c>
      <c r="I540" t="s">
        <v>10722</v>
      </c>
      <c r="J540" t="s">
        <v>2131</v>
      </c>
      <c r="K540" t="s">
        <v>74</v>
      </c>
      <c r="L540" t="s">
        <v>74</v>
      </c>
      <c r="M540" t="s">
        <v>78</v>
      </c>
      <c r="N540" t="s">
        <v>79</v>
      </c>
      <c r="O540" t="s">
        <v>74</v>
      </c>
      <c r="P540" t="s">
        <v>74</v>
      </c>
      <c r="Q540" t="s">
        <v>74</v>
      </c>
      <c r="R540" t="s">
        <v>74</v>
      </c>
      <c r="S540" t="s">
        <v>74</v>
      </c>
      <c r="T540" t="s">
        <v>10723</v>
      </c>
      <c r="U540" t="s">
        <v>10724</v>
      </c>
      <c r="V540" t="s">
        <v>10725</v>
      </c>
      <c r="W540" t="s">
        <v>10726</v>
      </c>
      <c r="X540" t="s">
        <v>10727</v>
      </c>
      <c r="Y540" t="s">
        <v>10728</v>
      </c>
      <c r="Z540" t="s">
        <v>10729</v>
      </c>
      <c r="AA540" t="s">
        <v>1577</v>
      </c>
      <c r="AB540" t="s">
        <v>10730</v>
      </c>
      <c r="AC540" t="s">
        <v>10731</v>
      </c>
      <c r="AD540" t="s">
        <v>10732</v>
      </c>
      <c r="AE540" t="s">
        <v>10733</v>
      </c>
      <c r="AF540" t="s">
        <v>74</v>
      </c>
      <c r="AG540">
        <v>58</v>
      </c>
      <c r="AH540">
        <v>17</v>
      </c>
      <c r="AI540">
        <v>18</v>
      </c>
      <c r="AJ540">
        <v>0</v>
      </c>
      <c r="AK540">
        <v>29</v>
      </c>
      <c r="AL540" t="s">
        <v>786</v>
      </c>
      <c r="AM540" t="s">
        <v>787</v>
      </c>
      <c r="AN540" t="s">
        <v>788</v>
      </c>
      <c r="AO540" t="s">
        <v>2144</v>
      </c>
      <c r="AP540" t="s">
        <v>2145</v>
      </c>
      <c r="AQ540" t="s">
        <v>74</v>
      </c>
      <c r="AR540" t="s">
        <v>2146</v>
      </c>
      <c r="AS540" t="s">
        <v>2147</v>
      </c>
      <c r="AT540" t="s">
        <v>8975</v>
      </c>
      <c r="AU540">
        <v>2015</v>
      </c>
      <c r="AV540">
        <v>113</v>
      </c>
      <c r="AW540" t="s">
        <v>74</v>
      </c>
      <c r="AX540" t="s">
        <v>74</v>
      </c>
      <c r="AY540" t="s">
        <v>74</v>
      </c>
      <c r="AZ540" t="s">
        <v>454</v>
      </c>
      <c r="BA540" t="s">
        <v>74</v>
      </c>
      <c r="BB540">
        <v>145</v>
      </c>
      <c r="BC540">
        <v>153</v>
      </c>
      <c r="BD540" t="s">
        <v>74</v>
      </c>
      <c r="BE540" t="s">
        <v>10734</v>
      </c>
      <c r="BF540" t="str">
        <f>HYPERLINK("http://dx.doi.org/10.1016/j.dsr2.2014.10.029","http://dx.doi.org/10.1016/j.dsr2.2014.10.029")</f>
        <v>http://dx.doi.org/10.1016/j.dsr2.2014.10.029</v>
      </c>
      <c r="BG540" t="s">
        <v>74</v>
      </c>
      <c r="BH540" t="s">
        <v>74</v>
      </c>
      <c r="BI540">
        <v>9</v>
      </c>
      <c r="BJ540" t="s">
        <v>1540</v>
      </c>
      <c r="BK540" t="s">
        <v>100</v>
      </c>
      <c r="BL540" t="s">
        <v>1540</v>
      </c>
      <c r="BM540" t="s">
        <v>9475</v>
      </c>
      <c r="BN540" t="s">
        <v>74</v>
      </c>
      <c r="BO540" t="s">
        <v>2481</v>
      </c>
      <c r="BP540" t="s">
        <v>74</v>
      </c>
      <c r="BQ540" t="s">
        <v>74</v>
      </c>
      <c r="BR540" t="s">
        <v>104</v>
      </c>
      <c r="BS540" t="s">
        <v>10735</v>
      </c>
      <c r="BT540" t="str">
        <f>HYPERLINK("https%3A%2F%2Fwww.webofscience.com%2Fwos%2Fwoscc%2Ffull-record%2FWOS:000351978700012","View Full Record in Web of Science")</f>
        <v>View Full Record in Web of Science</v>
      </c>
    </row>
    <row r="541" spans="1:72" x14ac:dyDescent="0.15">
      <c r="A541" t="s">
        <v>72</v>
      </c>
      <c r="B541" t="s">
        <v>10736</v>
      </c>
      <c r="C541" t="s">
        <v>74</v>
      </c>
      <c r="D541" t="s">
        <v>74</v>
      </c>
      <c r="E541" t="s">
        <v>74</v>
      </c>
      <c r="F541" t="s">
        <v>10737</v>
      </c>
      <c r="G541" t="s">
        <v>74</v>
      </c>
      <c r="H541" t="s">
        <v>74</v>
      </c>
      <c r="I541" t="s">
        <v>10738</v>
      </c>
      <c r="J541" t="s">
        <v>848</v>
      </c>
      <c r="K541" t="s">
        <v>74</v>
      </c>
      <c r="L541" t="s">
        <v>74</v>
      </c>
      <c r="M541" t="s">
        <v>78</v>
      </c>
      <c r="N541" t="s">
        <v>79</v>
      </c>
      <c r="O541" t="s">
        <v>74</v>
      </c>
      <c r="P541" t="s">
        <v>74</v>
      </c>
      <c r="Q541" t="s">
        <v>74</v>
      </c>
      <c r="R541" t="s">
        <v>74</v>
      </c>
      <c r="S541" t="s">
        <v>74</v>
      </c>
      <c r="T541" t="s">
        <v>10739</v>
      </c>
      <c r="U541" t="s">
        <v>10740</v>
      </c>
      <c r="V541" t="s">
        <v>10741</v>
      </c>
      <c r="W541" t="s">
        <v>10742</v>
      </c>
      <c r="X541" t="s">
        <v>10743</v>
      </c>
      <c r="Y541" t="s">
        <v>10744</v>
      </c>
      <c r="Z541" t="s">
        <v>10745</v>
      </c>
      <c r="AA541" t="s">
        <v>10746</v>
      </c>
      <c r="AB541" t="s">
        <v>10747</v>
      </c>
      <c r="AC541" t="s">
        <v>10748</v>
      </c>
      <c r="AD541" t="s">
        <v>10749</v>
      </c>
      <c r="AE541" t="s">
        <v>10750</v>
      </c>
      <c r="AF541" t="s">
        <v>74</v>
      </c>
      <c r="AG541">
        <v>48</v>
      </c>
      <c r="AH541">
        <v>44</v>
      </c>
      <c r="AI541">
        <v>46</v>
      </c>
      <c r="AJ541">
        <v>0</v>
      </c>
      <c r="AK541">
        <v>21</v>
      </c>
      <c r="AL541" t="s">
        <v>815</v>
      </c>
      <c r="AM541" t="s">
        <v>816</v>
      </c>
      <c r="AN541" t="s">
        <v>817</v>
      </c>
      <c r="AO541" t="s">
        <v>858</v>
      </c>
      <c r="AP541" t="s">
        <v>859</v>
      </c>
      <c r="AQ541" t="s">
        <v>74</v>
      </c>
      <c r="AR541" t="s">
        <v>860</v>
      </c>
      <c r="AS541" t="s">
        <v>861</v>
      </c>
      <c r="AT541" t="s">
        <v>10247</v>
      </c>
      <c r="AU541">
        <v>2015</v>
      </c>
      <c r="AV541">
        <v>413</v>
      </c>
      <c r="AW541" t="s">
        <v>74</v>
      </c>
      <c r="AX541" t="s">
        <v>74</v>
      </c>
      <c r="AY541" t="s">
        <v>74</v>
      </c>
      <c r="AZ541" t="s">
        <v>74</v>
      </c>
      <c r="BA541" t="s">
        <v>74</v>
      </c>
      <c r="BB541">
        <v>79</v>
      </c>
      <c r="BC541">
        <v>89</v>
      </c>
      <c r="BD541" t="s">
        <v>74</v>
      </c>
      <c r="BE541" t="s">
        <v>10751</v>
      </c>
      <c r="BF541" t="str">
        <f>HYPERLINK("http://dx.doi.org/10.1016/j.epsl.2014.12.039","http://dx.doi.org/10.1016/j.epsl.2014.12.039")</f>
        <v>http://dx.doi.org/10.1016/j.epsl.2014.12.039</v>
      </c>
      <c r="BG541" t="s">
        <v>74</v>
      </c>
      <c r="BH541" t="s">
        <v>74</v>
      </c>
      <c r="BI541">
        <v>11</v>
      </c>
      <c r="BJ541" t="s">
        <v>863</v>
      </c>
      <c r="BK541" t="s">
        <v>100</v>
      </c>
      <c r="BL541" t="s">
        <v>863</v>
      </c>
      <c r="BM541" t="s">
        <v>10302</v>
      </c>
      <c r="BN541" t="s">
        <v>74</v>
      </c>
      <c r="BO541" t="s">
        <v>10752</v>
      </c>
      <c r="BP541" t="s">
        <v>74</v>
      </c>
      <c r="BQ541" t="s">
        <v>74</v>
      </c>
      <c r="BR541" t="s">
        <v>104</v>
      </c>
      <c r="BS541" t="s">
        <v>10753</v>
      </c>
      <c r="BT541" t="str">
        <f>HYPERLINK("https%3A%2F%2Fwww.webofscience.com%2Fwos%2Fwoscc%2Ffull-record%2FWOS:000349875300008","View Full Record in Web of Science")</f>
        <v>View Full Record in Web of Science</v>
      </c>
    </row>
    <row r="542" spans="1:72" x14ac:dyDescent="0.15">
      <c r="A542" t="s">
        <v>72</v>
      </c>
      <c r="B542" t="s">
        <v>10754</v>
      </c>
      <c r="C542" t="s">
        <v>74</v>
      </c>
      <c r="D542" t="s">
        <v>74</v>
      </c>
      <c r="E542" t="s">
        <v>74</v>
      </c>
      <c r="F542" t="s">
        <v>10755</v>
      </c>
      <c r="G542" t="s">
        <v>74</v>
      </c>
      <c r="H542" t="s">
        <v>74</v>
      </c>
      <c r="I542" t="s">
        <v>10756</v>
      </c>
      <c r="J542" t="s">
        <v>7421</v>
      </c>
      <c r="K542" t="s">
        <v>74</v>
      </c>
      <c r="L542" t="s">
        <v>74</v>
      </c>
      <c r="M542" t="s">
        <v>78</v>
      </c>
      <c r="N542" t="s">
        <v>79</v>
      </c>
      <c r="O542" t="s">
        <v>74</v>
      </c>
      <c r="P542" t="s">
        <v>74</v>
      </c>
      <c r="Q542" t="s">
        <v>74</v>
      </c>
      <c r="R542" t="s">
        <v>74</v>
      </c>
      <c r="S542" t="s">
        <v>74</v>
      </c>
      <c r="T542" t="s">
        <v>10757</v>
      </c>
      <c r="U542" t="s">
        <v>10758</v>
      </c>
      <c r="V542" t="s">
        <v>10759</v>
      </c>
      <c r="W542" t="s">
        <v>10760</v>
      </c>
      <c r="X542" t="s">
        <v>10761</v>
      </c>
      <c r="Y542" t="s">
        <v>10762</v>
      </c>
      <c r="Z542" t="s">
        <v>10763</v>
      </c>
      <c r="AA542" t="s">
        <v>10764</v>
      </c>
      <c r="AB542" t="s">
        <v>10765</v>
      </c>
      <c r="AC542" t="s">
        <v>74</v>
      </c>
      <c r="AD542" t="s">
        <v>74</v>
      </c>
      <c r="AE542" t="s">
        <v>74</v>
      </c>
      <c r="AF542" t="s">
        <v>74</v>
      </c>
      <c r="AG542">
        <v>134</v>
      </c>
      <c r="AH542">
        <v>21</v>
      </c>
      <c r="AI542">
        <v>21</v>
      </c>
      <c r="AJ542">
        <v>0</v>
      </c>
      <c r="AK542">
        <v>53</v>
      </c>
      <c r="AL542" t="s">
        <v>1039</v>
      </c>
      <c r="AM542" t="s">
        <v>816</v>
      </c>
      <c r="AN542" t="s">
        <v>1040</v>
      </c>
      <c r="AO542" t="s">
        <v>7434</v>
      </c>
      <c r="AP542" t="s">
        <v>7435</v>
      </c>
      <c r="AQ542" t="s">
        <v>74</v>
      </c>
      <c r="AR542" t="s">
        <v>7436</v>
      </c>
      <c r="AS542" t="s">
        <v>7437</v>
      </c>
      <c r="AT542" t="s">
        <v>8975</v>
      </c>
      <c r="AU542">
        <v>2015</v>
      </c>
      <c r="AV542">
        <v>142</v>
      </c>
      <c r="AW542" t="s">
        <v>74</v>
      </c>
      <c r="AX542" t="s">
        <v>74</v>
      </c>
      <c r="AY542" t="s">
        <v>74</v>
      </c>
      <c r="AZ542" t="s">
        <v>74</v>
      </c>
      <c r="BA542" t="s">
        <v>74</v>
      </c>
      <c r="BB542">
        <v>38</v>
      </c>
      <c r="BC542">
        <v>46</v>
      </c>
      <c r="BD542" t="s">
        <v>74</v>
      </c>
      <c r="BE542" t="s">
        <v>10766</v>
      </c>
      <c r="BF542" t="str">
        <f>HYPERLINK("http://dx.doi.org/10.1016/j.earscirev.2014.12.005","http://dx.doi.org/10.1016/j.earscirev.2014.12.005")</f>
        <v>http://dx.doi.org/10.1016/j.earscirev.2014.12.005</v>
      </c>
      <c r="BG542" t="s">
        <v>74</v>
      </c>
      <c r="BH542" t="s">
        <v>74</v>
      </c>
      <c r="BI542">
        <v>9</v>
      </c>
      <c r="BJ542" t="s">
        <v>219</v>
      </c>
      <c r="BK542" t="s">
        <v>100</v>
      </c>
      <c r="BL542" t="s">
        <v>220</v>
      </c>
      <c r="BM542" t="s">
        <v>10767</v>
      </c>
      <c r="BN542" t="s">
        <v>74</v>
      </c>
      <c r="BO542" t="s">
        <v>74</v>
      </c>
      <c r="BP542" t="s">
        <v>74</v>
      </c>
      <c r="BQ542" t="s">
        <v>74</v>
      </c>
      <c r="BR542" t="s">
        <v>104</v>
      </c>
      <c r="BS542" t="s">
        <v>10768</v>
      </c>
      <c r="BT542" t="str">
        <f>HYPERLINK("https%3A%2F%2Fwww.webofscience.com%2Fwos%2Fwoscc%2Ffull-record%2FWOS:000351649300003","View Full Record in Web of Science")</f>
        <v>View Full Record in Web of Science</v>
      </c>
    </row>
    <row r="543" spans="1:72" x14ac:dyDescent="0.15">
      <c r="A543" t="s">
        <v>72</v>
      </c>
      <c r="B543" t="s">
        <v>10769</v>
      </c>
      <c r="C543" t="s">
        <v>74</v>
      </c>
      <c r="D543" t="s">
        <v>74</v>
      </c>
      <c r="E543" t="s">
        <v>74</v>
      </c>
      <c r="F543" t="s">
        <v>10770</v>
      </c>
      <c r="G543" t="s">
        <v>74</v>
      </c>
      <c r="H543" t="s">
        <v>74</v>
      </c>
      <c r="I543" t="s">
        <v>10771</v>
      </c>
      <c r="J543" t="s">
        <v>10772</v>
      </c>
      <c r="K543" t="s">
        <v>74</v>
      </c>
      <c r="L543" t="s">
        <v>74</v>
      </c>
      <c r="M543" t="s">
        <v>78</v>
      </c>
      <c r="N543" t="s">
        <v>79</v>
      </c>
      <c r="O543" t="s">
        <v>74</v>
      </c>
      <c r="P543" t="s">
        <v>74</v>
      </c>
      <c r="Q543" t="s">
        <v>74</v>
      </c>
      <c r="R543" t="s">
        <v>74</v>
      </c>
      <c r="S543" t="s">
        <v>74</v>
      </c>
      <c r="T543" t="s">
        <v>10773</v>
      </c>
      <c r="U543" t="s">
        <v>10774</v>
      </c>
      <c r="V543" t="s">
        <v>10775</v>
      </c>
      <c r="W543" t="s">
        <v>10776</v>
      </c>
      <c r="X543" t="s">
        <v>10777</v>
      </c>
      <c r="Y543" t="s">
        <v>10778</v>
      </c>
      <c r="Z543" t="s">
        <v>10779</v>
      </c>
      <c r="AA543" t="s">
        <v>10780</v>
      </c>
      <c r="AB543" t="s">
        <v>10781</v>
      </c>
      <c r="AC543" t="s">
        <v>10782</v>
      </c>
      <c r="AD543" t="s">
        <v>10783</v>
      </c>
      <c r="AE543" t="s">
        <v>10784</v>
      </c>
      <c r="AF543" t="s">
        <v>74</v>
      </c>
      <c r="AG543">
        <v>62</v>
      </c>
      <c r="AH543">
        <v>117</v>
      </c>
      <c r="AI543">
        <v>132</v>
      </c>
      <c r="AJ543">
        <v>3</v>
      </c>
      <c r="AK543">
        <v>81</v>
      </c>
      <c r="AL543" t="s">
        <v>91</v>
      </c>
      <c r="AM543" t="s">
        <v>92</v>
      </c>
      <c r="AN543" t="s">
        <v>93</v>
      </c>
      <c r="AO543" t="s">
        <v>10785</v>
      </c>
      <c r="AP543" t="s">
        <v>74</v>
      </c>
      <c r="AQ543" t="s">
        <v>74</v>
      </c>
      <c r="AR543" t="s">
        <v>10786</v>
      </c>
      <c r="AS543" t="s">
        <v>10787</v>
      </c>
      <c r="AT543" t="s">
        <v>8975</v>
      </c>
      <c r="AU543">
        <v>2015</v>
      </c>
      <c r="AV543">
        <v>5</v>
      </c>
      <c r="AW543">
        <v>6</v>
      </c>
      <c r="AX543" t="s">
        <v>74</v>
      </c>
      <c r="AY543" t="s">
        <v>74</v>
      </c>
      <c r="AZ543" t="s">
        <v>74</v>
      </c>
      <c r="BA543" t="s">
        <v>74</v>
      </c>
      <c r="BB543">
        <v>1278</v>
      </c>
      <c r="BC543">
        <v>1290</v>
      </c>
      <c r="BD543" t="s">
        <v>74</v>
      </c>
      <c r="BE543" t="s">
        <v>10788</v>
      </c>
      <c r="BF543" t="str">
        <f>HYPERLINK("http://dx.doi.org/10.1002/ece3.1437","http://dx.doi.org/10.1002/ece3.1437")</f>
        <v>http://dx.doi.org/10.1002/ece3.1437</v>
      </c>
      <c r="BG543" t="s">
        <v>74</v>
      </c>
      <c r="BH543" t="s">
        <v>74</v>
      </c>
      <c r="BI543">
        <v>13</v>
      </c>
      <c r="BJ543" t="s">
        <v>10789</v>
      </c>
      <c r="BK543" t="s">
        <v>100</v>
      </c>
      <c r="BL543" t="s">
        <v>10790</v>
      </c>
      <c r="BM543" t="s">
        <v>10791</v>
      </c>
      <c r="BN543">
        <v>25859333</v>
      </c>
      <c r="BO543" t="s">
        <v>485</v>
      </c>
      <c r="BP543" t="s">
        <v>74</v>
      </c>
      <c r="BQ543" t="s">
        <v>74</v>
      </c>
      <c r="BR543" t="s">
        <v>104</v>
      </c>
      <c r="BS543" t="s">
        <v>10792</v>
      </c>
      <c r="BT543" t="str">
        <f>HYPERLINK("https%3A%2F%2Fwww.webofscience.com%2Fwos%2Fwoscc%2Ffull-record%2FWOS:000351458500014","View Full Record in Web of Science")</f>
        <v>View Full Record in Web of Science</v>
      </c>
    </row>
    <row r="544" spans="1:72" x14ac:dyDescent="0.15">
      <c r="A544" t="s">
        <v>72</v>
      </c>
      <c r="B544" t="s">
        <v>10793</v>
      </c>
      <c r="C544" t="s">
        <v>74</v>
      </c>
      <c r="D544" t="s">
        <v>74</v>
      </c>
      <c r="E544" t="s">
        <v>74</v>
      </c>
      <c r="F544" t="s">
        <v>10794</v>
      </c>
      <c r="G544" t="s">
        <v>74</v>
      </c>
      <c r="H544" t="s">
        <v>74</v>
      </c>
      <c r="I544" t="s">
        <v>10795</v>
      </c>
      <c r="J544" t="s">
        <v>10796</v>
      </c>
      <c r="K544" t="s">
        <v>74</v>
      </c>
      <c r="L544" t="s">
        <v>74</v>
      </c>
      <c r="M544" t="s">
        <v>78</v>
      </c>
      <c r="N544" t="s">
        <v>79</v>
      </c>
      <c r="O544" t="s">
        <v>74</v>
      </c>
      <c r="P544" t="s">
        <v>74</v>
      </c>
      <c r="Q544" t="s">
        <v>74</v>
      </c>
      <c r="R544" t="s">
        <v>74</v>
      </c>
      <c r="S544" t="s">
        <v>74</v>
      </c>
      <c r="T544" t="s">
        <v>10797</v>
      </c>
      <c r="U544" t="s">
        <v>10798</v>
      </c>
      <c r="V544" t="s">
        <v>10799</v>
      </c>
      <c r="W544" t="s">
        <v>10800</v>
      </c>
      <c r="X544" t="s">
        <v>10801</v>
      </c>
      <c r="Y544" t="s">
        <v>10802</v>
      </c>
      <c r="Z544" t="s">
        <v>668</v>
      </c>
      <c r="AA544" t="s">
        <v>10803</v>
      </c>
      <c r="AB544" t="s">
        <v>10804</v>
      </c>
      <c r="AC544" t="s">
        <v>10805</v>
      </c>
      <c r="AD544" t="s">
        <v>10806</v>
      </c>
      <c r="AE544" t="s">
        <v>10807</v>
      </c>
      <c r="AF544" t="s">
        <v>74</v>
      </c>
      <c r="AG544">
        <v>78</v>
      </c>
      <c r="AH544">
        <v>37</v>
      </c>
      <c r="AI544">
        <v>40</v>
      </c>
      <c r="AJ544">
        <v>0</v>
      </c>
      <c r="AK544">
        <v>32</v>
      </c>
      <c r="AL544" t="s">
        <v>120</v>
      </c>
      <c r="AM544" t="s">
        <v>121</v>
      </c>
      <c r="AN544" t="s">
        <v>1304</v>
      </c>
      <c r="AO544" t="s">
        <v>10808</v>
      </c>
      <c r="AP544" t="s">
        <v>10809</v>
      </c>
      <c r="AQ544" t="s">
        <v>74</v>
      </c>
      <c r="AR544" t="s">
        <v>10796</v>
      </c>
      <c r="AS544" t="s">
        <v>10810</v>
      </c>
      <c r="AT544" t="s">
        <v>8975</v>
      </c>
      <c r="AU544">
        <v>2015</v>
      </c>
      <c r="AV544">
        <v>18</v>
      </c>
      <c r="AW544">
        <v>2</v>
      </c>
      <c r="AX544" t="s">
        <v>74</v>
      </c>
      <c r="AY544" t="s">
        <v>74</v>
      </c>
      <c r="AZ544" t="s">
        <v>74</v>
      </c>
      <c r="BA544" t="s">
        <v>74</v>
      </c>
      <c r="BB544">
        <v>310</v>
      </c>
      <c r="BC544">
        <v>327</v>
      </c>
      <c r="BD544" t="s">
        <v>74</v>
      </c>
      <c r="BE544" t="s">
        <v>10811</v>
      </c>
      <c r="BF544" t="str">
        <f>HYPERLINK("http://dx.doi.org/10.1007/s10021-014-9829-6","http://dx.doi.org/10.1007/s10021-014-9829-6")</f>
        <v>http://dx.doi.org/10.1007/s10021-014-9829-6</v>
      </c>
      <c r="BG544" t="s">
        <v>74</v>
      </c>
      <c r="BH544" t="s">
        <v>74</v>
      </c>
      <c r="BI544">
        <v>18</v>
      </c>
      <c r="BJ544" t="s">
        <v>1047</v>
      </c>
      <c r="BK544" t="s">
        <v>100</v>
      </c>
      <c r="BL544" t="s">
        <v>1048</v>
      </c>
      <c r="BM544" t="s">
        <v>10812</v>
      </c>
      <c r="BN544" t="s">
        <v>74</v>
      </c>
      <c r="BO544" t="s">
        <v>74</v>
      </c>
      <c r="BP544" t="s">
        <v>74</v>
      </c>
      <c r="BQ544" t="s">
        <v>74</v>
      </c>
      <c r="BR544" t="s">
        <v>104</v>
      </c>
      <c r="BS544" t="s">
        <v>10813</v>
      </c>
      <c r="BT544" t="str">
        <f>HYPERLINK("https%3A%2F%2Fwww.webofscience.com%2Fwos%2Fwoscc%2Ffull-record%2FWOS:000350880400010","View Full Record in Web of Science")</f>
        <v>View Full Record in Web of Science</v>
      </c>
    </row>
    <row r="545" spans="1:72" x14ac:dyDescent="0.15">
      <c r="A545" t="s">
        <v>72</v>
      </c>
      <c r="B545" t="s">
        <v>10814</v>
      </c>
      <c r="C545" t="s">
        <v>74</v>
      </c>
      <c r="D545" t="s">
        <v>74</v>
      </c>
      <c r="E545" t="s">
        <v>74</v>
      </c>
      <c r="F545" t="s">
        <v>10815</v>
      </c>
      <c r="G545" t="s">
        <v>74</v>
      </c>
      <c r="H545" t="s">
        <v>74</v>
      </c>
      <c r="I545" t="s">
        <v>10816</v>
      </c>
      <c r="J545" t="s">
        <v>2986</v>
      </c>
      <c r="K545" t="s">
        <v>74</v>
      </c>
      <c r="L545" t="s">
        <v>74</v>
      </c>
      <c r="M545" t="s">
        <v>78</v>
      </c>
      <c r="N545" t="s">
        <v>79</v>
      </c>
      <c r="O545" t="s">
        <v>74</v>
      </c>
      <c r="P545" t="s">
        <v>74</v>
      </c>
      <c r="Q545" t="s">
        <v>74</v>
      </c>
      <c r="R545" t="s">
        <v>74</v>
      </c>
      <c r="S545" t="s">
        <v>74</v>
      </c>
      <c r="T545" t="s">
        <v>74</v>
      </c>
      <c r="U545" t="s">
        <v>10817</v>
      </c>
      <c r="V545" t="s">
        <v>10818</v>
      </c>
      <c r="W545" t="s">
        <v>10819</v>
      </c>
      <c r="X545" t="s">
        <v>10820</v>
      </c>
      <c r="Y545" t="s">
        <v>10821</v>
      </c>
      <c r="Z545" t="s">
        <v>10822</v>
      </c>
      <c r="AA545" t="s">
        <v>10823</v>
      </c>
      <c r="AB545" t="s">
        <v>10824</v>
      </c>
      <c r="AC545" t="s">
        <v>10825</v>
      </c>
      <c r="AD545" t="s">
        <v>10826</v>
      </c>
      <c r="AE545" t="s">
        <v>10827</v>
      </c>
      <c r="AF545" t="s">
        <v>74</v>
      </c>
      <c r="AG545">
        <v>81</v>
      </c>
      <c r="AH545">
        <v>35</v>
      </c>
      <c r="AI545">
        <v>38</v>
      </c>
      <c r="AJ545">
        <v>0</v>
      </c>
      <c r="AK545">
        <v>36</v>
      </c>
      <c r="AL545" t="s">
        <v>91</v>
      </c>
      <c r="AM545" t="s">
        <v>92</v>
      </c>
      <c r="AN545" t="s">
        <v>93</v>
      </c>
      <c r="AO545" t="s">
        <v>2998</v>
      </c>
      <c r="AP545" t="s">
        <v>2999</v>
      </c>
      <c r="AQ545" t="s">
        <v>74</v>
      </c>
      <c r="AR545" t="s">
        <v>3000</v>
      </c>
      <c r="AS545" t="s">
        <v>3001</v>
      </c>
      <c r="AT545" t="s">
        <v>8975</v>
      </c>
      <c r="AU545">
        <v>2015</v>
      </c>
      <c r="AV545">
        <v>17</v>
      </c>
      <c r="AW545">
        <v>3</v>
      </c>
      <c r="AX545" t="s">
        <v>74</v>
      </c>
      <c r="AY545" t="s">
        <v>74</v>
      </c>
      <c r="AZ545" t="s">
        <v>74</v>
      </c>
      <c r="BA545" t="s">
        <v>74</v>
      </c>
      <c r="BB545">
        <v>751</v>
      </c>
      <c r="BC545">
        <v>766</v>
      </c>
      <c r="BD545" t="s">
        <v>74</v>
      </c>
      <c r="BE545" t="s">
        <v>10828</v>
      </c>
      <c r="BF545" t="str">
        <f>HYPERLINK("http://dx.doi.org/10.1111/1462-2920.12513","http://dx.doi.org/10.1111/1462-2920.12513")</f>
        <v>http://dx.doi.org/10.1111/1462-2920.12513</v>
      </c>
      <c r="BG545" t="s">
        <v>74</v>
      </c>
      <c r="BH545" t="s">
        <v>74</v>
      </c>
      <c r="BI545">
        <v>16</v>
      </c>
      <c r="BJ545" t="s">
        <v>483</v>
      </c>
      <c r="BK545" t="s">
        <v>100</v>
      </c>
      <c r="BL545" t="s">
        <v>483</v>
      </c>
      <c r="BM545" t="s">
        <v>10829</v>
      </c>
      <c r="BN545">
        <v>24889559</v>
      </c>
      <c r="BO545" t="s">
        <v>74</v>
      </c>
      <c r="BP545" t="s">
        <v>74</v>
      </c>
      <c r="BQ545" t="s">
        <v>74</v>
      </c>
      <c r="BR545" t="s">
        <v>104</v>
      </c>
      <c r="BS545" t="s">
        <v>10830</v>
      </c>
      <c r="BT545" t="str">
        <f>HYPERLINK("https%3A%2F%2Fwww.webofscience.com%2Fwos%2Fwoscc%2Ffull-record%2FWOS:000351435600020","View Full Record in Web of Science")</f>
        <v>View Full Record in Web of Science</v>
      </c>
    </row>
    <row r="546" spans="1:72" x14ac:dyDescent="0.15">
      <c r="A546" t="s">
        <v>72</v>
      </c>
      <c r="B546" t="s">
        <v>10831</v>
      </c>
      <c r="C546" t="s">
        <v>74</v>
      </c>
      <c r="D546" t="s">
        <v>74</v>
      </c>
      <c r="E546" t="s">
        <v>74</v>
      </c>
      <c r="F546" t="s">
        <v>10832</v>
      </c>
      <c r="G546" t="s">
        <v>74</v>
      </c>
      <c r="H546" t="s">
        <v>74</v>
      </c>
      <c r="I546" t="s">
        <v>10833</v>
      </c>
      <c r="J546" t="s">
        <v>2986</v>
      </c>
      <c r="K546" t="s">
        <v>74</v>
      </c>
      <c r="L546" t="s">
        <v>74</v>
      </c>
      <c r="M546" t="s">
        <v>78</v>
      </c>
      <c r="N546" t="s">
        <v>79</v>
      </c>
      <c r="O546" t="s">
        <v>74</v>
      </c>
      <c r="P546" t="s">
        <v>74</v>
      </c>
      <c r="Q546" t="s">
        <v>74</v>
      </c>
      <c r="R546" t="s">
        <v>74</v>
      </c>
      <c r="S546" t="s">
        <v>74</v>
      </c>
      <c r="T546" t="s">
        <v>74</v>
      </c>
      <c r="U546" t="s">
        <v>10834</v>
      </c>
      <c r="V546" t="s">
        <v>10835</v>
      </c>
      <c r="W546" t="s">
        <v>10836</v>
      </c>
      <c r="X546" t="s">
        <v>10837</v>
      </c>
      <c r="Y546" t="s">
        <v>10838</v>
      </c>
      <c r="Z546" t="s">
        <v>10839</v>
      </c>
      <c r="AA546" t="s">
        <v>10840</v>
      </c>
      <c r="AB546" t="s">
        <v>10841</v>
      </c>
      <c r="AC546" t="s">
        <v>10842</v>
      </c>
      <c r="AD546" t="s">
        <v>10843</v>
      </c>
      <c r="AE546" t="s">
        <v>10844</v>
      </c>
      <c r="AF546" t="s">
        <v>74</v>
      </c>
      <c r="AG546">
        <v>48</v>
      </c>
      <c r="AH546">
        <v>43</v>
      </c>
      <c r="AI546">
        <v>44</v>
      </c>
      <c r="AJ546">
        <v>0</v>
      </c>
      <c r="AK546">
        <v>26</v>
      </c>
      <c r="AL546" t="s">
        <v>91</v>
      </c>
      <c r="AM546" t="s">
        <v>92</v>
      </c>
      <c r="AN546" t="s">
        <v>93</v>
      </c>
      <c r="AO546" t="s">
        <v>2998</v>
      </c>
      <c r="AP546" t="s">
        <v>2999</v>
      </c>
      <c r="AQ546" t="s">
        <v>74</v>
      </c>
      <c r="AR546" t="s">
        <v>3000</v>
      </c>
      <c r="AS546" t="s">
        <v>3001</v>
      </c>
      <c r="AT546" t="s">
        <v>8975</v>
      </c>
      <c r="AU546">
        <v>2015</v>
      </c>
      <c r="AV546">
        <v>17</v>
      </c>
      <c r="AW546">
        <v>3</v>
      </c>
      <c r="AX546" t="s">
        <v>74</v>
      </c>
      <c r="AY546" t="s">
        <v>74</v>
      </c>
      <c r="AZ546" t="s">
        <v>74</v>
      </c>
      <c r="BA546" t="s">
        <v>74</v>
      </c>
      <c r="BB546">
        <v>829</v>
      </c>
      <c r="BC546">
        <v>840</v>
      </c>
      <c r="BD546" t="s">
        <v>74</v>
      </c>
      <c r="BE546" t="s">
        <v>10845</v>
      </c>
      <c r="BF546" t="str">
        <f>HYPERLINK("http://dx.doi.org/10.1111/1462-2920.12532","http://dx.doi.org/10.1111/1462-2920.12532")</f>
        <v>http://dx.doi.org/10.1111/1462-2920.12532</v>
      </c>
      <c r="BG546" t="s">
        <v>74</v>
      </c>
      <c r="BH546" t="s">
        <v>74</v>
      </c>
      <c r="BI546">
        <v>12</v>
      </c>
      <c r="BJ546" t="s">
        <v>483</v>
      </c>
      <c r="BK546" t="s">
        <v>100</v>
      </c>
      <c r="BL546" t="s">
        <v>483</v>
      </c>
      <c r="BM546" t="s">
        <v>10829</v>
      </c>
      <c r="BN546">
        <v>24920455</v>
      </c>
      <c r="BO546" t="s">
        <v>10752</v>
      </c>
      <c r="BP546" t="s">
        <v>74</v>
      </c>
      <c r="BQ546" t="s">
        <v>74</v>
      </c>
      <c r="BR546" t="s">
        <v>104</v>
      </c>
      <c r="BS546" t="s">
        <v>10846</v>
      </c>
      <c r="BT546" t="str">
        <f>HYPERLINK("https%3A%2F%2Fwww.webofscience.com%2Fwos%2Fwoscc%2Ffull-record%2FWOS:000351435600025","View Full Record in Web of Science")</f>
        <v>View Full Record in Web of Science</v>
      </c>
    </row>
    <row r="547" spans="1:72" x14ac:dyDescent="0.15">
      <c r="A547" t="s">
        <v>72</v>
      </c>
      <c r="B547" t="s">
        <v>10847</v>
      </c>
      <c r="C547" t="s">
        <v>74</v>
      </c>
      <c r="D547" t="s">
        <v>74</v>
      </c>
      <c r="E547" t="s">
        <v>74</v>
      </c>
      <c r="F547" t="s">
        <v>10848</v>
      </c>
      <c r="G547" t="s">
        <v>74</v>
      </c>
      <c r="H547" t="s">
        <v>74</v>
      </c>
      <c r="I547" t="s">
        <v>10849</v>
      </c>
      <c r="J547" t="s">
        <v>10850</v>
      </c>
      <c r="K547" t="s">
        <v>74</v>
      </c>
      <c r="L547" t="s">
        <v>74</v>
      </c>
      <c r="M547" t="s">
        <v>78</v>
      </c>
      <c r="N547" t="s">
        <v>79</v>
      </c>
      <c r="O547" t="s">
        <v>74</v>
      </c>
      <c r="P547" t="s">
        <v>74</v>
      </c>
      <c r="Q547" t="s">
        <v>74</v>
      </c>
      <c r="R547" t="s">
        <v>74</v>
      </c>
      <c r="S547" t="s">
        <v>74</v>
      </c>
      <c r="T547" t="s">
        <v>10851</v>
      </c>
      <c r="U547" t="s">
        <v>10852</v>
      </c>
      <c r="V547" t="s">
        <v>10853</v>
      </c>
      <c r="W547" t="s">
        <v>10854</v>
      </c>
      <c r="X547" t="s">
        <v>10855</v>
      </c>
      <c r="Y547" t="s">
        <v>10856</v>
      </c>
      <c r="Z547" t="s">
        <v>10857</v>
      </c>
      <c r="AA547" t="s">
        <v>10858</v>
      </c>
      <c r="AB547" t="s">
        <v>10859</v>
      </c>
      <c r="AC547" t="s">
        <v>10860</v>
      </c>
      <c r="AD547" t="s">
        <v>10861</v>
      </c>
      <c r="AE547" t="s">
        <v>10862</v>
      </c>
      <c r="AF547" t="s">
        <v>74</v>
      </c>
      <c r="AG547">
        <v>43</v>
      </c>
      <c r="AH547">
        <v>74</v>
      </c>
      <c r="AI547">
        <v>82</v>
      </c>
      <c r="AJ547">
        <v>2</v>
      </c>
      <c r="AK547">
        <v>143</v>
      </c>
      <c r="AL547" t="s">
        <v>2659</v>
      </c>
      <c r="AM547" t="s">
        <v>2660</v>
      </c>
      <c r="AN547" t="s">
        <v>2661</v>
      </c>
      <c r="AO547" t="s">
        <v>10863</v>
      </c>
      <c r="AP547" t="s">
        <v>10864</v>
      </c>
      <c r="AQ547" t="s">
        <v>74</v>
      </c>
      <c r="AR547" t="s">
        <v>10865</v>
      </c>
      <c r="AS547" t="s">
        <v>10866</v>
      </c>
      <c r="AT547" t="s">
        <v>8975</v>
      </c>
      <c r="AU547">
        <v>2015</v>
      </c>
      <c r="AV547">
        <v>22</v>
      </c>
      <c r="AW547">
        <v>6</v>
      </c>
      <c r="AX547" t="s">
        <v>74</v>
      </c>
      <c r="AY547" t="s">
        <v>74</v>
      </c>
      <c r="AZ547" t="s">
        <v>74</v>
      </c>
      <c r="BA547" t="s">
        <v>74</v>
      </c>
      <c r="BB547">
        <v>4725</v>
      </c>
      <c r="BC547">
        <v>4735</v>
      </c>
      <c r="BD547" t="s">
        <v>74</v>
      </c>
      <c r="BE547" t="s">
        <v>10867</v>
      </c>
      <c r="BF547" t="str">
        <f>HYPERLINK("http://dx.doi.org/10.1007/s11356-014-3721-y","http://dx.doi.org/10.1007/s11356-014-3721-y")</f>
        <v>http://dx.doi.org/10.1007/s11356-014-3721-y</v>
      </c>
      <c r="BG547" t="s">
        <v>74</v>
      </c>
      <c r="BH547" t="s">
        <v>74</v>
      </c>
      <c r="BI547">
        <v>11</v>
      </c>
      <c r="BJ547" t="s">
        <v>2957</v>
      </c>
      <c r="BK547" t="s">
        <v>100</v>
      </c>
      <c r="BL547" t="s">
        <v>1048</v>
      </c>
      <c r="BM547" t="s">
        <v>10868</v>
      </c>
      <c r="BN547">
        <v>25335763</v>
      </c>
      <c r="BO547" t="s">
        <v>74</v>
      </c>
      <c r="BP547" t="s">
        <v>74</v>
      </c>
      <c r="BQ547" t="s">
        <v>74</v>
      </c>
      <c r="BR547" t="s">
        <v>104</v>
      </c>
      <c r="BS547" t="s">
        <v>10869</v>
      </c>
      <c r="BT547" t="str">
        <f>HYPERLINK("https%3A%2F%2Fwww.webofscience.com%2Fwos%2Fwoscc%2Ffull-record%2FWOS:000350572500063","View Full Record in Web of Science")</f>
        <v>View Full Record in Web of Science</v>
      </c>
    </row>
    <row r="548" spans="1:72" x14ac:dyDescent="0.15">
      <c r="A548" t="s">
        <v>72</v>
      </c>
      <c r="B548" t="s">
        <v>10870</v>
      </c>
      <c r="C548" t="s">
        <v>74</v>
      </c>
      <c r="D548" t="s">
        <v>74</v>
      </c>
      <c r="E548" t="s">
        <v>74</v>
      </c>
      <c r="F548" t="s">
        <v>10871</v>
      </c>
      <c r="G548" t="s">
        <v>74</v>
      </c>
      <c r="H548" t="s">
        <v>74</v>
      </c>
      <c r="I548" t="s">
        <v>10872</v>
      </c>
      <c r="J548" t="s">
        <v>3008</v>
      </c>
      <c r="K548" t="s">
        <v>74</v>
      </c>
      <c r="L548" t="s">
        <v>74</v>
      </c>
      <c r="M548" t="s">
        <v>78</v>
      </c>
      <c r="N548" t="s">
        <v>1291</v>
      </c>
      <c r="O548" t="s">
        <v>74</v>
      </c>
      <c r="P548" t="s">
        <v>74</v>
      </c>
      <c r="Q548" t="s">
        <v>74</v>
      </c>
      <c r="R548" t="s">
        <v>74</v>
      </c>
      <c r="S548" t="s">
        <v>74</v>
      </c>
      <c r="T548" t="s">
        <v>10873</v>
      </c>
      <c r="U548" t="s">
        <v>10874</v>
      </c>
      <c r="V548" t="s">
        <v>10875</v>
      </c>
      <c r="W548" t="s">
        <v>10876</v>
      </c>
      <c r="X548" t="s">
        <v>10877</v>
      </c>
      <c r="Y548" t="s">
        <v>10878</v>
      </c>
      <c r="Z548" t="s">
        <v>10879</v>
      </c>
      <c r="AA548" t="s">
        <v>10880</v>
      </c>
      <c r="AB548" t="s">
        <v>10881</v>
      </c>
      <c r="AC548" t="s">
        <v>10882</v>
      </c>
      <c r="AD548" t="s">
        <v>10883</v>
      </c>
      <c r="AE548" t="s">
        <v>10884</v>
      </c>
      <c r="AF548" t="s">
        <v>74</v>
      </c>
      <c r="AG548">
        <v>157</v>
      </c>
      <c r="AH548">
        <v>50</v>
      </c>
      <c r="AI548">
        <v>57</v>
      </c>
      <c r="AJ548">
        <v>4</v>
      </c>
      <c r="AK548">
        <v>125</v>
      </c>
      <c r="AL548" t="s">
        <v>3021</v>
      </c>
      <c r="AM548" t="s">
        <v>3022</v>
      </c>
      <c r="AN548" t="s">
        <v>3023</v>
      </c>
      <c r="AO548" t="s">
        <v>3024</v>
      </c>
      <c r="AP548" t="s">
        <v>3025</v>
      </c>
      <c r="AQ548" t="s">
        <v>74</v>
      </c>
      <c r="AR548" t="s">
        <v>3008</v>
      </c>
      <c r="AS548" t="s">
        <v>3026</v>
      </c>
      <c r="AT548" t="s">
        <v>8975</v>
      </c>
      <c r="AU548">
        <v>2015</v>
      </c>
      <c r="AV548">
        <v>19</v>
      </c>
      <c r="AW548">
        <v>2</v>
      </c>
      <c r="AX548" t="s">
        <v>74</v>
      </c>
      <c r="AY548" t="s">
        <v>74</v>
      </c>
      <c r="AZ548" t="s">
        <v>74</v>
      </c>
      <c r="BA548" t="s">
        <v>74</v>
      </c>
      <c r="BB548">
        <v>235</v>
      </c>
      <c r="BC548">
        <v>247</v>
      </c>
      <c r="BD548" t="s">
        <v>74</v>
      </c>
      <c r="BE548" t="s">
        <v>10885</v>
      </c>
      <c r="BF548" t="str">
        <f>HYPERLINK("http://dx.doi.org/10.1007/s00792-014-0710-5","http://dx.doi.org/10.1007/s00792-014-0710-5")</f>
        <v>http://dx.doi.org/10.1007/s00792-014-0710-5</v>
      </c>
      <c r="BG548" t="s">
        <v>74</v>
      </c>
      <c r="BH548" t="s">
        <v>74</v>
      </c>
      <c r="BI548">
        <v>13</v>
      </c>
      <c r="BJ548" t="s">
        <v>3028</v>
      </c>
      <c r="BK548" t="s">
        <v>100</v>
      </c>
      <c r="BL548" t="s">
        <v>3028</v>
      </c>
      <c r="BM548" t="s">
        <v>9878</v>
      </c>
      <c r="BN548">
        <v>25472009</v>
      </c>
      <c r="BO548" t="s">
        <v>74</v>
      </c>
      <c r="BP548" t="s">
        <v>74</v>
      </c>
      <c r="BQ548" t="s">
        <v>74</v>
      </c>
      <c r="BR548" t="s">
        <v>104</v>
      </c>
      <c r="BS548" t="s">
        <v>10886</v>
      </c>
      <c r="BT548" t="str">
        <f>HYPERLINK("https%3A%2F%2Fwww.webofscience.com%2Fwos%2Fwoscc%2Ffull-record%2FWOS:000350306200002","View Full Record in Web of Science")</f>
        <v>View Full Record in Web of Science</v>
      </c>
    </row>
    <row r="549" spans="1:72" x14ac:dyDescent="0.15">
      <c r="A549" t="s">
        <v>72</v>
      </c>
      <c r="B549" t="s">
        <v>10887</v>
      </c>
      <c r="C549" t="s">
        <v>74</v>
      </c>
      <c r="D549" t="s">
        <v>74</v>
      </c>
      <c r="E549" t="s">
        <v>74</v>
      </c>
      <c r="F549" t="s">
        <v>10888</v>
      </c>
      <c r="G549" t="s">
        <v>74</v>
      </c>
      <c r="H549" t="s">
        <v>74</v>
      </c>
      <c r="I549" t="s">
        <v>10889</v>
      </c>
      <c r="J549" t="s">
        <v>3034</v>
      </c>
      <c r="K549" t="s">
        <v>74</v>
      </c>
      <c r="L549" t="s">
        <v>74</v>
      </c>
      <c r="M549" t="s">
        <v>78</v>
      </c>
      <c r="N549" t="s">
        <v>79</v>
      </c>
      <c r="O549" t="s">
        <v>74</v>
      </c>
      <c r="P549" t="s">
        <v>74</v>
      </c>
      <c r="Q549" t="s">
        <v>74</v>
      </c>
      <c r="R549" t="s">
        <v>74</v>
      </c>
      <c r="S549" t="s">
        <v>74</v>
      </c>
      <c r="T549" t="s">
        <v>74</v>
      </c>
      <c r="U549" t="s">
        <v>74</v>
      </c>
      <c r="V549" t="s">
        <v>10890</v>
      </c>
      <c r="W549" t="s">
        <v>10891</v>
      </c>
      <c r="X549" t="s">
        <v>10892</v>
      </c>
      <c r="Y549" t="s">
        <v>10893</v>
      </c>
      <c r="Z549" t="s">
        <v>10894</v>
      </c>
      <c r="AA549" t="s">
        <v>10895</v>
      </c>
      <c r="AB549" t="s">
        <v>10896</v>
      </c>
      <c r="AC549" t="s">
        <v>10897</v>
      </c>
      <c r="AD549" t="s">
        <v>10898</v>
      </c>
      <c r="AE549" t="s">
        <v>10899</v>
      </c>
      <c r="AF549" t="s">
        <v>74</v>
      </c>
      <c r="AG549">
        <v>8</v>
      </c>
      <c r="AH549">
        <v>4</v>
      </c>
      <c r="AI549">
        <v>4</v>
      </c>
      <c r="AJ549">
        <v>0</v>
      </c>
      <c r="AK549">
        <v>3</v>
      </c>
      <c r="AL549" t="s">
        <v>3045</v>
      </c>
      <c r="AM549" t="s">
        <v>267</v>
      </c>
      <c r="AN549" t="s">
        <v>3046</v>
      </c>
      <c r="AO549" t="s">
        <v>74</v>
      </c>
      <c r="AP549" t="s">
        <v>3047</v>
      </c>
      <c r="AQ549" t="s">
        <v>74</v>
      </c>
      <c r="AR549" t="s">
        <v>3034</v>
      </c>
      <c r="AS549" t="s">
        <v>3048</v>
      </c>
      <c r="AT549" t="s">
        <v>9061</v>
      </c>
      <c r="AU549">
        <v>2015</v>
      </c>
      <c r="AV549">
        <v>3</v>
      </c>
      <c r="AW549">
        <v>2</v>
      </c>
      <c r="AX549" t="s">
        <v>74</v>
      </c>
      <c r="AY549" t="s">
        <v>74</v>
      </c>
      <c r="AZ549" t="s">
        <v>74</v>
      </c>
      <c r="BA549" t="s">
        <v>74</v>
      </c>
      <c r="BB549" t="s">
        <v>74</v>
      </c>
      <c r="BC549" t="s">
        <v>74</v>
      </c>
      <c r="BD549" t="s">
        <v>10900</v>
      </c>
      <c r="BE549" t="s">
        <v>10901</v>
      </c>
      <c r="BF549" t="str">
        <f>HYPERLINK("http://dx.doi.org/10.1128/genomeA.00246-15","http://dx.doi.org/10.1128/genomeA.00246-15")</f>
        <v>http://dx.doi.org/10.1128/genomeA.00246-15</v>
      </c>
      <c r="BG549" t="s">
        <v>74</v>
      </c>
      <c r="BH549" t="s">
        <v>74</v>
      </c>
      <c r="BI549">
        <v>2</v>
      </c>
      <c r="BJ549" t="s">
        <v>483</v>
      </c>
      <c r="BK549" t="s">
        <v>888</v>
      </c>
      <c r="BL549" t="s">
        <v>483</v>
      </c>
      <c r="BM549" t="s">
        <v>10902</v>
      </c>
      <c r="BN549">
        <v>25838495</v>
      </c>
      <c r="BO549" t="s">
        <v>1685</v>
      </c>
      <c r="BP549" t="s">
        <v>74</v>
      </c>
      <c r="BQ549" t="s">
        <v>74</v>
      </c>
      <c r="BR549" t="s">
        <v>104</v>
      </c>
      <c r="BS549" t="s">
        <v>10903</v>
      </c>
      <c r="BT549" t="str">
        <f>HYPERLINK("https%3A%2F%2Fwww.webofscience.com%2Fwos%2Fwoscc%2Ffull-record%2FWOS:000460623100172","View Full Record in Web of Science")</f>
        <v>View Full Record in Web of Science</v>
      </c>
    </row>
    <row r="550" spans="1:72" x14ac:dyDescent="0.15">
      <c r="A550" t="s">
        <v>72</v>
      </c>
      <c r="B550" t="s">
        <v>10904</v>
      </c>
      <c r="C550" t="s">
        <v>74</v>
      </c>
      <c r="D550" t="s">
        <v>74</v>
      </c>
      <c r="E550" t="s">
        <v>74</v>
      </c>
      <c r="F550" t="s">
        <v>10905</v>
      </c>
      <c r="G550" t="s">
        <v>74</v>
      </c>
      <c r="H550" t="s">
        <v>74</v>
      </c>
      <c r="I550" t="s">
        <v>10906</v>
      </c>
      <c r="J550" t="s">
        <v>10907</v>
      </c>
      <c r="K550" t="s">
        <v>74</v>
      </c>
      <c r="L550" t="s">
        <v>74</v>
      </c>
      <c r="M550" t="s">
        <v>78</v>
      </c>
      <c r="N550" t="s">
        <v>79</v>
      </c>
      <c r="O550" t="s">
        <v>74</v>
      </c>
      <c r="P550" t="s">
        <v>74</v>
      </c>
      <c r="Q550" t="s">
        <v>74</v>
      </c>
      <c r="R550" t="s">
        <v>74</v>
      </c>
      <c r="S550" t="s">
        <v>74</v>
      </c>
      <c r="T550" t="s">
        <v>10908</v>
      </c>
      <c r="U550" t="s">
        <v>10909</v>
      </c>
      <c r="V550" t="s">
        <v>10910</v>
      </c>
      <c r="W550" t="s">
        <v>10911</v>
      </c>
      <c r="X550" t="s">
        <v>10912</v>
      </c>
      <c r="Y550" t="s">
        <v>10913</v>
      </c>
      <c r="Z550" t="s">
        <v>10914</v>
      </c>
      <c r="AA550" t="s">
        <v>10915</v>
      </c>
      <c r="AB550" t="s">
        <v>10916</v>
      </c>
      <c r="AC550" t="s">
        <v>10917</v>
      </c>
      <c r="AD550" t="s">
        <v>10918</v>
      </c>
      <c r="AE550" t="s">
        <v>10919</v>
      </c>
      <c r="AF550" t="s">
        <v>74</v>
      </c>
      <c r="AG550">
        <v>69</v>
      </c>
      <c r="AH550">
        <v>11</v>
      </c>
      <c r="AI550">
        <v>12</v>
      </c>
      <c r="AJ550">
        <v>0</v>
      </c>
      <c r="AK550">
        <v>11</v>
      </c>
      <c r="AL550" t="s">
        <v>815</v>
      </c>
      <c r="AM550" t="s">
        <v>816</v>
      </c>
      <c r="AN550" t="s">
        <v>817</v>
      </c>
      <c r="AO550" t="s">
        <v>10920</v>
      </c>
      <c r="AP550" t="s">
        <v>10921</v>
      </c>
      <c r="AQ550" t="s">
        <v>74</v>
      </c>
      <c r="AR550" t="s">
        <v>10907</v>
      </c>
      <c r="AS550" t="s">
        <v>10922</v>
      </c>
      <c r="AT550" t="s">
        <v>10247</v>
      </c>
      <c r="AU550">
        <v>2015</v>
      </c>
      <c r="AV550">
        <v>232</v>
      </c>
      <c r="AW550" t="s">
        <v>74</v>
      </c>
      <c r="AX550" t="s">
        <v>74</v>
      </c>
      <c r="AY550" t="s">
        <v>74</v>
      </c>
      <c r="AZ550" t="s">
        <v>74</v>
      </c>
      <c r="BA550" t="s">
        <v>74</v>
      </c>
      <c r="BB550">
        <v>209</v>
      </c>
      <c r="BC550">
        <v>223</v>
      </c>
      <c r="BD550" t="s">
        <v>74</v>
      </c>
      <c r="BE550" t="s">
        <v>10923</v>
      </c>
      <c r="BF550" t="str">
        <f>HYPERLINK("http://dx.doi.org/10.1016/j.geomorph.2015.01.003","http://dx.doi.org/10.1016/j.geomorph.2015.01.003")</f>
        <v>http://dx.doi.org/10.1016/j.geomorph.2015.01.003</v>
      </c>
      <c r="BG550" t="s">
        <v>74</v>
      </c>
      <c r="BH550" t="s">
        <v>74</v>
      </c>
      <c r="BI550">
        <v>15</v>
      </c>
      <c r="BJ550" t="s">
        <v>795</v>
      </c>
      <c r="BK550" t="s">
        <v>100</v>
      </c>
      <c r="BL550" t="s">
        <v>796</v>
      </c>
      <c r="BM550" t="s">
        <v>10924</v>
      </c>
      <c r="BN550" t="s">
        <v>74</v>
      </c>
      <c r="BO550" t="s">
        <v>3094</v>
      </c>
      <c r="BP550" t="s">
        <v>74</v>
      </c>
      <c r="BQ550" t="s">
        <v>74</v>
      </c>
      <c r="BR550" t="s">
        <v>104</v>
      </c>
      <c r="BS550" t="s">
        <v>10925</v>
      </c>
      <c r="BT550" t="str">
        <f>HYPERLINK("https%3A%2F%2Fwww.webofscience.com%2Fwos%2Fwoscc%2Ffull-record%2FWOS:000350184400015","View Full Record in Web of Science")</f>
        <v>View Full Record in Web of Science</v>
      </c>
    </row>
    <row r="551" spans="1:72" x14ac:dyDescent="0.15">
      <c r="A551" t="s">
        <v>72</v>
      </c>
      <c r="B551" t="s">
        <v>10926</v>
      </c>
      <c r="C551" t="s">
        <v>74</v>
      </c>
      <c r="D551" t="s">
        <v>74</v>
      </c>
      <c r="E551" t="s">
        <v>74</v>
      </c>
      <c r="F551" t="s">
        <v>10927</v>
      </c>
      <c r="G551" t="s">
        <v>74</v>
      </c>
      <c r="H551" t="s">
        <v>74</v>
      </c>
      <c r="I551" t="s">
        <v>10928</v>
      </c>
      <c r="J551" t="s">
        <v>10929</v>
      </c>
      <c r="K551" t="s">
        <v>74</v>
      </c>
      <c r="L551" t="s">
        <v>74</v>
      </c>
      <c r="M551" t="s">
        <v>78</v>
      </c>
      <c r="N551" t="s">
        <v>79</v>
      </c>
      <c r="O551" t="s">
        <v>74</v>
      </c>
      <c r="P551" t="s">
        <v>74</v>
      </c>
      <c r="Q551" t="s">
        <v>74</v>
      </c>
      <c r="R551" t="s">
        <v>74</v>
      </c>
      <c r="S551" t="s">
        <v>74</v>
      </c>
      <c r="T551" t="s">
        <v>74</v>
      </c>
      <c r="U551" t="s">
        <v>74</v>
      </c>
      <c r="V551" t="s">
        <v>10930</v>
      </c>
      <c r="W551" t="s">
        <v>10931</v>
      </c>
      <c r="X551" t="s">
        <v>10932</v>
      </c>
      <c r="Y551" t="s">
        <v>10933</v>
      </c>
      <c r="Z551" t="s">
        <v>10934</v>
      </c>
      <c r="AA551" t="s">
        <v>10935</v>
      </c>
      <c r="AB551" t="s">
        <v>10936</v>
      </c>
      <c r="AC551" t="s">
        <v>10937</v>
      </c>
      <c r="AD551" t="s">
        <v>5182</v>
      </c>
      <c r="AE551" t="s">
        <v>74</v>
      </c>
      <c r="AF551" t="s">
        <v>74</v>
      </c>
      <c r="AG551">
        <v>0</v>
      </c>
      <c r="AH551">
        <v>12</v>
      </c>
      <c r="AI551">
        <v>14</v>
      </c>
      <c r="AJ551">
        <v>0</v>
      </c>
      <c r="AK551">
        <v>4</v>
      </c>
      <c r="AL551" t="s">
        <v>10938</v>
      </c>
      <c r="AM551" t="s">
        <v>10939</v>
      </c>
      <c r="AN551" t="s">
        <v>10940</v>
      </c>
      <c r="AO551" t="s">
        <v>10941</v>
      </c>
      <c r="AP551" t="s">
        <v>74</v>
      </c>
      <c r="AQ551" t="s">
        <v>74</v>
      </c>
      <c r="AR551" t="s">
        <v>10942</v>
      </c>
      <c r="AS551" t="s">
        <v>10943</v>
      </c>
      <c r="AT551" t="s">
        <v>8975</v>
      </c>
      <c r="AU551">
        <v>2015</v>
      </c>
      <c r="AV551">
        <v>6</v>
      </c>
      <c r="AW551">
        <v>2</v>
      </c>
      <c r="AX551" t="s">
        <v>74</v>
      </c>
      <c r="AY551" t="s">
        <v>74</v>
      </c>
      <c r="AZ551" t="s">
        <v>74</v>
      </c>
      <c r="BA551" t="s">
        <v>74</v>
      </c>
      <c r="BB551">
        <v>285</v>
      </c>
      <c r="BC551">
        <v>296</v>
      </c>
      <c r="BD551" t="s">
        <v>74</v>
      </c>
      <c r="BE551" t="s">
        <v>10944</v>
      </c>
      <c r="BF551" t="str">
        <f>HYPERLINK("http://dx.doi.org/10.1016/j.gsf.2013.12.012","http://dx.doi.org/10.1016/j.gsf.2013.12.012")</f>
        <v>http://dx.doi.org/10.1016/j.gsf.2013.12.012</v>
      </c>
      <c r="BG551" t="s">
        <v>74</v>
      </c>
      <c r="BH551" t="s">
        <v>74</v>
      </c>
      <c r="BI551">
        <v>12</v>
      </c>
      <c r="BJ551" t="s">
        <v>219</v>
      </c>
      <c r="BK551" t="s">
        <v>100</v>
      </c>
      <c r="BL551" t="s">
        <v>220</v>
      </c>
      <c r="BM551" t="s">
        <v>10945</v>
      </c>
      <c r="BN551" t="s">
        <v>74</v>
      </c>
      <c r="BO551" t="s">
        <v>4689</v>
      </c>
      <c r="BP551" t="s">
        <v>74</v>
      </c>
      <c r="BQ551" t="s">
        <v>74</v>
      </c>
      <c r="BR551" t="s">
        <v>104</v>
      </c>
      <c r="BS551" t="s">
        <v>10946</v>
      </c>
      <c r="BT551" t="str">
        <f>HYPERLINK("https%3A%2F%2Fwww.webofscience.com%2Fwos%2Fwoscc%2Ffull-record%2FWOS:000352180200011","View Full Record in Web of Science")</f>
        <v>View Full Record in Web of Science</v>
      </c>
    </row>
    <row r="552" spans="1:72" x14ac:dyDescent="0.15">
      <c r="A552" t="s">
        <v>72</v>
      </c>
      <c r="B552" t="s">
        <v>10947</v>
      </c>
      <c r="C552" t="s">
        <v>74</v>
      </c>
      <c r="D552" t="s">
        <v>74</v>
      </c>
      <c r="E552" t="s">
        <v>74</v>
      </c>
      <c r="F552" t="s">
        <v>10948</v>
      </c>
      <c r="G552" t="s">
        <v>74</v>
      </c>
      <c r="H552" t="s">
        <v>74</v>
      </c>
      <c r="I552" t="s">
        <v>10949</v>
      </c>
      <c r="J552" t="s">
        <v>10950</v>
      </c>
      <c r="K552" t="s">
        <v>74</v>
      </c>
      <c r="L552" t="s">
        <v>74</v>
      </c>
      <c r="M552" t="s">
        <v>78</v>
      </c>
      <c r="N552" t="s">
        <v>79</v>
      </c>
      <c r="O552" t="s">
        <v>74</v>
      </c>
      <c r="P552" t="s">
        <v>74</v>
      </c>
      <c r="Q552" t="s">
        <v>74</v>
      </c>
      <c r="R552" t="s">
        <v>74</v>
      </c>
      <c r="S552" t="s">
        <v>74</v>
      </c>
      <c r="T552" t="s">
        <v>10951</v>
      </c>
      <c r="U552" t="s">
        <v>74</v>
      </c>
      <c r="V552" t="s">
        <v>10952</v>
      </c>
      <c r="W552" t="s">
        <v>10953</v>
      </c>
      <c r="X552" t="s">
        <v>10954</v>
      </c>
      <c r="Y552" t="s">
        <v>10955</v>
      </c>
      <c r="Z552" t="s">
        <v>10956</v>
      </c>
      <c r="AA552" t="s">
        <v>10957</v>
      </c>
      <c r="AB552" t="s">
        <v>10958</v>
      </c>
      <c r="AC552" t="s">
        <v>74</v>
      </c>
      <c r="AD552" t="s">
        <v>74</v>
      </c>
      <c r="AE552" t="s">
        <v>74</v>
      </c>
      <c r="AF552" t="s">
        <v>74</v>
      </c>
      <c r="AG552">
        <v>27</v>
      </c>
      <c r="AH552">
        <v>14</v>
      </c>
      <c r="AI552">
        <v>14</v>
      </c>
      <c r="AJ552">
        <v>0</v>
      </c>
      <c r="AK552">
        <v>1</v>
      </c>
      <c r="AL552" t="s">
        <v>1480</v>
      </c>
      <c r="AM552" t="s">
        <v>1481</v>
      </c>
      <c r="AN552" t="s">
        <v>1679</v>
      </c>
      <c r="AO552" t="s">
        <v>10959</v>
      </c>
      <c r="AP552" t="s">
        <v>74</v>
      </c>
      <c r="AQ552" t="s">
        <v>74</v>
      </c>
      <c r="AR552" t="s">
        <v>10950</v>
      </c>
      <c r="AS552" t="s">
        <v>10960</v>
      </c>
      <c r="AT552" t="s">
        <v>8975</v>
      </c>
      <c r="AU552">
        <v>2015</v>
      </c>
      <c r="AV552">
        <v>5</v>
      </c>
      <c r="AW552">
        <v>1</v>
      </c>
      <c r="AX552" t="s">
        <v>74</v>
      </c>
      <c r="AY552" t="s">
        <v>74</v>
      </c>
      <c r="AZ552" t="s">
        <v>74</v>
      </c>
      <c r="BA552" t="s">
        <v>74</v>
      </c>
      <c r="BB552">
        <v>2</v>
      </c>
      <c r="BC552">
        <v>14</v>
      </c>
      <c r="BD552" t="s">
        <v>74</v>
      </c>
      <c r="BE552" t="s">
        <v>10961</v>
      </c>
      <c r="BF552" t="str">
        <f>HYPERLINK("http://dx.doi.org/10.3390/geosciences5010002","http://dx.doi.org/10.3390/geosciences5010002")</f>
        <v>http://dx.doi.org/10.3390/geosciences5010002</v>
      </c>
      <c r="BG552" t="s">
        <v>74</v>
      </c>
      <c r="BH552" t="s">
        <v>74</v>
      </c>
      <c r="BI552">
        <v>13</v>
      </c>
      <c r="BJ552" t="s">
        <v>219</v>
      </c>
      <c r="BK552" t="s">
        <v>888</v>
      </c>
      <c r="BL552" t="s">
        <v>220</v>
      </c>
      <c r="BM552" t="s">
        <v>10962</v>
      </c>
      <c r="BN552" t="s">
        <v>74</v>
      </c>
      <c r="BO552" t="s">
        <v>432</v>
      </c>
      <c r="BP552" t="s">
        <v>74</v>
      </c>
      <c r="BQ552" t="s">
        <v>74</v>
      </c>
      <c r="BR552" t="s">
        <v>104</v>
      </c>
      <c r="BS552" t="s">
        <v>10963</v>
      </c>
      <c r="BT552" t="str">
        <f>HYPERLINK("https%3A%2F%2Fwww.webofscience.com%2Fwos%2Fwoscc%2Ffull-record%2FWOS:000409657000001","View Full Record in Web of Science")</f>
        <v>View Full Record in Web of Science</v>
      </c>
    </row>
    <row r="553" spans="1:72" x14ac:dyDescent="0.15">
      <c r="A553" t="s">
        <v>72</v>
      </c>
      <c r="B553" t="s">
        <v>10964</v>
      </c>
      <c r="C553" t="s">
        <v>74</v>
      </c>
      <c r="D553" t="s">
        <v>74</v>
      </c>
      <c r="E553" t="s">
        <v>74</v>
      </c>
      <c r="F553" t="s">
        <v>10965</v>
      </c>
      <c r="G553" t="s">
        <v>74</v>
      </c>
      <c r="H553" t="s">
        <v>74</v>
      </c>
      <c r="I553" t="s">
        <v>10966</v>
      </c>
      <c r="J553" t="s">
        <v>5429</v>
      </c>
      <c r="K553" t="s">
        <v>74</v>
      </c>
      <c r="L553" t="s">
        <v>74</v>
      </c>
      <c r="M553" t="s">
        <v>78</v>
      </c>
      <c r="N553" t="s">
        <v>79</v>
      </c>
      <c r="O553" t="s">
        <v>74</v>
      </c>
      <c r="P553" t="s">
        <v>74</v>
      </c>
      <c r="Q553" t="s">
        <v>74</v>
      </c>
      <c r="R553" t="s">
        <v>74</v>
      </c>
      <c r="S553" t="s">
        <v>74</v>
      </c>
      <c r="T553" t="s">
        <v>74</v>
      </c>
      <c r="U553" t="s">
        <v>10967</v>
      </c>
      <c r="V553" t="s">
        <v>10968</v>
      </c>
      <c r="W553" t="s">
        <v>10969</v>
      </c>
      <c r="X553" t="s">
        <v>10970</v>
      </c>
      <c r="Y553" t="s">
        <v>10971</v>
      </c>
      <c r="Z553" t="s">
        <v>10972</v>
      </c>
      <c r="AA553" t="s">
        <v>10973</v>
      </c>
      <c r="AB553" t="s">
        <v>10974</v>
      </c>
      <c r="AC553" t="s">
        <v>10975</v>
      </c>
      <c r="AD553" t="s">
        <v>10976</v>
      </c>
      <c r="AE553" t="s">
        <v>10977</v>
      </c>
      <c r="AF553" t="s">
        <v>74</v>
      </c>
      <c r="AG553">
        <v>91</v>
      </c>
      <c r="AH553">
        <v>20</v>
      </c>
      <c r="AI553">
        <v>20</v>
      </c>
      <c r="AJ553">
        <v>1</v>
      </c>
      <c r="AK553">
        <v>29</v>
      </c>
      <c r="AL553" t="s">
        <v>266</v>
      </c>
      <c r="AM553" t="s">
        <v>267</v>
      </c>
      <c r="AN553" t="s">
        <v>268</v>
      </c>
      <c r="AO553" t="s">
        <v>5441</v>
      </c>
      <c r="AP553" t="s">
        <v>5442</v>
      </c>
      <c r="AQ553" t="s">
        <v>74</v>
      </c>
      <c r="AR553" t="s">
        <v>5443</v>
      </c>
      <c r="AS553" t="s">
        <v>5444</v>
      </c>
      <c r="AT553" t="s">
        <v>8975</v>
      </c>
      <c r="AU553">
        <v>2015</v>
      </c>
      <c r="AV553">
        <v>29</v>
      </c>
      <c r="AW553">
        <v>3</v>
      </c>
      <c r="AX553" t="s">
        <v>74</v>
      </c>
      <c r="AY553" t="s">
        <v>74</v>
      </c>
      <c r="AZ553" t="s">
        <v>74</v>
      </c>
      <c r="BA553" t="s">
        <v>74</v>
      </c>
      <c r="BB553">
        <v>288</v>
      </c>
      <c r="BC553">
        <v>306</v>
      </c>
      <c r="BD553" t="s">
        <v>74</v>
      </c>
      <c r="BE553" t="s">
        <v>10978</v>
      </c>
      <c r="BF553" t="str">
        <f>HYPERLINK("http://dx.doi.org/10.1002/2014GB005006","http://dx.doi.org/10.1002/2014GB005006")</f>
        <v>http://dx.doi.org/10.1002/2014GB005006</v>
      </c>
      <c r="BG553" t="s">
        <v>74</v>
      </c>
      <c r="BH553" t="s">
        <v>74</v>
      </c>
      <c r="BI553">
        <v>19</v>
      </c>
      <c r="BJ553" t="s">
        <v>1439</v>
      </c>
      <c r="BK553" t="s">
        <v>100</v>
      </c>
      <c r="BL553" t="s">
        <v>1440</v>
      </c>
      <c r="BM553" t="s">
        <v>9105</v>
      </c>
      <c r="BN553" t="s">
        <v>74</v>
      </c>
      <c r="BO553" t="s">
        <v>10752</v>
      </c>
      <c r="BP553" t="s">
        <v>74</v>
      </c>
      <c r="BQ553" t="s">
        <v>74</v>
      </c>
      <c r="BR553" t="s">
        <v>104</v>
      </c>
      <c r="BS553" t="s">
        <v>10979</v>
      </c>
      <c r="BT553" t="str">
        <f>HYPERLINK("https%3A%2F%2Fwww.webofscience.com%2Fwos%2Fwoscc%2Ffull-record%2FWOS:000354382600002","View Full Record in Web of Science")</f>
        <v>View Full Record in Web of Science</v>
      </c>
    </row>
    <row r="554" spans="1:72" x14ac:dyDescent="0.15">
      <c r="A554" t="s">
        <v>72</v>
      </c>
      <c r="B554" t="s">
        <v>10980</v>
      </c>
      <c r="C554" t="s">
        <v>74</v>
      </c>
      <c r="D554" t="s">
        <v>74</v>
      </c>
      <c r="E554" t="s">
        <v>74</v>
      </c>
      <c r="F554" t="s">
        <v>10981</v>
      </c>
      <c r="G554" t="s">
        <v>74</v>
      </c>
      <c r="H554" t="s">
        <v>74</v>
      </c>
      <c r="I554" t="s">
        <v>10982</v>
      </c>
      <c r="J554" t="s">
        <v>5429</v>
      </c>
      <c r="K554" t="s">
        <v>74</v>
      </c>
      <c r="L554" t="s">
        <v>74</v>
      </c>
      <c r="M554" t="s">
        <v>78</v>
      </c>
      <c r="N554" t="s">
        <v>79</v>
      </c>
      <c r="O554" t="s">
        <v>74</v>
      </c>
      <c r="P554" t="s">
        <v>74</v>
      </c>
      <c r="Q554" t="s">
        <v>74</v>
      </c>
      <c r="R554" t="s">
        <v>74</v>
      </c>
      <c r="S554" t="s">
        <v>74</v>
      </c>
      <c r="T554" t="s">
        <v>74</v>
      </c>
      <c r="U554" t="s">
        <v>10983</v>
      </c>
      <c r="V554" t="s">
        <v>10984</v>
      </c>
      <c r="W554" t="s">
        <v>10985</v>
      </c>
      <c r="X554" t="s">
        <v>10986</v>
      </c>
      <c r="Y554" t="s">
        <v>9097</v>
      </c>
      <c r="Z554" t="s">
        <v>9098</v>
      </c>
      <c r="AA554" t="s">
        <v>10987</v>
      </c>
      <c r="AB554" t="s">
        <v>10988</v>
      </c>
      <c r="AC554" t="s">
        <v>10989</v>
      </c>
      <c r="AD554" t="s">
        <v>10990</v>
      </c>
      <c r="AE554" t="s">
        <v>10991</v>
      </c>
      <c r="AF554" t="s">
        <v>74</v>
      </c>
      <c r="AG554">
        <v>113</v>
      </c>
      <c r="AH554">
        <v>37</v>
      </c>
      <c r="AI554">
        <v>40</v>
      </c>
      <c r="AJ554">
        <v>2</v>
      </c>
      <c r="AK554">
        <v>31</v>
      </c>
      <c r="AL554" t="s">
        <v>266</v>
      </c>
      <c r="AM554" t="s">
        <v>267</v>
      </c>
      <c r="AN554" t="s">
        <v>268</v>
      </c>
      <c r="AO554" t="s">
        <v>5441</v>
      </c>
      <c r="AP554" t="s">
        <v>5442</v>
      </c>
      <c r="AQ554" t="s">
        <v>74</v>
      </c>
      <c r="AR554" t="s">
        <v>5443</v>
      </c>
      <c r="AS554" t="s">
        <v>5444</v>
      </c>
      <c r="AT554" t="s">
        <v>8975</v>
      </c>
      <c r="AU554">
        <v>2015</v>
      </c>
      <c r="AV554">
        <v>29</v>
      </c>
      <c r="AW554">
        <v>3</v>
      </c>
      <c r="AX554" t="s">
        <v>74</v>
      </c>
      <c r="AY554" t="s">
        <v>74</v>
      </c>
      <c r="AZ554" t="s">
        <v>74</v>
      </c>
      <c r="BA554" t="s">
        <v>74</v>
      </c>
      <c r="BB554">
        <v>375</v>
      </c>
      <c r="BC554">
        <v>396</v>
      </c>
      <c r="BD554" t="s">
        <v>74</v>
      </c>
      <c r="BE554" t="s">
        <v>10992</v>
      </c>
      <c r="BF554" t="str">
        <f>HYPERLINK("http://dx.doi.org/10.1002/2014GB004920","http://dx.doi.org/10.1002/2014GB004920")</f>
        <v>http://dx.doi.org/10.1002/2014GB004920</v>
      </c>
      <c r="BG554" t="s">
        <v>74</v>
      </c>
      <c r="BH554" t="s">
        <v>74</v>
      </c>
      <c r="BI554">
        <v>22</v>
      </c>
      <c r="BJ554" t="s">
        <v>1439</v>
      </c>
      <c r="BK554" t="s">
        <v>100</v>
      </c>
      <c r="BL554" t="s">
        <v>1440</v>
      </c>
      <c r="BM554" t="s">
        <v>9105</v>
      </c>
      <c r="BN554" t="s">
        <v>74</v>
      </c>
      <c r="BO554" t="s">
        <v>10993</v>
      </c>
      <c r="BP554" t="s">
        <v>74</v>
      </c>
      <c r="BQ554" t="s">
        <v>74</v>
      </c>
      <c r="BR554" t="s">
        <v>104</v>
      </c>
      <c r="BS554" t="s">
        <v>10994</v>
      </c>
      <c r="BT554" t="str">
        <f>HYPERLINK("https%3A%2F%2Fwww.webofscience.com%2Fwos%2Fwoscc%2Ffull-record%2FWOS:000354382600007","View Full Record in Web of Science")</f>
        <v>View Full Record in Web of Science</v>
      </c>
    </row>
    <row r="555" spans="1:72" x14ac:dyDescent="0.15">
      <c r="A555" t="s">
        <v>72</v>
      </c>
      <c r="B555" t="s">
        <v>10995</v>
      </c>
      <c r="C555" t="s">
        <v>74</v>
      </c>
      <c r="D555" t="s">
        <v>74</v>
      </c>
      <c r="E555" t="s">
        <v>74</v>
      </c>
      <c r="F555" t="s">
        <v>10996</v>
      </c>
      <c r="G555" t="s">
        <v>74</v>
      </c>
      <c r="H555" t="s">
        <v>74</v>
      </c>
      <c r="I555" t="s">
        <v>10997</v>
      </c>
      <c r="J555" t="s">
        <v>135</v>
      </c>
      <c r="K555" t="s">
        <v>74</v>
      </c>
      <c r="L555" t="s">
        <v>74</v>
      </c>
      <c r="M555" t="s">
        <v>78</v>
      </c>
      <c r="N555" t="s">
        <v>1291</v>
      </c>
      <c r="O555" t="s">
        <v>74</v>
      </c>
      <c r="P555" t="s">
        <v>74</v>
      </c>
      <c r="Q555" t="s">
        <v>74</v>
      </c>
      <c r="R555" t="s">
        <v>74</v>
      </c>
      <c r="S555" t="s">
        <v>74</v>
      </c>
      <c r="T555" t="s">
        <v>10998</v>
      </c>
      <c r="U555" t="s">
        <v>10999</v>
      </c>
      <c r="V555" t="s">
        <v>11000</v>
      </c>
      <c r="W555" t="s">
        <v>11001</v>
      </c>
      <c r="X555" t="s">
        <v>11002</v>
      </c>
      <c r="Y555" t="s">
        <v>11003</v>
      </c>
      <c r="Z555" t="s">
        <v>11004</v>
      </c>
      <c r="AA555" t="s">
        <v>74</v>
      </c>
      <c r="AB555" t="s">
        <v>74</v>
      </c>
      <c r="AC555" t="s">
        <v>11005</v>
      </c>
      <c r="AD555" t="s">
        <v>7432</v>
      </c>
      <c r="AE555" t="s">
        <v>11006</v>
      </c>
      <c r="AF555" t="s">
        <v>74</v>
      </c>
      <c r="AG555">
        <v>138</v>
      </c>
      <c r="AH555">
        <v>29</v>
      </c>
      <c r="AI555">
        <v>35</v>
      </c>
      <c r="AJ555">
        <v>8</v>
      </c>
      <c r="AK555">
        <v>152</v>
      </c>
      <c r="AL555" t="s">
        <v>91</v>
      </c>
      <c r="AM555" t="s">
        <v>92</v>
      </c>
      <c r="AN555" t="s">
        <v>93</v>
      </c>
      <c r="AO555" t="s">
        <v>148</v>
      </c>
      <c r="AP555" t="s">
        <v>149</v>
      </c>
      <c r="AQ555" t="s">
        <v>74</v>
      </c>
      <c r="AR555" t="s">
        <v>150</v>
      </c>
      <c r="AS555" t="s">
        <v>151</v>
      </c>
      <c r="AT555" t="s">
        <v>8975</v>
      </c>
      <c r="AU555">
        <v>2015</v>
      </c>
      <c r="AV555">
        <v>21</v>
      </c>
      <c r="AW555">
        <v>3</v>
      </c>
      <c r="AX555" t="s">
        <v>74</v>
      </c>
      <c r="AY555" t="s">
        <v>74</v>
      </c>
      <c r="AZ555" t="s">
        <v>74</v>
      </c>
      <c r="BA555" t="s">
        <v>74</v>
      </c>
      <c r="BB555">
        <v>1041</v>
      </c>
      <c r="BC555">
        <v>1057</v>
      </c>
      <c r="BD555" t="s">
        <v>74</v>
      </c>
      <c r="BE555" t="s">
        <v>11007</v>
      </c>
      <c r="BF555" t="str">
        <f>HYPERLINK("http://dx.doi.org/10.1111/gcb.12774","http://dx.doi.org/10.1111/gcb.12774")</f>
        <v>http://dx.doi.org/10.1111/gcb.12774</v>
      </c>
      <c r="BG555" t="s">
        <v>74</v>
      </c>
      <c r="BH555" t="s">
        <v>74</v>
      </c>
      <c r="BI555">
        <v>17</v>
      </c>
      <c r="BJ555" t="s">
        <v>153</v>
      </c>
      <c r="BK555" t="s">
        <v>100</v>
      </c>
      <c r="BL555" t="s">
        <v>154</v>
      </c>
      <c r="BM555" t="s">
        <v>11008</v>
      </c>
      <c r="BN555">
        <v>25336089</v>
      </c>
      <c r="BO555" t="s">
        <v>3356</v>
      </c>
      <c r="BP555" t="s">
        <v>74</v>
      </c>
      <c r="BQ555" t="s">
        <v>74</v>
      </c>
      <c r="BR555" t="s">
        <v>104</v>
      </c>
      <c r="BS555" t="s">
        <v>11009</v>
      </c>
      <c r="BT555" t="str">
        <f>HYPERLINK("https%3A%2F%2Fwww.webofscience.com%2Fwos%2Fwoscc%2Ffull-record%2FWOS:000349896400004","View Full Record in Web of Science")</f>
        <v>View Full Record in Web of Science</v>
      </c>
    </row>
    <row r="556" spans="1:72" x14ac:dyDescent="0.15">
      <c r="A556" t="s">
        <v>72</v>
      </c>
      <c r="B556" t="s">
        <v>11010</v>
      </c>
      <c r="C556" t="s">
        <v>74</v>
      </c>
      <c r="D556" t="s">
        <v>74</v>
      </c>
      <c r="E556" t="s">
        <v>74</v>
      </c>
      <c r="F556" t="s">
        <v>11011</v>
      </c>
      <c r="G556" t="s">
        <v>74</v>
      </c>
      <c r="H556" t="s">
        <v>74</v>
      </c>
      <c r="I556" t="s">
        <v>11012</v>
      </c>
      <c r="J556" t="s">
        <v>2040</v>
      </c>
      <c r="K556" t="s">
        <v>74</v>
      </c>
      <c r="L556" t="s">
        <v>74</v>
      </c>
      <c r="M556" t="s">
        <v>78</v>
      </c>
      <c r="N556" t="s">
        <v>79</v>
      </c>
      <c r="O556" t="s">
        <v>74</v>
      </c>
      <c r="P556" t="s">
        <v>74</v>
      </c>
      <c r="Q556" t="s">
        <v>74</v>
      </c>
      <c r="R556" t="s">
        <v>74</v>
      </c>
      <c r="S556" t="s">
        <v>74</v>
      </c>
      <c r="T556" t="s">
        <v>74</v>
      </c>
      <c r="U556" t="s">
        <v>11013</v>
      </c>
      <c r="V556" t="s">
        <v>11014</v>
      </c>
      <c r="W556" t="s">
        <v>11015</v>
      </c>
      <c r="X556" t="s">
        <v>11016</v>
      </c>
      <c r="Y556" t="s">
        <v>11017</v>
      </c>
      <c r="Z556" t="s">
        <v>9468</v>
      </c>
      <c r="AA556" t="s">
        <v>11018</v>
      </c>
      <c r="AB556" t="s">
        <v>11019</v>
      </c>
      <c r="AC556" t="s">
        <v>11020</v>
      </c>
      <c r="AD556" t="s">
        <v>11020</v>
      </c>
      <c r="AE556" t="s">
        <v>11021</v>
      </c>
      <c r="AF556" t="s">
        <v>74</v>
      </c>
      <c r="AG556">
        <v>42</v>
      </c>
      <c r="AH556">
        <v>81</v>
      </c>
      <c r="AI556">
        <v>88</v>
      </c>
      <c r="AJ556">
        <v>1</v>
      </c>
      <c r="AK556">
        <v>90</v>
      </c>
      <c r="AL556" t="s">
        <v>1158</v>
      </c>
      <c r="AM556" t="s">
        <v>787</v>
      </c>
      <c r="AN556" t="s">
        <v>1159</v>
      </c>
      <c r="AO556" t="s">
        <v>2053</v>
      </c>
      <c r="AP556" t="s">
        <v>2054</v>
      </c>
      <c r="AQ556" t="s">
        <v>74</v>
      </c>
      <c r="AR556" t="s">
        <v>2055</v>
      </c>
      <c r="AS556" t="s">
        <v>2056</v>
      </c>
      <c r="AT556" t="s">
        <v>8975</v>
      </c>
      <c r="AU556">
        <v>2015</v>
      </c>
      <c r="AV556">
        <v>31</v>
      </c>
      <c r="AW556" t="s">
        <v>74</v>
      </c>
      <c r="AX556" t="s">
        <v>74</v>
      </c>
      <c r="AY556" t="s">
        <v>74</v>
      </c>
      <c r="AZ556" t="s">
        <v>74</v>
      </c>
      <c r="BA556" t="s">
        <v>74</v>
      </c>
      <c r="BB556">
        <v>28</v>
      </c>
      <c r="BC556">
        <v>37</v>
      </c>
      <c r="BD556" t="s">
        <v>74</v>
      </c>
      <c r="BE556" t="s">
        <v>11022</v>
      </c>
      <c r="BF556" t="str">
        <f>HYPERLINK("http://dx.doi.org/10.1016/j.gloenvcha.2014.12.003","http://dx.doi.org/10.1016/j.gloenvcha.2014.12.003")</f>
        <v>http://dx.doi.org/10.1016/j.gloenvcha.2014.12.003</v>
      </c>
      <c r="BG556" t="s">
        <v>74</v>
      </c>
      <c r="BH556" t="s">
        <v>74</v>
      </c>
      <c r="BI556">
        <v>10</v>
      </c>
      <c r="BJ556" t="s">
        <v>2058</v>
      </c>
      <c r="BK556" t="s">
        <v>1019</v>
      </c>
      <c r="BL556" t="s">
        <v>2059</v>
      </c>
      <c r="BM556" t="s">
        <v>11023</v>
      </c>
      <c r="BN556" t="s">
        <v>74</v>
      </c>
      <c r="BO556" t="s">
        <v>1542</v>
      </c>
      <c r="BP556" t="s">
        <v>74</v>
      </c>
      <c r="BQ556" t="s">
        <v>74</v>
      </c>
      <c r="BR556" t="s">
        <v>104</v>
      </c>
      <c r="BS556" t="s">
        <v>11024</v>
      </c>
      <c r="BT556" t="str">
        <f>HYPERLINK("https%3A%2F%2Fwww.webofscience.com%2Fwos%2Fwoscc%2Ffull-record%2FWOS:000355359200004","View Full Record in Web of Science")</f>
        <v>View Full Record in Web of Science</v>
      </c>
    </row>
    <row r="557" spans="1:72" x14ac:dyDescent="0.15">
      <c r="A557" t="s">
        <v>72</v>
      </c>
      <c r="B557" t="s">
        <v>11025</v>
      </c>
      <c r="C557" t="s">
        <v>74</v>
      </c>
      <c r="D557" t="s">
        <v>74</v>
      </c>
      <c r="E557" t="s">
        <v>74</v>
      </c>
      <c r="F557" t="s">
        <v>11026</v>
      </c>
      <c r="G557" t="s">
        <v>74</v>
      </c>
      <c r="H557" t="s">
        <v>74</v>
      </c>
      <c r="I557" t="s">
        <v>11027</v>
      </c>
      <c r="J557" t="s">
        <v>8076</v>
      </c>
      <c r="K557" t="s">
        <v>74</v>
      </c>
      <c r="L557" t="s">
        <v>74</v>
      </c>
      <c r="M557" t="s">
        <v>78</v>
      </c>
      <c r="N557" t="s">
        <v>79</v>
      </c>
      <c r="O557" t="s">
        <v>74</v>
      </c>
      <c r="P557" t="s">
        <v>74</v>
      </c>
      <c r="Q557" t="s">
        <v>74</v>
      </c>
      <c r="R557" t="s">
        <v>74</v>
      </c>
      <c r="S557" t="s">
        <v>74</v>
      </c>
      <c r="T557" t="s">
        <v>11028</v>
      </c>
      <c r="U557" t="s">
        <v>11029</v>
      </c>
      <c r="V557" t="s">
        <v>11030</v>
      </c>
      <c r="W557" t="s">
        <v>11031</v>
      </c>
      <c r="X557" t="s">
        <v>11032</v>
      </c>
      <c r="Y557" t="s">
        <v>11033</v>
      </c>
      <c r="Z557" t="s">
        <v>11034</v>
      </c>
      <c r="AA557" t="s">
        <v>11035</v>
      </c>
      <c r="AB557" t="s">
        <v>11036</v>
      </c>
      <c r="AC557" t="s">
        <v>11037</v>
      </c>
      <c r="AD557" t="s">
        <v>11037</v>
      </c>
      <c r="AE557" t="s">
        <v>11038</v>
      </c>
      <c r="AF557" t="s">
        <v>74</v>
      </c>
      <c r="AG557">
        <v>25</v>
      </c>
      <c r="AH557">
        <v>17</v>
      </c>
      <c r="AI557">
        <v>18</v>
      </c>
      <c r="AJ557">
        <v>0</v>
      </c>
      <c r="AK557">
        <v>36</v>
      </c>
      <c r="AL557" t="s">
        <v>8088</v>
      </c>
      <c r="AM557" t="s">
        <v>8089</v>
      </c>
      <c r="AN557" t="s">
        <v>8090</v>
      </c>
      <c r="AO557" t="s">
        <v>8091</v>
      </c>
      <c r="AP557" t="s">
        <v>8092</v>
      </c>
      <c r="AQ557" t="s">
        <v>74</v>
      </c>
      <c r="AR557" t="s">
        <v>8093</v>
      </c>
      <c r="AS557" t="s">
        <v>8094</v>
      </c>
      <c r="AT557" t="s">
        <v>8975</v>
      </c>
      <c r="AU557">
        <v>2015</v>
      </c>
      <c r="AV557">
        <v>53</v>
      </c>
      <c r="AW557">
        <v>3</v>
      </c>
      <c r="AX557" t="s">
        <v>74</v>
      </c>
      <c r="AY557" t="s">
        <v>74</v>
      </c>
      <c r="AZ557" t="s">
        <v>74</v>
      </c>
      <c r="BA557" t="s">
        <v>74</v>
      </c>
      <c r="BB557">
        <v>1186</v>
      </c>
      <c r="BC557">
        <v>1194</v>
      </c>
      <c r="BD557" t="s">
        <v>74</v>
      </c>
      <c r="BE557" t="s">
        <v>11039</v>
      </c>
      <c r="BF557" t="str">
        <f>HYPERLINK("http://dx.doi.org/10.1109/TGRS.2014.2335773","http://dx.doi.org/10.1109/TGRS.2014.2335773")</f>
        <v>http://dx.doi.org/10.1109/TGRS.2014.2335773</v>
      </c>
      <c r="BG557" t="s">
        <v>74</v>
      </c>
      <c r="BH557" t="s">
        <v>74</v>
      </c>
      <c r="BI557">
        <v>9</v>
      </c>
      <c r="BJ557" t="s">
        <v>8096</v>
      </c>
      <c r="BK557" t="s">
        <v>100</v>
      </c>
      <c r="BL557" t="s">
        <v>8097</v>
      </c>
      <c r="BM557" t="s">
        <v>11040</v>
      </c>
      <c r="BN557" t="s">
        <v>74</v>
      </c>
      <c r="BO557" t="s">
        <v>74</v>
      </c>
      <c r="BP557" t="s">
        <v>74</v>
      </c>
      <c r="BQ557" t="s">
        <v>74</v>
      </c>
      <c r="BR557" t="s">
        <v>104</v>
      </c>
      <c r="BS557" t="s">
        <v>11041</v>
      </c>
      <c r="BT557" t="str">
        <f>HYPERLINK("https%3A%2F%2Fwww.webofscience.com%2Fwos%2Fwoscc%2Ffull-record%2FWOS:000343900600005","View Full Record in Web of Science")</f>
        <v>View Full Record in Web of Science</v>
      </c>
    </row>
    <row r="558" spans="1:72" x14ac:dyDescent="0.15">
      <c r="A558" t="s">
        <v>72</v>
      </c>
      <c r="B558" t="s">
        <v>11042</v>
      </c>
      <c r="C558" t="s">
        <v>74</v>
      </c>
      <c r="D558" t="s">
        <v>74</v>
      </c>
      <c r="E558" t="s">
        <v>74</v>
      </c>
      <c r="F558" t="s">
        <v>11043</v>
      </c>
      <c r="G558" t="s">
        <v>74</v>
      </c>
      <c r="H558" t="s">
        <v>74</v>
      </c>
      <c r="I558" t="s">
        <v>11044</v>
      </c>
      <c r="J558" t="s">
        <v>11045</v>
      </c>
      <c r="K558" t="s">
        <v>74</v>
      </c>
      <c r="L558" t="s">
        <v>74</v>
      </c>
      <c r="M558" t="s">
        <v>78</v>
      </c>
      <c r="N558" t="s">
        <v>79</v>
      </c>
      <c r="O558" t="s">
        <v>74</v>
      </c>
      <c r="P558" t="s">
        <v>74</v>
      </c>
      <c r="Q558" t="s">
        <v>74</v>
      </c>
      <c r="R558" t="s">
        <v>74</v>
      </c>
      <c r="S558" t="s">
        <v>74</v>
      </c>
      <c r="T558" t="s">
        <v>11046</v>
      </c>
      <c r="U558" t="s">
        <v>11047</v>
      </c>
      <c r="V558" t="s">
        <v>11048</v>
      </c>
      <c r="W558" t="s">
        <v>11049</v>
      </c>
      <c r="X558" t="s">
        <v>11050</v>
      </c>
      <c r="Y558" t="s">
        <v>11051</v>
      </c>
      <c r="Z558" t="s">
        <v>11052</v>
      </c>
      <c r="AA558" t="s">
        <v>11053</v>
      </c>
      <c r="AB558" t="s">
        <v>11054</v>
      </c>
      <c r="AC558" t="s">
        <v>11055</v>
      </c>
      <c r="AD558" t="s">
        <v>11056</v>
      </c>
      <c r="AE558" t="s">
        <v>11057</v>
      </c>
      <c r="AF558" t="s">
        <v>74</v>
      </c>
      <c r="AG558">
        <v>23</v>
      </c>
      <c r="AH558">
        <v>8</v>
      </c>
      <c r="AI558">
        <v>8</v>
      </c>
      <c r="AJ558">
        <v>1</v>
      </c>
      <c r="AK558">
        <v>7</v>
      </c>
      <c r="AL558" t="s">
        <v>11058</v>
      </c>
      <c r="AM558" t="s">
        <v>5323</v>
      </c>
      <c r="AN558" t="s">
        <v>11059</v>
      </c>
      <c r="AO558" t="s">
        <v>11060</v>
      </c>
      <c r="AP558" t="s">
        <v>11061</v>
      </c>
      <c r="AQ558" t="s">
        <v>74</v>
      </c>
      <c r="AR558" t="s">
        <v>11062</v>
      </c>
      <c r="AS558" t="s">
        <v>11063</v>
      </c>
      <c r="AT558" t="s">
        <v>8975</v>
      </c>
      <c r="AU558">
        <v>2015</v>
      </c>
      <c r="AV558">
        <v>44</v>
      </c>
      <c r="AW558">
        <v>3</v>
      </c>
      <c r="AX558" t="s">
        <v>74</v>
      </c>
      <c r="AY558" t="s">
        <v>74</v>
      </c>
      <c r="AZ558" t="s">
        <v>74</v>
      </c>
      <c r="BA558" t="s">
        <v>74</v>
      </c>
      <c r="BB558">
        <v>339</v>
      </c>
      <c r="BC558">
        <v>347</v>
      </c>
      <c r="BD558" t="s">
        <v>74</v>
      </c>
      <c r="BE558" t="s">
        <v>74</v>
      </c>
      <c r="BF558" t="s">
        <v>74</v>
      </c>
      <c r="BG558" t="s">
        <v>74</v>
      </c>
      <c r="BH558" t="s">
        <v>74</v>
      </c>
      <c r="BI558">
        <v>9</v>
      </c>
      <c r="BJ558" t="s">
        <v>1540</v>
      </c>
      <c r="BK558" t="s">
        <v>100</v>
      </c>
      <c r="BL558" t="s">
        <v>1540</v>
      </c>
      <c r="BM558" t="s">
        <v>11064</v>
      </c>
      <c r="BN558" t="s">
        <v>74</v>
      </c>
      <c r="BO558" t="s">
        <v>74</v>
      </c>
      <c r="BP558" t="s">
        <v>74</v>
      </c>
      <c r="BQ558" t="s">
        <v>74</v>
      </c>
      <c r="BR558" t="s">
        <v>104</v>
      </c>
      <c r="BS558" t="s">
        <v>11065</v>
      </c>
      <c r="BT558" t="str">
        <f>HYPERLINK("https%3A%2F%2Fwww.webofscience.com%2Fwos%2Fwoscc%2Ffull-record%2FWOS:000378977600008","View Full Record in Web of Science")</f>
        <v>View Full Record in Web of Science</v>
      </c>
    </row>
    <row r="559" spans="1:72" x14ac:dyDescent="0.15">
      <c r="A559" t="s">
        <v>72</v>
      </c>
      <c r="B559" t="s">
        <v>11066</v>
      </c>
      <c r="C559" t="s">
        <v>74</v>
      </c>
      <c r="D559" t="s">
        <v>74</v>
      </c>
      <c r="E559" t="s">
        <v>74</v>
      </c>
      <c r="F559" t="s">
        <v>11067</v>
      </c>
      <c r="G559" t="s">
        <v>74</v>
      </c>
      <c r="H559" t="s">
        <v>74</v>
      </c>
      <c r="I559" t="s">
        <v>11068</v>
      </c>
      <c r="J559" t="s">
        <v>11069</v>
      </c>
      <c r="K559" t="s">
        <v>74</v>
      </c>
      <c r="L559" t="s">
        <v>74</v>
      </c>
      <c r="M559" t="s">
        <v>78</v>
      </c>
      <c r="N559" t="s">
        <v>79</v>
      </c>
      <c r="O559" t="s">
        <v>74</v>
      </c>
      <c r="P559" t="s">
        <v>74</v>
      </c>
      <c r="Q559" t="s">
        <v>74</v>
      </c>
      <c r="R559" t="s">
        <v>74</v>
      </c>
      <c r="S559" t="s">
        <v>74</v>
      </c>
      <c r="T559" t="s">
        <v>11070</v>
      </c>
      <c r="U559" t="s">
        <v>11071</v>
      </c>
      <c r="V559" t="s">
        <v>11072</v>
      </c>
      <c r="W559" t="s">
        <v>11073</v>
      </c>
      <c r="X559" t="s">
        <v>11074</v>
      </c>
      <c r="Y559" t="s">
        <v>11075</v>
      </c>
      <c r="Z559" t="s">
        <v>11076</v>
      </c>
      <c r="AA559" t="s">
        <v>11077</v>
      </c>
      <c r="AB559" t="s">
        <v>74</v>
      </c>
      <c r="AC559" t="s">
        <v>11078</v>
      </c>
      <c r="AD559" t="s">
        <v>11079</v>
      </c>
      <c r="AE559" t="s">
        <v>11080</v>
      </c>
      <c r="AF559" t="s">
        <v>74</v>
      </c>
      <c r="AG559">
        <v>31</v>
      </c>
      <c r="AH559">
        <v>58</v>
      </c>
      <c r="AI559">
        <v>67</v>
      </c>
      <c r="AJ559">
        <v>5</v>
      </c>
      <c r="AK559">
        <v>76</v>
      </c>
      <c r="AL559" t="s">
        <v>91</v>
      </c>
      <c r="AM559" t="s">
        <v>92</v>
      </c>
      <c r="AN559" t="s">
        <v>93</v>
      </c>
      <c r="AO559" t="s">
        <v>11081</v>
      </c>
      <c r="AP559" t="s">
        <v>11082</v>
      </c>
      <c r="AQ559" t="s">
        <v>74</v>
      </c>
      <c r="AR559" t="s">
        <v>11083</v>
      </c>
      <c r="AS559" t="s">
        <v>11084</v>
      </c>
      <c r="AT559" t="s">
        <v>8975</v>
      </c>
      <c r="AU559">
        <v>2015</v>
      </c>
      <c r="AV559">
        <v>50</v>
      </c>
      <c r="AW559">
        <v>3</v>
      </c>
      <c r="AX559" t="s">
        <v>74</v>
      </c>
      <c r="AY559" t="s">
        <v>74</v>
      </c>
      <c r="AZ559" t="s">
        <v>74</v>
      </c>
      <c r="BA559" t="s">
        <v>74</v>
      </c>
      <c r="BB559">
        <v>633</v>
      </c>
      <c r="BC559">
        <v>639</v>
      </c>
      <c r="BD559" t="s">
        <v>74</v>
      </c>
      <c r="BE559" t="s">
        <v>11085</v>
      </c>
      <c r="BF559" t="str">
        <f>HYPERLINK("http://dx.doi.org/10.1111/ijfs.12673","http://dx.doi.org/10.1111/ijfs.12673")</f>
        <v>http://dx.doi.org/10.1111/ijfs.12673</v>
      </c>
      <c r="BG559" t="s">
        <v>74</v>
      </c>
      <c r="BH559" t="s">
        <v>74</v>
      </c>
      <c r="BI559">
        <v>7</v>
      </c>
      <c r="BJ559" t="s">
        <v>11086</v>
      </c>
      <c r="BK559" t="s">
        <v>100</v>
      </c>
      <c r="BL559" t="s">
        <v>11086</v>
      </c>
      <c r="BM559" t="s">
        <v>11087</v>
      </c>
      <c r="BN559" t="s">
        <v>74</v>
      </c>
      <c r="BO559" t="s">
        <v>74</v>
      </c>
      <c r="BP559" t="s">
        <v>74</v>
      </c>
      <c r="BQ559" t="s">
        <v>74</v>
      </c>
      <c r="BR559" t="s">
        <v>104</v>
      </c>
      <c r="BS559" t="s">
        <v>11088</v>
      </c>
      <c r="BT559" t="str">
        <f>HYPERLINK("https%3A%2F%2Fwww.webofscience.com%2Fwos%2Fwoscc%2Ffull-record%2FWOS:000349960200009","View Full Record in Web of Science")</f>
        <v>View Full Record in Web of Science</v>
      </c>
    </row>
    <row r="560" spans="1:72" x14ac:dyDescent="0.15">
      <c r="A560" t="s">
        <v>72</v>
      </c>
      <c r="B560" t="s">
        <v>11089</v>
      </c>
      <c r="C560" t="s">
        <v>74</v>
      </c>
      <c r="D560" t="s">
        <v>74</v>
      </c>
      <c r="E560" t="s">
        <v>74</v>
      </c>
      <c r="F560" t="s">
        <v>11090</v>
      </c>
      <c r="G560" t="s">
        <v>74</v>
      </c>
      <c r="H560" t="s">
        <v>74</v>
      </c>
      <c r="I560" t="s">
        <v>11091</v>
      </c>
      <c r="J560" t="s">
        <v>11092</v>
      </c>
      <c r="K560" t="s">
        <v>74</v>
      </c>
      <c r="L560" t="s">
        <v>74</v>
      </c>
      <c r="M560" t="s">
        <v>78</v>
      </c>
      <c r="N560" t="s">
        <v>79</v>
      </c>
      <c r="O560" t="s">
        <v>74</v>
      </c>
      <c r="P560" t="s">
        <v>74</v>
      </c>
      <c r="Q560" t="s">
        <v>74</v>
      </c>
      <c r="R560" t="s">
        <v>74</v>
      </c>
      <c r="S560" t="s">
        <v>74</v>
      </c>
      <c r="T560" t="s">
        <v>11093</v>
      </c>
      <c r="U560" t="s">
        <v>11094</v>
      </c>
      <c r="V560" t="s">
        <v>11095</v>
      </c>
      <c r="W560" t="s">
        <v>11096</v>
      </c>
      <c r="X560" t="s">
        <v>11097</v>
      </c>
      <c r="Y560" t="s">
        <v>11098</v>
      </c>
      <c r="Z560" t="s">
        <v>11099</v>
      </c>
      <c r="AA560" t="s">
        <v>11100</v>
      </c>
      <c r="AB560" t="s">
        <v>11101</v>
      </c>
      <c r="AC560" t="s">
        <v>11102</v>
      </c>
      <c r="AD560" t="s">
        <v>11103</v>
      </c>
      <c r="AE560" t="s">
        <v>11104</v>
      </c>
      <c r="AF560" t="s">
        <v>74</v>
      </c>
      <c r="AG560">
        <v>33</v>
      </c>
      <c r="AH560">
        <v>27</v>
      </c>
      <c r="AI560">
        <v>27</v>
      </c>
      <c r="AJ560">
        <v>0</v>
      </c>
      <c r="AK560">
        <v>17</v>
      </c>
      <c r="AL560" t="s">
        <v>7135</v>
      </c>
      <c r="AM560" t="s">
        <v>7136</v>
      </c>
      <c r="AN560" t="s">
        <v>7137</v>
      </c>
      <c r="AO560" t="s">
        <v>11105</v>
      </c>
      <c r="AP560" t="s">
        <v>74</v>
      </c>
      <c r="AQ560" t="s">
        <v>74</v>
      </c>
      <c r="AR560" t="s">
        <v>11106</v>
      </c>
      <c r="AS560" t="s">
        <v>11107</v>
      </c>
      <c r="AT560" t="s">
        <v>8975</v>
      </c>
      <c r="AU560">
        <v>2015</v>
      </c>
      <c r="AV560">
        <v>28</v>
      </c>
      <c r="AW560">
        <v>1</v>
      </c>
      <c r="AX560" t="s">
        <v>74</v>
      </c>
      <c r="AY560" t="s">
        <v>74</v>
      </c>
      <c r="AZ560" t="s">
        <v>74</v>
      </c>
      <c r="BA560" t="s">
        <v>74</v>
      </c>
      <c r="BB560">
        <v>104</v>
      </c>
      <c r="BC560">
        <v>113</v>
      </c>
      <c r="BD560" t="s">
        <v>74</v>
      </c>
      <c r="BE560" t="s">
        <v>11108</v>
      </c>
      <c r="BF560" t="str">
        <f>HYPERLINK("http://dx.doi.org/10.1177/0394632015572751","http://dx.doi.org/10.1177/0394632015572751")</f>
        <v>http://dx.doi.org/10.1177/0394632015572751</v>
      </c>
      <c r="BG560" t="s">
        <v>74</v>
      </c>
      <c r="BH560" t="s">
        <v>74</v>
      </c>
      <c r="BI560">
        <v>10</v>
      </c>
      <c r="BJ560" t="s">
        <v>11109</v>
      </c>
      <c r="BK560" t="s">
        <v>100</v>
      </c>
      <c r="BL560" t="s">
        <v>11109</v>
      </c>
      <c r="BM560" t="s">
        <v>11110</v>
      </c>
      <c r="BN560">
        <v>25816412</v>
      </c>
      <c r="BO560" t="s">
        <v>559</v>
      </c>
      <c r="BP560" t="s">
        <v>74</v>
      </c>
      <c r="BQ560" t="s">
        <v>74</v>
      </c>
      <c r="BR560" t="s">
        <v>104</v>
      </c>
      <c r="BS560" t="s">
        <v>11111</v>
      </c>
      <c r="BT560" t="str">
        <f>HYPERLINK("https%3A%2F%2Fwww.webofscience.com%2Fwos%2Fwoscc%2Ffull-record%2FWOS:000351841500013","View Full Record in Web of Science")</f>
        <v>View Full Record in Web of Science</v>
      </c>
    </row>
    <row r="561" spans="1:72" x14ac:dyDescent="0.15">
      <c r="A561" t="s">
        <v>72</v>
      </c>
      <c r="B561" t="s">
        <v>11112</v>
      </c>
      <c r="C561" t="s">
        <v>74</v>
      </c>
      <c r="D561" t="s">
        <v>74</v>
      </c>
      <c r="E561" t="s">
        <v>74</v>
      </c>
      <c r="F561" t="s">
        <v>11113</v>
      </c>
      <c r="G561" t="s">
        <v>74</v>
      </c>
      <c r="H561" t="s">
        <v>74</v>
      </c>
      <c r="I561" t="s">
        <v>11114</v>
      </c>
      <c r="J561" t="s">
        <v>11115</v>
      </c>
      <c r="K561" t="s">
        <v>74</v>
      </c>
      <c r="L561" t="s">
        <v>74</v>
      </c>
      <c r="M561" t="s">
        <v>78</v>
      </c>
      <c r="N561" t="s">
        <v>79</v>
      </c>
      <c r="O561" t="s">
        <v>74</v>
      </c>
      <c r="P561" t="s">
        <v>74</v>
      </c>
      <c r="Q561" t="s">
        <v>74</v>
      </c>
      <c r="R561" t="s">
        <v>74</v>
      </c>
      <c r="S561" t="s">
        <v>74</v>
      </c>
      <c r="T561" t="s">
        <v>74</v>
      </c>
      <c r="U561" t="s">
        <v>11116</v>
      </c>
      <c r="V561" t="s">
        <v>11117</v>
      </c>
      <c r="W561" t="s">
        <v>11118</v>
      </c>
      <c r="X561" t="s">
        <v>11119</v>
      </c>
      <c r="Y561" t="s">
        <v>11120</v>
      </c>
      <c r="Z561" t="s">
        <v>11121</v>
      </c>
      <c r="AA561" t="s">
        <v>11122</v>
      </c>
      <c r="AB561" t="s">
        <v>74</v>
      </c>
      <c r="AC561" t="s">
        <v>74</v>
      </c>
      <c r="AD561" t="s">
        <v>74</v>
      </c>
      <c r="AE561" t="s">
        <v>74</v>
      </c>
      <c r="AF561" t="s">
        <v>74</v>
      </c>
      <c r="AG561">
        <v>124</v>
      </c>
      <c r="AH561">
        <v>4</v>
      </c>
      <c r="AI561">
        <v>4</v>
      </c>
      <c r="AJ561">
        <v>0</v>
      </c>
      <c r="AK561">
        <v>15</v>
      </c>
      <c r="AL561" t="s">
        <v>2167</v>
      </c>
      <c r="AM561" t="s">
        <v>2168</v>
      </c>
      <c r="AN561" t="s">
        <v>2169</v>
      </c>
      <c r="AO561" t="s">
        <v>11123</v>
      </c>
      <c r="AP561" t="s">
        <v>11124</v>
      </c>
      <c r="AQ561" t="s">
        <v>74</v>
      </c>
      <c r="AR561" t="s">
        <v>11125</v>
      </c>
      <c r="AS561" t="s">
        <v>11126</v>
      </c>
      <c r="AT561" t="s">
        <v>8975</v>
      </c>
      <c r="AU561">
        <v>2015</v>
      </c>
      <c r="AV561">
        <v>11</v>
      </c>
      <c r="AW561">
        <v>1</v>
      </c>
      <c r="AX561" t="s">
        <v>74</v>
      </c>
      <c r="AY561" t="s">
        <v>74</v>
      </c>
      <c r="AZ561" t="s">
        <v>74</v>
      </c>
      <c r="BA561" t="s">
        <v>74</v>
      </c>
      <c r="BB561">
        <v>17</v>
      </c>
      <c r="BC561">
        <v>39</v>
      </c>
      <c r="BD561" t="s">
        <v>74</v>
      </c>
      <c r="BE561" t="s">
        <v>11127</v>
      </c>
      <c r="BF561" t="str">
        <f>HYPERLINK("http://dx.doi.org/10.1017/S1744552314000342","http://dx.doi.org/10.1017/S1744552314000342")</f>
        <v>http://dx.doi.org/10.1017/S1744552314000342</v>
      </c>
      <c r="BG561" t="s">
        <v>74</v>
      </c>
      <c r="BH561" t="s">
        <v>74</v>
      </c>
      <c r="BI561">
        <v>23</v>
      </c>
      <c r="BJ561" t="s">
        <v>5056</v>
      </c>
      <c r="BK561" t="s">
        <v>888</v>
      </c>
      <c r="BL561" t="s">
        <v>1190</v>
      </c>
      <c r="BM561" t="s">
        <v>11128</v>
      </c>
      <c r="BN561" t="s">
        <v>74</v>
      </c>
      <c r="BO561" t="s">
        <v>74</v>
      </c>
      <c r="BP561" t="s">
        <v>74</v>
      </c>
      <c r="BQ561" t="s">
        <v>74</v>
      </c>
      <c r="BR561" t="s">
        <v>104</v>
      </c>
      <c r="BS561" t="s">
        <v>11129</v>
      </c>
      <c r="BT561" t="str">
        <f>HYPERLINK("https%3A%2F%2Fwww.webofscience.com%2Fwos%2Fwoscc%2Ffull-record%2FWOS:000212613600002","View Full Record in Web of Science")</f>
        <v>View Full Record in Web of Science</v>
      </c>
    </row>
    <row r="562" spans="1:72" x14ac:dyDescent="0.15">
      <c r="A562" t="s">
        <v>72</v>
      </c>
      <c r="B562" t="s">
        <v>11130</v>
      </c>
      <c r="C562" t="s">
        <v>74</v>
      </c>
      <c r="D562" t="s">
        <v>74</v>
      </c>
      <c r="E562" t="s">
        <v>74</v>
      </c>
      <c r="F562" t="s">
        <v>11131</v>
      </c>
      <c r="G562" t="s">
        <v>74</v>
      </c>
      <c r="H562" t="s">
        <v>74</v>
      </c>
      <c r="I562" t="s">
        <v>11132</v>
      </c>
      <c r="J562" t="s">
        <v>178</v>
      </c>
      <c r="K562" t="s">
        <v>74</v>
      </c>
      <c r="L562" t="s">
        <v>74</v>
      </c>
      <c r="M562" t="s">
        <v>78</v>
      </c>
      <c r="N562" t="s">
        <v>79</v>
      </c>
      <c r="O562" t="s">
        <v>74</v>
      </c>
      <c r="P562" t="s">
        <v>74</v>
      </c>
      <c r="Q562" t="s">
        <v>74</v>
      </c>
      <c r="R562" t="s">
        <v>74</v>
      </c>
      <c r="S562" t="s">
        <v>74</v>
      </c>
      <c r="T562" t="s">
        <v>11133</v>
      </c>
      <c r="U562" t="s">
        <v>11134</v>
      </c>
      <c r="V562" t="s">
        <v>11135</v>
      </c>
      <c r="W562" t="s">
        <v>11136</v>
      </c>
      <c r="X562" t="s">
        <v>6754</v>
      </c>
      <c r="Y562" t="s">
        <v>11137</v>
      </c>
      <c r="Z562" t="s">
        <v>11138</v>
      </c>
      <c r="AA562" t="s">
        <v>74</v>
      </c>
      <c r="AB562" t="s">
        <v>11139</v>
      </c>
      <c r="AC562" t="s">
        <v>11140</v>
      </c>
      <c r="AD562" t="s">
        <v>11141</v>
      </c>
      <c r="AE562" t="s">
        <v>11142</v>
      </c>
      <c r="AF562" t="s">
        <v>74</v>
      </c>
      <c r="AG562">
        <v>69</v>
      </c>
      <c r="AH562">
        <v>38</v>
      </c>
      <c r="AI562">
        <v>39</v>
      </c>
      <c r="AJ562">
        <v>0</v>
      </c>
      <c r="AK562">
        <v>33</v>
      </c>
      <c r="AL562" t="s">
        <v>1508</v>
      </c>
      <c r="AM562" t="s">
        <v>92</v>
      </c>
      <c r="AN562" t="s">
        <v>93</v>
      </c>
      <c r="AO562" t="s">
        <v>191</v>
      </c>
      <c r="AP562" t="s">
        <v>192</v>
      </c>
      <c r="AQ562" t="s">
        <v>74</v>
      </c>
      <c r="AR562" t="s">
        <v>193</v>
      </c>
      <c r="AS562" t="s">
        <v>194</v>
      </c>
      <c r="AT562" t="s">
        <v>8975</v>
      </c>
      <c r="AU562">
        <v>2015</v>
      </c>
      <c r="AV562">
        <v>42</v>
      </c>
      <c r="AW562">
        <v>3</v>
      </c>
      <c r="AX562" t="s">
        <v>74</v>
      </c>
      <c r="AY562" t="s">
        <v>74</v>
      </c>
      <c r="AZ562" t="s">
        <v>74</v>
      </c>
      <c r="BA562" t="s">
        <v>74</v>
      </c>
      <c r="BB562">
        <v>463</v>
      </c>
      <c r="BC562">
        <v>474</v>
      </c>
      <c r="BD562" t="s">
        <v>74</v>
      </c>
      <c r="BE562" t="s">
        <v>11143</v>
      </c>
      <c r="BF562" t="str">
        <f>HYPERLINK("http://dx.doi.org/10.1111/jbi.12443","http://dx.doi.org/10.1111/jbi.12443")</f>
        <v>http://dx.doi.org/10.1111/jbi.12443</v>
      </c>
      <c r="BG562" t="s">
        <v>74</v>
      </c>
      <c r="BH562" t="s">
        <v>74</v>
      </c>
      <c r="BI562">
        <v>12</v>
      </c>
      <c r="BJ562" t="s">
        <v>196</v>
      </c>
      <c r="BK562" t="s">
        <v>100</v>
      </c>
      <c r="BL562" t="s">
        <v>197</v>
      </c>
      <c r="BM562" t="s">
        <v>11144</v>
      </c>
      <c r="BN562" t="s">
        <v>74</v>
      </c>
      <c r="BO562" t="s">
        <v>74</v>
      </c>
      <c r="BP562" t="s">
        <v>74</v>
      </c>
      <c r="BQ562" t="s">
        <v>74</v>
      </c>
      <c r="BR562" t="s">
        <v>104</v>
      </c>
      <c r="BS562" t="s">
        <v>11145</v>
      </c>
      <c r="BT562" t="str">
        <f>HYPERLINK("https%3A%2F%2Fwww.webofscience.com%2Fwos%2Fwoscc%2Ffull-record%2FWOS:000350559900005","View Full Record in Web of Science")</f>
        <v>View Full Record in Web of Science</v>
      </c>
    </row>
    <row r="563" spans="1:72" x14ac:dyDescent="0.15">
      <c r="A563" t="s">
        <v>72</v>
      </c>
      <c r="B563" t="s">
        <v>11146</v>
      </c>
      <c r="C563" t="s">
        <v>74</v>
      </c>
      <c r="D563" t="s">
        <v>74</v>
      </c>
      <c r="E563" t="s">
        <v>74</v>
      </c>
      <c r="F563" t="s">
        <v>11147</v>
      </c>
      <c r="G563" t="s">
        <v>74</v>
      </c>
      <c r="H563" t="s">
        <v>74</v>
      </c>
      <c r="I563" t="s">
        <v>11148</v>
      </c>
      <c r="J563" t="s">
        <v>2180</v>
      </c>
      <c r="K563" t="s">
        <v>74</v>
      </c>
      <c r="L563" t="s">
        <v>74</v>
      </c>
      <c r="M563" t="s">
        <v>78</v>
      </c>
      <c r="N563" t="s">
        <v>79</v>
      </c>
      <c r="O563" t="s">
        <v>74</v>
      </c>
      <c r="P563" t="s">
        <v>74</v>
      </c>
      <c r="Q563" t="s">
        <v>74</v>
      </c>
      <c r="R563" t="s">
        <v>74</v>
      </c>
      <c r="S563" t="s">
        <v>74</v>
      </c>
      <c r="T563" t="s">
        <v>74</v>
      </c>
      <c r="U563" t="s">
        <v>11149</v>
      </c>
      <c r="V563" t="s">
        <v>11150</v>
      </c>
      <c r="W563" t="s">
        <v>11151</v>
      </c>
      <c r="X563" t="s">
        <v>4977</v>
      </c>
      <c r="Y563" t="s">
        <v>11152</v>
      </c>
      <c r="Z563" t="s">
        <v>11153</v>
      </c>
      <c r="AA563" t="s">
        <v>11154</v>
      </c>
      <c r="AB563" t="s">
        <v>11155</v>
      </c>
      <c r="AC563" t="s">
        <v>11156</v>
      </c>
      <c r="AD563" t="s">
        <v>7432</v>
      </c>
      <c r="AE563" t="s">
        <v>11157</v>
      </c>
      <c r="AF563" t="s">
        <v>74</v>
      </c>
      <c r="AG563">
        <v>53</v>
      </c>
      <c r="AH563">
        <v>7</v>
      </c>
      <c r="AI563">
        <v>8</v>
      </c>
      <c r="AJ563">
        <v>0</v>
      </c>
      <c r="AK563">
        <v>19</v>
      </c>
      <c r="AL563" t="s">
        <v>2192</v>
      </c>
      <c r="AM563" t="s">
        <v>2193</v>
      </c>
      <c r="AN563" t="s">
        <v>2194</v>
      </c>
      <c r="AO563" t="s">
        <v>2195</v>
      </c>
      <c r="AP563" t="s">
        <v>2196</v>
      </c>
      <c r="AQ563" t="s">
        <v>74</v>
      </c>
      <c r="AR563" t="s">
        <v>2197</v>
      </c>
      <c r="AS563" t="s">
        <v>2198</v>
      </c>
      <c r="AT563" t="s">
        <v>8975</v>
      </c>
      <c r="AU563">
        <v>2015</v>
      </c>
      <c r="AV563">
        <v>28</v>
      </c>
      <c r="AW563">
        <v>6</v>
      </c>
      <c r="AX563" t="s">
        <v>74</v>
      </c>
      <c r="AY563" t="s">
        <v>74</v>
      </c>
      <c r="AZ563" t="s">
        <v>74</v>
      </c>
      <c r="BA563" t="s">
        <v>74</v>
      </c>
      <c r="BB563">
        <v>2291</v>
      </c>
      <c r="BC563">
        <v>2311</v>
      </c>
      <c r="BD563" t="s">
        <v>74</v>
      </c>
      <c r="BE563" t="s">
        <v>11158</v>
      </c>
      <c r="BF563" t="str">
        <f>HYPERLINK("http://dx.doi.org/10.1175/JCLI-D-14-00356.1","http://dx.doi.org/10.1175/JCLI-D-14-00356.1")</f>
        <v>http://dx.doi.org/10.1175/JCLI-D-14-00356.1</v>
      </c>
      <c r="BG563" t="s">
        <v>74</v>
      </c>
      <c r="BH563" t="s">
        <v>74</v>
      </c>
      <c r="BI563">
        <v>21</v>
      </c>
      <c r="BJ563" t="s">
        <v>406</v>
      </c>
      <c r="BK563" t="s">
        <v>100</v>
      </c>
      <c r="BL563" t="s">
        <v>406</v>
      </c>
      <c r="BM563" t="s">
        <v>9916</v>
      </c>
      <c r="BN563" t="s">
        <v>74</v>
      </c>
      <c r="BO563" t="s">
        <v>715</v>
      </c>
      <c r="BP563" t="s">
        <v>74</v>
      </c>
      <c r="BQ563" t="s">
        <v>74</v>
      </c>
      <c r="BR563" t="s">
        <v>104</v>
      </c>
      <c r="BS563" t="s">
        <v>11159</v>
      </c>
      <c r="BT563" t="str">
        <f>HYPERLINK("https%3A%2F%2Fwww.webofscience.com%2Fwos%2Fwoscc%2Ffull-record%2FWOS:000350983700012","View Full Record in Web of Science")</f>
        <v>View Full Record in Web of Science</v>
      </c>
    </row>
    <row r="564" spans="1:72" x14ac:dyDescent="0.15">
      <c r="A564" t="s">
        <v>72</v>
      </c>
      <c r="B564" t="s">
        <v>11160</v>
      </c>
      <c r="C564" t="s">
        <v>74</v>
      </c>
      <c r="D564" t="s">
        <v>74</v>
      </c>
      <c r="E564" t="s">
        <v>74</v>
      </c>
      <c r="F564" t="s">
        <v>11161</v>
      </c>
      <c r="G564" t="s">
        <v>74</v>
      </c>
      <c r="H564" t="s">
        <v>74</v>
      </c>
      <c r="I564" t="s">
        <v>11162</v>
      </c>
      <c r="J564" t="s">
        <v>11163</v>
      </c>
      <c r="K564" t="s">
        <v>74</v>
      </c>
      <c r="L564" t="s">
        <v>74</v>
      </c>
      <c r="M564" t="s">
        <v>78</v>
      </c>
      <c r="N564" t="s">
        <v>79</v>
      </c>
      <c r="O564" t="s">
        <v>74</v>
      </c>
      <c r="P564" t="s">
        <v>74</v>
      </c>
      <c r="Q564" t="s">
        <v>74</v>
      </c>
      <c r="R564" t="s">
        <v>74</v>
      </c>
      <c r="S564" t="s">
        <v>74</v>
      </c>
      <c r="T564" t="s">
        <v>11164</v>
      </c>
      <c r="U564" t="s">
        <v>11165</v>
      </c>
      <c r="V564" t="s">
        <v>11166</v>
      </c>
      <c r="W564" t="s">
        <v>11167</v>
      </c>
      <c r="X564" t="s">
        <v>11168</v>
      </c>
      <c r="Y564" t="s">
        <v>11169</v>
      </c>
      <c r="Z564" t="s">
        <v>11170</v>
      </c>
      <c r="AA564" t="s">
        <v>11171</v>
      </c>
      <c r="AB564" t="s">
        <v>11172</v>
      </c>
      <c r="AC564" t="s">
        <v>11173</v>
      </c>
      <c r="AD564" t="s">
        <v>11174</v>
      </c>
      <c r="AE564" t="s">
        <v>11175</v>
      </c>
      <c r="AF564" t="s">
        <v>74</v>
      </c>
      <c r="AG564">
        <v>81</v>
      </c>
      <c r="AH564">
        <v>58</v>
      </c>
      <c r="AI564">
        <v>64</v>
      </c>
      <c r="AJ564">
        <v>7</v>
      </c>
      <c r="AK564">
        <v>150</v>
      </c>
      <c r="AL564" t="s">
        <v>91</v>
      </c>
      <c r="AM564" t="s">
        <v>92</v>
      </c>
      <c r="AN564" t="s">
        <v>93</v>
      </c>
      <c r="AO564" t="s">
        <v>11176</v>
      </c>
      <c r="AP564" t="s">
        <v>11177</v>
      </c>
      <c r="AQ564" t="s">
        <v>74</v>
      </c>
      <c r="AR564" t="s">
        <v>11178</v>
      </c>
      <c r="AS564" t="s">
        <v>11179</v>
      </c>
      <c r="AT564" t="s">
        <v>8975</v>
      </c>
      <c r="AU564">
        <v>2015</v>
      </c>
      <c r="AV564">
        <v>103</v>
      </c>
      <c r="AW564">
        <v>2</v>
      </c>
      <c r="AX564" t="s">
        <v>74</v>
      </c>
      <c r="AY564" t="s">
        <v>74</v>
      </c>
      <c r="AZ564" t="s">
        <v>74</v>
      </c>
      <c r="BA564" t="s">
        <v>74</v>
      </c>
      <c r="BB564">
        <v>386</v>
      </c>
      <c r="BC564">
        <v>396</v>
      </c>
      <c r="BD564" t="s">
        <v>74</v>
      </c>
      <c r="BE564" t="s">
        <v>11180</v>
      </c>
      <c r="BF564" t="str">
        <f>HYPERLINK("http://dx.doi.org/10.1111/1365-2745.12356","http://dx.doi.org/10.1111/1365-2745.12356")</f>
        <v>http://dx.doi.org/10.1111/1365-2745.12356</v>
      </c>
      <c r="BG564" t="s">
        <v>74</v>
      </c>
      <c r="BH564" t="s">
        <v>74</v>
      </c>
      <c r="BI564">
        <v>11</v>
      </c>
      <c r="BJ564" t="s">
        <v>11181</v>
      </c>
      <c r="BK564" t="s">
        <v>100</v>
      </c>
      <c r="BL564" t="s">
        <v>11182</v>
      </c>
      <c r="BM564" t="s">
        <v>11183</v>
      </c>
      <c r="BN564" t="s">
        <v>74</v>
      </c>
      <c r="BO564" t="s">
        <v>74</v>
      </c>
      <c r="BP564" t="s">
        <v>74</v>
      </c>
      <c r="BQ564" t="s">
        <v>74</v>
      </c>
      <c r="BR564" t="s">
        <v>104</v>
      </c>
      <c r="BS564" t="s">
        <v>11184</v>
      </c>
      <c r="BT564" t="str">
        <f>HYPERLINK("https%3A%2F%2Fwww.webofscience.com%2Fwos%2Fwoscc%2Ffull-record%2FWOS:000350549000010","View Full Record in Web of Science")</f>
        <v>View Full Record in Web of Science</v>
      </c>
    </row>
    <row r="565" spans="1:72" x14ac:dyDescent="0.15">
      <c r="A565" t="s">
        <v>72</v>
      </c>
      <c r="B565" t="s">
        <v>11185</v>
      </c>
      <c r="C565" t="s">
        <v>74</v>
      </c>
      <c r="D565" t="s">
        <v>74</v>
      </c>
      <c r="E565" t="s">
        <v>74</v>
      </c>
      <c r="F565" t="s">
        <v>11186</v>
      </c>
      <c r="G565" t="s">
        <v>74</v>
      </c>
      <c r="H565" t="s">
        <v>74</v>
      </c>
      <c r="I565" t="s">
        <v>11187</v>
      </c>
      <c r="J565" t="s">
        <v>2486</v>
      </c>
      <c r="K565" t="s">
        <v>74</v>
      </c>
      <c r="L565" t="s">
        <v>74</v>
      </c>
      <c r="M565" t="s">
        <v>78</v>
      </c>
      <c r="N565" t="s">
        <v>79</v>
      </c>
      <c r="O565" t="s">
        <v>74</v>
      </c>
      <c r="P565" t="s">
        <v>74</v>
      </c>
      <c r="Q565" t="s">
        <v>74</v>
      </c>
      <c r="R565" t="s">
        <v>74</v>
      </c>
      <c r="S565" t="s">
        <v>74</v>
      </c>
      <c r="T565" t="s">
        <v>11188</v>
      </c>
      <c r="U565" t="s">
        <v>11189</v>
      </c>
      <c r="V565" t="s">
        <v>11190</v>
      </c>
      <c r="W565" t="s">
        <v>11191</v>
      </c>
      <c r="X565" t="s">
        <v>11192</v>
      </c>
      <c r="Y565" t="s">
        <v>11193</v>
      </c>
      <c r="Z565" t="s">
        <v>11194</v>
      </c>
      <c r="AA565" t="s">
        <v>11195</v>
      </c>
      <c r="AB565" t="s">
        <v>11196</v>
      </c>
      <c r="AC565" t="s">
        <v>11197</v>
      </c>
      <c r="AD565" t="s">
        <v>11198</v>
      </c>
      <c r="AE565" t="s">
        <v>11199</v>
      </c>
      <c r="AF565" t="s">
        <v>74</v>
      </c>
      <c r="AG565">
        <v>39</v>
      </c>
      <c r="AH565">
        <v>50</v>
      </c>
      <c r="AI565">
        <v>56</v>
      </c>
      <c r="AJ565">
        <v>0</v>
      </c>
      <c r="AK565">
        <v>52</v>
      </c>
      <c r="AL565" t="s">
        <v>91</v>
      </c>
      <c r="AM565" t="s">
        <v>92</v>
      </c>
      <c r="AN565" t="s">
        <v>93</v>
      </c>
      <c r="AO565" t="s">
        <v>2499</v>
      </c>
      <c r="AP565" t="s">
        <v>2500</v>
      </c>
      <c r="AQ565" t="s">
        <v>74</v>
      </c>
      <c r="AR565" t="s">
        <v>2501</v>
      </c>
      <c r="AS565" t="s">
        <v>2502</v>
      </c>
      <c r="AT565" t="s">
        <v>9061</v>
      </c>
      <c r="AU565">
        <v>2015</v>
      </c>
      <c r="AV565">
        <v>62</v>
      </c>
      <c r="AW565">
        <v>2</v>
      </c>
      <c r="AX565" t="s">
        <v>74</v>
      </c>
      <c r="AY565" t="s">
        <v>74</v>
      </c>
      <c r="AZ565" t="s">
        <v>74</v>
      </c>
      <c r="BA565" t="s">
        <v>74</v>
      </c>
      <c r="BB565">
        <v>196</v>
      </c>
      <c r="BC565">
        <v>205</v>
      </c>
      <c r="BD565" t="s">
        <v>74</v>
      </c>
      <c r="BE565" t="s">
        <v>11200</v>
      </c>
      <c r="BF565" t="str">
        <f>HYPERLINK("http://dx.doi.org/10.1111/jeu.12159","http://dx.doi.org/10.1111/jeu.12159")</f>
        <v>http://dx.doi.org/10.1111/jeu.12159</v>
      </c>
      <c r="BG565" t="s">
        <v>74</v>
      </c>
      <c r="BH565" t="s">
        <v>74</v>
      </c>
      <c r="BI565">
        <v>10</v>
      </c>
      <c r="BJ565" t="s">
        <v>483</v>
      </c>
      <c r="BK565" t="s">
        <v>100</v>
      </c>
      <c r="BL565" t="s">
        <v>483</v>
      </c>
      <c r="BM565" t="s">
        <v>11201</v>
      </c>
      <c r="BN565">
        <v>25105247</v>
      </c>
      <c r="BO565" t="s">
        <v>74</v>
      </c>
      <c r="BP565" t="s">
        <v>74</v>
      </c>
      <c r="BQ565" t="s">
        <v>74</v>
      </c>
      <c r="BR565" t="s">
        <v>104</v>
      </c>
      <c r="BS565" t="s">
        <v>11202</v>
      </c>
      <c r="BT565" t="str">
        <f>HYPERLINK("https%3A%2F%2Fwww.webofscience.com%2Fwos%2Fwoscc%2Ffull-record%2FWOS:000350501600004","View Full Record in Web of Science")</f>
        <v>View Full Record in Web of Science</v>
      </c>
    </row>
    <row r="566" spans="1:72" x14ac:dyDescent="0.15">
      <c r="A566" t="s">
        <v>72</v>
      </c>
      <c r="B566" t="s">
        <v>11203</v>
      </c>
      <c r="C566" t="s">
        <v>74</v>
      </c>
      <c r="D566" t="s">
        <v>74</v>
      </c>
      <c r="E566" t="s">
        <v>74</v>
      </c>
      <c r="F566" t="s">
        <v>11204</v>
      </c>
      <c r="G566" t="s">
        <v>74</v>
      </c>
      <c r="H566" t="s">
        <v>74</v>
      </c>
      <c r="I566" t="s">
        <v>11205</v>
      </c>
      <c r="J566" t="s">
        <v>7558</v>
      </c>
      <c r="K566" t="s">
        <v>74</v>
      </c>
      <c r="L566" t="s">
        <v>74</v>
      </c>
      <c r="M566" t="s">
        <v>78</v>
      </c>
      <c r="N566" t="s">
        <v>79</v>
      </c>
      <c r="O566" t="s">
        <v>74</v>
      </c>
      <c r="P566" t="s">
        <v>74</v>
      </c>
      <c r="Q566" t="s">
        <v>74</v>
      </c>
      <c r="R566" t="s">
        <v>74</v>
      </c>
      <c r="S566" t="s">
        <v>74</v>
      </c>
      <c r="T566" t="s">
        <v>11206</v>
      </c>
      <c r="U566" t="s">
        <v>11207</v>
      </c>
      <c r="V566" t="s">
        <v>11208</v>
      </c>
      <c r="W566" t="s">
        <v>11209</v>
      </c>
      <c r="X566" t="s">
        <v>11210</v>
      </c>
      <c r="Y566" t="s">
        <v>11211</v>
      </c>
      <c r="Z566" t="s">
        <v>11212</v>
      </c>
      <c r="AA566" t="s">
        <v>11213</v>
      </c>
      <c r="AB566" t="s">
        <v>11214</v>
      </c>
      <c r="AC566" t="s">
        <v>11215</v>
      </c>
      <c r="AD566" t="s">
        <v>11216</v>
      </c>
      <c r="AE566" t="s">
        <v>11217</v>
      </c>
      <c r="AF566" t="s">
        <v>74</v>
      </c>
      <c r="AG566">
        <v>58</v>
      </c>
      <c r="AH566">
        <v>32</v>
      </c>
      <c r="AI566">
        <v>32</v>
      </c>
      <c r="AJ566">
        <v>0</v>
      </c>
      <c r="AK566">
        <v>11</v>
      </c>
      <c r="AL566" t="s">
        <v>266</v>
      </c>
      <c r="AM566" t="s">
        <v>267</v>
      </c>
      <c r="AN566" t="s">
        <v>268</v>
      </c>
      <c r="AO566" t="s">
        <v>7571</v>
      </c>
      <c r="AP566" t="s">
        <v>7572</v>
      </c>
      <c r="AQ566" t="s">
        <v>74</v>
      </c>
      <c r="AR566" t="s">
        <v>7573</v>
      </c>
      <c r="AS566" t="s">
        <v>7574</v>
      </c>
      <c r="AT566" t="s">
        <v>8975</v>
      </c>
      <c r="AU566">
        <v>2015</v>
      </c>
      <c r="AV566">
        <v>120</v>
      </c>
      <c r="AW566">
        <v>3</v>
      </c>
      <c r="AX566" t="s">
        <v>74</v>
      </c>
      <c r="AY566" t="s">
        <v>74</v>
      </c>
      <c r="AZ566" t="s">
        <v>74</v>
      </c>
      <c r="BA566" t="s">
        <v>74</v>
      </c>
      <c r="BB566">
        <v>564</v>
      </c>
      <c r="BC566">
        <v>579</v>
      </c>
      <c r="BD566" t="s">
        <v>74</v>
      </c>
      <c r="BE566" t="s">
        <v>11218</v>
      </c>
      <c r="BF566" t="str">
        <f>HYPERLINK("http://dx.doi.org/10.1002/2014JF003246","http://dx.doi.org/10.1002/2014JF003246")</f>
        <v>http://dx.doi.org/10.1002/2014JF003246</v>
      </c>
      <c r="BG566" t="s">
        <v>74</v>
      </c>
      <c r="BH566" t="s">
        <v>74</v>
      </c>
      <c r="BI566">
        <v>16</v>
      </c>
      <c r="BJ566" t="s">
        <v>219</v>
      </c>
      <c r="BK566" t="s">
        <v>100</v>
      </c>
      <c r="BL566" t="s">
        <v>220</v>
      </c>
      <c r="BM566" t="s">
        <v>9184</v>
      </c>
      <c r="BN566" t="s">
        <v>74</v>
      </c>
      <c r="BO566" t="s">
        <v>10993</v>
      </c>
      <c r="BP566" t="s">
        <v>74</v>
      </c>
      <c r="BQ566" t="s">
        <v>74</v>
      </c>
      <c r="BR566" t="s">
        <v>104</v>
      </c>
      <c r="BS566" t="s">
        <v>11219</v>
      </c>
      <c r="BT566" t="str">
        <f>HYPERLINK("https%3A%2F%2Fwww.webofscience.com%2Fwos%2Fwoscc%2Ffull-record%2FWOS:000353694200010","View Full Record in Web of Science")</f>
        <v>View Full Record in Web of Science</v>
      </c>
    </row>
    <row r="567" spans="1:72" x14ac:dyDescent="0.15">
      <c r="A567" t="s">
        <v>72</v>
      </c>
      <c r="B567" t="s">
        <v>11220</v>
      </c>
      <c r="C567" t="s">
        <v>74</v>
      </c>
      <c r="D567" t="s">
        <v>74</v>
      </c>
      <c r="E567" t="s">
        <v>74</v>
      </c>
      <c r="F567" t="s">
        <v>11221</v>
      </c>
      <c r="G567" t="s">
        <v>74</v>
      </c>
      <c r="H567" t="s">
        <v>74</v>
      </c>
      <c r="I567" t="s">
        <v>11222</v>
      </c>
      <c r="J567" t="s">
        <v>7558</v>
      </c>
      <c r="K567" t="s">
        <v>74</v>
      </c>
      <c r="L567" t="s">
        <v>74</v>
      </c>
      <c r="M567" t="s">
        <v>78</v>
      </c>
      <c r="N567" t="s">
        <v>79</v>
      </c>
      <c r="O567" t="s">
        <v>74</v>
      </c>
      <c r="P567" t="s">
        <v>74</v>
      </c>
      <c r="Q567" t="s">
        <v>74</v>
      </c>
      <c r="R567" t="s">
        <v>74</v>
      </c>
      <c r="S567" t="s">
        <v>74</v>
      </c>
      <c r="T567" t="s">
        <v>11223</v>
      </c>
      <c r="U567" t="s">
        <v>11224</v>
      </c>
      <c r="V567" t="s">
        <v>11225</v>
      </c>
      <c r="W567" t="s">
        <v>11226</v>
      </c>
      <c r="X567" t="s">
        <v>11227</v>
      </c>
      <c r="Y567" t="s">
        <v>11228</v>
      </c>
      <c r="Z567" t="s">
        <v>11229</v>
      </c>
      <c r="AA567" t="s">
        <v>11230</v>
      </c>
      <c r="AB567" t="s">
        <v>11231</v>
      </c>
      <c r="AC567" t="s">
        <v>11232</v>
      </c>
      <c r="AD567" t="s">
        <v>11233</v>
      </c>
      <c r="AE567" t="s">
        <v>11234</v>
      </c>
      <c r="AF567" t="s">
        <v>74</v>
      </c>
      <c r="AG567">
        <v>60</v>
      </c>
      <c r="AH567">
        <v>16</v>
      </c>
      <c r="AI567">
        <v>16</v>
      </c>
      <c r="AJ567">
        <v>0</v>
      </c>
      <c r="AK567">
        <v>25</v>
      </c>
      <c r="AL567" t="s">
        <v>266</v>
      </c>
      <c r="AM567" t="s">
        <v>267</v>
      </c>
      <c r="AN567" t="s">
        <v>268</v>
      </c>
      <c r="AO567" t="s">
        <v>7571</v>
      </c>
      <c r="AP567" t="s">
        <v>7572</v>
      </c>
      <c r="AQ567" t="s">
        <v>74</v>
      </c>
      <c r="AR567" t="s">
        <v>7573</v>
      </c>
      <c r="AS567" t="s">
        <v>7574</v>
      </c>
      <c r="AT567" t="s">
        <v>8975</v>
      </c>
      <c r="AU567">
        <v>2015</v>
      </c>
      <c r="AV567">
        <v>120</v>
      </c>
      <c r="AW567">
        <v>3</v>
      </c>
      <c r="AX567" t="s">
        <v>74</v>
      </c>
      <c r="AY567" t="s">
        <v>74</v>
      </c>
      <c r="AZ567" t="s">
        <v>74</v>
      </c>
      <c r="BA567" t="s">
        <v>74</v>
      </c>
      <c r="BB567">
        <v>637</v>
      </c>
      <c r="BC567">
        <v>654</v>
      </c>
      <c r="BD567" t="s">
        <v>74</v>
      </c>
      <c r="BE567" t="s">
        <v>11235</v>
      </c>
      <c r="BF567" t="str">
        <f>HYPERLINK("http://dx.doi.org/10.1002/2014JF003329","http://dx.doi.org/10.1002/2014JF003329")</f>
        <v>http://dx.doi.org/10.1002/2014JF003329</v>
      </c>
      <c r="BG567" t="s">
        <v>74</v>
      </c>
      <c r="BH567" t="s">
        <v>74</v>
      </c>
      <c r="BI567">
        <v>18</v>
      </c>
      <c r="BJ567" t="s">
        <v>219</v>
      </c>
      <c r="BK567" t="s">
        <v>100</v>
      </c>
      <c r="BL567" t="s">
        <v>220</v>
      </c>
      <c r="BM567" t="s">
        <v>9184</v>
      </c>
      <c r="BN567" t="s">
        <v>74</v>
      </c>
      <c r="BO567" t="s">
        <v>2307</v>
      </c>
      <c r="BP567" t="s">
        <v>74</v>
      </c>
      <c r="BQ567" t="s">
        <v>74</v>
      </c>
      <c r="BR567" t="s">
        <v>104</v>
      </c>
      <c r="BS567" t="s">
        <v>11236</v>
      </c>
      <c r="BT567" t="str">
        <f>HYPERLINK("https%3A%2F%2Fwww.webofscience.com%2Fwos%2Fwoscc%2Ffull-record%2FWOS:000353694200014","View Full Record in Web of Science")</f>
        <v>View Full Record in Web of Science</v>
      </c>
    </row>
    <row r="568" spans="1:72" x14ac:dyDescent="0.15">
      <c r="A568" t="s">
        <v>72</v>
      </c>
      <c r="B568" t="s">
        <v>11237</v>
      </c>
      <c r="C568" t="s">
        <v>74</v>
      </c>
      <c r="D568" t="s">
        <v>74</v>
      </c>
      <c r="E568" t="s">
        <v>74</v>
      </c>
      <c r="F568" t="s">
        <v>11238</v>
      </c>
      <c r="G568" t="s">
        <v>74</v>
      </c>
      <c r="H568" t="s">
        <v>74</v>
      </c>
      <c r="I568" t="s">
        <v>11239</v>
      </c>
      <c r="J568" t="s">
        <v>1519</v>
      </c>
      <c r="K568" t="s">
        <v>74</v>
      </c>
      <c r="L568" t="s">
        <v>74</v>
      </c>
      <c r="M568" t="s">
        <v>78</v>
      </c>
      <c r="N568" t="s">
        <v>79</v>
      </c>
      <c r="O568" t="s">
        <v>74</v>
      </c>
      <c r="P568" t="s">
        <v>74</v>
      </c>
      <c r="Q568" t="s">
        <v>74</v>
      </c>
      <c r="R568" t="s">
        <v>74</v>
      </c>
      <c r="S568" t="s">
        <v>74</v>
      </c>
      <c r="T568" t="s">
        <v>11240</v>
      </c>
      <c r="U568" t="s">
        <v>11241</v>
      </c>
      <c r="V568" t="s">
        <v>11242</v>
      </c>
      <c r="W568" t="s">
        <v>11243</v>
      </c>
      <c r="X568" t="s">
        <v>11244</v>
      </c>
      <c r="Y568" t="s">
        <v>11245</v>
      </c>
      <c r="Z568" t="s">
        <v>11246</v>
      </c>
      <c r="AA568" t="s">
        <v>11247</v>
      </c>
      <c r="AB568" t="s">
        <v>11248</v>
      </c>
      <c r="AC568" t="s">
        <v>11249</v>
      </c>
      <c r="AD568" t="s">
        <v>11250</v>
      </c>
      <c r="AE568" t="s">
        <v>11251</v>
      </c>
      <c r="AF568" t="s">
        <v>74</v>
      </c>
      <c r="AG568">
        <v>66</v>
      </c>
      <c r="AH568">
        <v>32</v>
      </c>
      <c r="AI568">
        <v>33</v>
      </c>
      <c r="AJ568">
        <v>1</v>
      </c>
      <c r="AK568">
        <v>26</v>
      </c>
      <c r="AL568" t="s">
        <v>266</v>
      </c>
      <c r="AM568" t="s">
        <v>267</v>
      </c>
      <c r="AN568" t="s">
        <v>268</v>
      </c>
      <c r="AO568" t="s">
        <v>1535</v>
      </c>
      <c r="AP568" t="s">
        <v>1536</v>
      </c>
      <c r="AQ568" t="s">
        <v>74</v>
      </c>
      <c r="AR568" t="s">
        <v>1537</v>
      </c>
      <c r="AS568" t="s">
        <v>1538</v>
      </c>
      <c r="AT568" t="s">
        <v>8975</v>
      </c>
      <c r="AU568">
        <v>2015</v>
      </c>
      <c r="AV568">
        <v>120</v>
      </c>
      <c r="AW568">
        <v>3</v>
      </c>
      <c r="AX568" t="s">
        <v>74</v>
      </c>
      <c r="AY568" t="s">
        <v>74</v>
      </c>
      <c r="AZ568" t="s">
        <v>74</v>
      </c>
      <c r="BA568" t="s">
        <v>74</v>
      </c>
      <c r="BB568">
        <v>1446</v>
      </c>
      <c r="BC568">
        <v>1461</v>
      </c>
      <c r="BD568" t="s">
        <v>74</v>
      </c>
      <c r="BE568" t="s">
        <v>11252</v>
      </c>
      <c r="BF568" t="str">
        <f>HYPERLINK("http://dx.doi.org/10.1002/2014JC010580","http://dx.doi.org/10.1002/2014JC010580")</f>
        <v>http://dx.doi.org/10.1002/2014JC010580</v>
      </c>
      <c r="BG568" t="s">
        <v>74</v>
      </c>
      <c r="BH568" t="s">
        <v>74</v>
      </c>
      <c r="BI568">
        <v>16</v>
      </c>
      <c r="BJ568" t="s">
        <v>1540</v>
      </c>
      <c r="BK568" t="s">
        <v>100</v>
      </c>
      <c r="BL568" t="s">
        <v>1540</v>
      </c>
      <c r="BM568" t="s">
        <v>9137</v>
      </c>
      <c r="BN568" t="s">
        <v>74</v>
      </c>
      <c r="BO568" t="s">
        <v>559</v>
      </c>
      <c r="BP568" t="s">
        <v>74</v>
      </c>
      <c r="BQ568" t="s">
        <v>74</v>
      </c>
      <c r="BR568" t="s">
        <v>104</v>
      </c>
      <c r="BS568" t="s">
        <v>11253</v>
      </c>
      <c r="BT568" t="str">
        <f>HYPERLINK("https%3A%2F%2Fwww.webofscience.com%2Fwos%2Fwoscc%2Ffull-record%2FWOS:000353900000002","View Full Record in Web of Science")</f>
        <v>View Full Record in Web of Science</v>
      </c>
    </row>
    <row r="569" spans="1:72" x14ac:dyDescent="0.15">
      <c r="A569" t="s">
        <v>72</v>
      </c>
      <c r="B569" t="s">
        <v>11254</v>
      </c>
      <c r="C569" t="s">
        <v>74</v>
      </c>
      <c r="D569" t="s">
        <v>74</v>
      </c>
      <c r="E569" t="s">
        <v>74</v>
      </c>
      <c r="F569" t="s">
        <v>11255</v>
      </c>
      <c r="G569" t="s">
        <v>74</v>
      </c>
      <c r="H569" t="s">
        <v>74</v>
      </c>
      <c r="I569" t="s">
        <v>11256</v>
      </c>
      <c r="J569" t="s">
        <v>1519</v>
      </c>
      <c r="K569" t="s">
        <v>74</v>
      </c>
      <c r="L569" t="s">
        <v>74</v>
      </c>
      <c r="M569" t="s">
        <v>78</v>
      </c>
      <c r="N569" t="s">
        <v>79</v>
      </c>
      <c r="O569" t="s">
        <v>74</v>
      </c>
      <c r="P569" t="s">
        <v>74</v>
      </c>
      <c r="Q569" t="s">
        <v>74</v>
      </c>
      <c r="R569" t="s">
        <v>74</v>
      </c>
      <c r="S569" t="s">
        <v>74</v>
      </c>
      <c r="T569" t="s">
        <v>74</v>
      </c>
      <c r="U569" t="s">
        <v>11257</v>
      </c>
      <c r="V569" t="s">
        <v>11258</v>
      </c>
      <c r="W569" t="s">
        <v>11259</v>
      </c>
      <c r="X569" t="s">
        <v>11260</v>
      </c>
      <c r="Y569" t="s">
        <v>11261</v>
      </c>
      <c r="Z569" t="s">
        <v>11262</v>
      </c>
      <c r="AA569" t="s">
        <v>11263</v>
      </c>
      <c r="AB569" t="s">
        <v>11264</v>
      </c>
      <c r="AC569" t="s">
        <v>11265</v>
      </c>
      <c r="AD569" t="s">
        <v>11266</v>
      </c>
      <c r="AE569" t="s">
        <v>11267</v>
      </c>
      <c r="AF569" t="s">
        <v>74</v>
      </c>
      <c r="AG569">
        <v>77</v>
      </c>
      <c r="AH569">
        <v>32</v>
      </c>
      <c r="AI569">
        <v>34</v>
      </c>
      <c r="AJ569">
        <v>1</v>
      </c>
      <c r="AK569">
        <v>14</v>
      </c>
      <c r="AL569" t="s">
        <v>266</v>
      </c>
      <c r="AM569" t="s">
        <v>267</v>
      </c>
      <c r="AN569" t="s">
        <v>268</v>
      </c>
      <c r="AO569" t="s">
        <v>1535</v>
      </c>
      <c r="AP569" t="s">
        <v>1536</v>
      </c>
      <c r="AQ569" t="s">
        <v>74</v>
      </c>
      <c r="AR569" t="s">
        <v>1537</v>
      </c>
      <c r="AS569" t="s">
        <v>1538</v>
      </c>
      <c r="AT569" t="s">
        <v>8975</v>
      </c>
      <c r="AU569">
        <v>2015</v>
      </c>
      <c r="AV569">
        <v>120</v>
      </c>
      <c r="AW569">
        <v>3</v>
      </c>
      <c r="AX569" t="s">
        <v>74</v>
      </c>
      <c r="AY569" t="s">
        <v>74</v>
      </c>
      <c r="AZ569" t="s">
        <v>74</v>
      </c>
      <c r="BA569" t="s">
        <v>74</v>
      </c>
      <c r="BB569">
        <v>1703</v>
      </c>
      <c r="BC569">
        <v>1724</v>
      </c>
      <c r="BD569" t="s">
        <v>74</v>
      </c>
      <c r="BE569" t="s">
        <v>11268</v>
      </c>
      <c r="BF569" t="str">
        <f>HYPERLINK("http://dx.doi.org/10.1002/2014JC010327","http://dx.doi.org/10.1002/2014JC010327")</f>
        <v>http://dx.doi.org/10.1002/2014JC010327</v>
      </c>
      <c r="BG569" t="s">
        <v>74</v>
      </c>
      <c r="BH569" t="s">
        <v>74</v>
      </c>
      <c r="BI569">
        <v>22</v>
      </c>
      <c r="BJ569" t="s">
        <v>1540</v>
      </c>
      <c r="BK569" t="s">
        <v>100</v>
      </c>
      <c r="BL569" t="s">
        <v>1540</v>
      </c>
      <c r="BM569" t="s">
        <v>9137</v>
      </c>
      <c r="BN569" t="s">
        <v>74</v>
      </c>
      <c r="BO569" t="s">
        <v>11269</v>
      </c>
      <c r="BP569" t="s">
        <v>74</v>
      </c>
      <c r="BQ569" t="s">
        <v>74</v>
      </c>
      <c r="BR569" t="s">
        <v>104</v>
      </c>
      <c r="BS569" t="s">
        <v>11270</v>
      </c>
      <c r="BT569" t="str">
        <f>HYPERLINK("https%3A%2F%2Fwww.webofscience.com%2Fwos%2Fwoscc%2Ffull-record%2FWOS:000353900000014","View Full Record in Web of Science")</f>
        <v>View Full Record in Web of Science</v>
      </c>
    </row>
    <row r="570" spans="1:72" x14ac:dyDescent="0.15">
      <c r="A570" t="s">
        <v>72</v>
      </c>
      <c r="B570" t="s">
        <v>11271</v>
      </c>
      <c r="C570" t="s">
        <v>74</v>
      </c>
      <c r="D570" t="s">
        <v>74</v>
      </c>
      <c r="E570" t="s">
        <v>74</v>
      </c>
      <c r="F570" t="s">
        <v>11272</v>
      </c>
      <c r="G570" t="s">
        <v>74</v>
      </c>
      <c r="H570" t="s">
        <v>74</v>
      </c>
      <c r="I570" t="s">
        <v>11273</v>
      </c>
      <c r="J570" t="s">
        <v>3338</v>
      </c>
      <c r="K570" t="s">
        <v>74</v>
      </c>
      <c r="L570" t="s">
        <v>74</v>
      </c>
      <c r="M570" t="s">
        <v>78</v>
      </c>
      <c r="N570" t="s">
        <v>79</v>
      </c>
      <c r="O570" t="s">
        <v>74</v>
      </c>
      <c r="P570" t="s">
        <v>74</v>
      </c>
      <c r="Q570" t="s">
        <v>74</v>
      </c>
      <c r="R570" t="s">
        <v>74</v>
      </c>
      <c r="S570" t="s">
        <v>74</v>
      </c>
      <c r="T570" t="s">
        <v>11274</v>
      </c>
      <c r="U570" t="s">
        <v>11275</v>
      </c>
      <c r="V570" t="s">
        <v>11276</v>
      </c>
      <c r="W570" t="s">
        <v>11277</v>
      </c>
      <c r="X570" t="s">
        <v>11278</v>
      </c>
      <c r="Y570" t="s">
        <v>11279</v>
      </c>
      <c r="Z570" t="s">
        <v>11280</v>
      </c>
      <c r="AA570" t="s">
        <v>11281</v>
      </c>
      <c r="AB570" t="s">
        <v>11282</v>
      </c>
      <c r="AC570" t="s">
        <v>11283</v>
      </c>
      <c r="AD570" t="s">
        <v>11284</v>
      </c>
      <c r="AE570" t="s">
        <v>11285</v>
      </c>
      <c r="AF570" t="s">
        <v>74</v>
      </c>
      <c r="AG570">
        <v>54</v>
      </c>
      <c r="AH570">
        <v>11</v>
      </c>
      <c r="AI570">
        <v>11</v>
      </c>
      <c r="AJ570">
        <v>0</v>
      </c>
      <c r="AK570">
        <v>4</v>
      </c>
      <c r="AL570" t="s">
        <v>266</v>
      </c>
      <c r="AM570" t="s">
        <v>267</v>
      </c>
      <c r="AN570" t="s">
        <v>268</v>
      </c>
      <c r="AO570" t="s">
        <v>3350</v>
      </c>
      <c r="AP570" t="s">
        <v>3351</v>
      </c>
      <c r="AQ570" t="s">
        <v>74</v>
      </c>
      <c r="AR570" t="s">
        <v>3352</v>
      </c>
      <c r="AS570" t="s">
        <v>3353</v>
      </c>
      <c r="AT570" t="s">
        <v>8975</v>
      </c>
      <c r="AU570">
        <v>2015</v>
      </c>
      <c r="AV570">
        <v>120</v>
      </c>
      <c r="AW570">
        <v>3</v>
      </c>
      <c r="AX570" t="s">
        <v>74</v>
      </c>
      <c r="AY570" t="s">
        <v>74</v>
      </c>
      <c r="AZ570" t="s">
        <v>74</v>
      </c>
      <c r="BA570" t="s">
        <v>74</v>
      </c>
      <c r="BB570">
        <v>2052</v>
      </c>
      <c r="BC570">
        <v>2060</v>
      </c>
      <c r="BD570" t="s">
        <v>74</v>
      </c>
      <c r="BE570" t="s">
        <v>11286</v>
      </c>
      <c r="BF570" t="str">
        <f>HYPERLINK("http://dx.doi.org/10.1002/2014JA020337","http://dx.doi.org/10.1002/2014JA020337")</f>
        <v>http://dx.doi.org/10.1002/2014JA020337</v>
      </c>
      <c r="BG570" t="s">
        <v>74</v>
      </c>
      <c r="BH570" t="s">
        <v>74</v>
      </c>
      <c r="BI570">
        <v>9</v>
      </c>
      <c r="BJ570" t="s">
        <v>246</v>
      </c>
      <c r="BK570" t="s">
        <v>100</v>
      </c>
      <c r="BL570" t="s">
        <v>246</v>
      </c>
      <c r="BM570" t="s">
        <v>9220</v>
      </c>
      <c r="BN570" t="s">
        <v>74</v>
      </c>
      <c r="BO570" t="s">
        <v>3356</v>
      </c>
      <c r="BP570" t="s">
        <v>74</v>
      </c>
      <c r="BQ570" t="s">
        <v>74</v>
      </c>
      <c r="BR570" t="s">
        <v>104</v>
      </c>
      <c r="BS570" t="s">
        <v>11287</v>
      </c>
      <c r="BT570" t="str">
        <f>HYPERLINK("https%3A%2F%2Fwww.webofscience.com%2Fwos%2Fwoscc%2Ffull-record%2FWOS:000353237600038","View Full Record in Web of Science")</f>
        <v>View Full Record in Web of Science</v>
      </c>
    </row>
    <row r="571" spans="1:72" x14ac:dyDescent="0.15">
      <c r="A571" t="s">
        <v>72</v>
      </c>
      <c r="B571" t="s">
        <v>11288</v>
      </c>
      <c r="C571" t="s">
        <v>74</v>
      </c>
      <c r="D571" t="s">
        <v>74</v>
      </c>
      <c r="E571" t="s">
        <v>74</v>
      </c>
      <c r="F571" t="s">
        <v>11289</v>
      </c>
      <c r="G571" t="s">
        <v>74</v>
      </c>
      <c r="H571" t="s">
        <v>74</v>
      </c>
      <c r="I571" t="s">
        <v>11290</v>
      </c>
      <c r="J571" t="s">
        <v>3338</v>
      </c>
      <c r="K571" t="s">
        <v>74</v>
      </c>
      <c r="L571" t="s">
        <v>74</v>
      </c>
      <c r="M571" t="s">
        <v>78</v>
      </c>
      <c r="N571" t="s">
        <v>79</v>
      </c>
      <c r="O571" t="s">
        <v>74</v>
      </c>
      <c r="P571" t="s">
        <v>74</v>
      </c>
      <c r="Q571" t="s">
        <v>74</v>
      </c>
      <c r="R571" t="s">
        <v>74</v>
      </c>
      <c r="S571" t="s">
        <v>74</v>
      </c>
      <c r="T571" t="s">
        <v>11291</v>
      </c>
      <c r="U571" t="s">
        <v>11292</v>
      </c>
      <c r="V571" t="s">
        <v>11293</v>
      </c>
      <c r="W571" t="s">
        <v>11294</v>
      </c>
      <c r="X571" t="s">
        <v>11295</v>
      </c>
      <c r="Y571" t="s">
        <v>11296</v>
      </c>
      <c r="Z571" t="s">
        <v>11297</v>
      </c>
      <c r="AA571" t="s">
        <v>11298</v>
      </c>
      <c r="AB571" t="s">
        <v>11299</v>
      </c>
      <c r="AC571" t="s">
        <v>11300</v>
      </c>
      <c r="AD571" t="s">
        <v>11301</v>
      </c>
      <c r="AE571" t="s">
        <v>11302</v>
      </c>
      <c r="AF571" t="s">
        <v>74</v>
      </c>
      <c r="AG571">
        <v>72</v>
      </c>
      <c r="AH571">
        <v>29</v>
      </c>
      <c r="AI571">
        <v>29</v>
      </c>
      <c r="AJ571">
        <v>0</v>
      </c>
      <c r="AK571">
        <v>11</v>
      </c>
      <c r="AL571" t="s">
        <v>266</v>
      </c>
      <c r="AM571" t="s">
        <v>267</v>
      </c>
      <c r="AN571" t="s">
        <v>268</v>
      </c>
      <c r="AO571" t="s">
        <v>3350</v>
      </c>
      <c r="AP571" t="s">
        <v>3351</v>
      </c>
      <c r="AQ571" t="s">
        <v>74</v>
      </c>
      <c r="AR571" t="s">
        <v>3352</v>
      </c>
      <c r="AS571" t="s">
        <v>3353</v>
      </c>
      <c r="AT571" t="s">
        <v>8975</v>
      </c>
      <c r="AU571">
        <v>2015</v>
      </c>
      <c r="AV571">
        <v>120</v>
      </c>
      <c r="AW571">
        <v>3</v>
      </c>
      <c r="AX571" t="s">
        <v>74</v>
      </c>
      <c r="AY571" t="s">
        <v>74</v>
      </c>
      <c r="AZ571" t="s">
        <v>74</v>
      </c>
      <c r="BA571" t="s">
        <v>74</v>
      </c>
      <c r="BB571">
        <v>2194</v>
      </c>
      <c r="BC571">
        <v>2211</v>
      </c>
      <c r="BD571" t="s">
        <v>74</v>
      </c>
      <c r="BE571" t="s">
        <v>11303</v>
      </c>
      <c r="BF571" t="str">
        <f>HYPERLINK("http://dx.doi.org/10.1002/2014JA020689","http://dx.doi.org/10.1002/2014JA020689")</f>
        <v>http://dx.doi.org/10.1002/2014JA020689</v>
      </c>
      <c r="BG571" t="s">
        <v>74</v>
      </c>
      <c r="BH571" t="s">
        <v>74</v>
      </c>
      <c r="BI571">
        <v>18</v>
      </c>
      <c r="BJ571" t="s">
        <v>246</v>
      </c>
      <c r="BK571" t="s">
        <v>100</v>
      </c>
      <c r="BL571" t="s">
        <v>246</v>
      </c>
      <c r="BM571" t="s">
        <v>9220</v>
      </c>
      <c r="BN571" t="s">
        <v>74</v>
      </c>
      <c r="BO571" t="s">
        <v>408</v>
      </c>
      <c r="BP571" t="s">
        <v>74</v>
      </c>
      <c r="BQ571" t="s">
        <v>74</v>
      </c>
      <c r="BR571" t="s">
        <v>104</v>
      </c>
      <c r="BS571" t="s">
        <v>11304</v>
      </c>
      <c r="BT571" t="str">
        <f>HYPERLINK("https%3A%2F%2Fwww.webofscience.com%2Fwos%2Fwoscc%2Ffull-record%2FWOS:000353237600049","View Full Record in Web of Science")</f>
        <v>View Full Record in Web of Science</v>
      </c>
    </row>
    <row r="572" spans="1:72" x14ac:dyDescent="0.15">
      <c r="A572" t="s">
        <v>72</v>
      </c>
      <c r="B572" t="s">
        <v>11305</v>
      </c>
      <c r="C572" t="s">
        <v>74</v>
      </c>
      <c r="D572" t="s">
        <v>74</v>
      </c>
      <c r="E572" t="s">
        <v>74</v>
      </c>
      <c r="F572" t="s">
        <v>11306</v>
      </c>
      <c r="G572" t="s">
        <v>74</v>
      </c>
      <c r="H572" t="s">
        <v>74</v>
      </c>
      <c r="I572" t="s">
        <v>11307</v>
      </c>
      <c r="J572" t="s">
        <v>4206</v>
      </c>
      <c r="K572" t="s">
        <v>74</v>
      </c>
      <c r="L572" t="s">
        <v>74</v>
      </c>
      <c r="M572" t="s">
        <v>78</v>
      </c>
      <c r="N572" t="s">
        <v>79</v>
      </c>
      <c r="O572" t="s">
        <v>74</v>
      </c>
      <c r="P572" t="s">
        <v>74</v>
      </c>
      <c r="Q572" t="s">
        <v>74</v>
      </c>
      <c r="R572" t="s">
        <v>74</v>
      </c>
      <c r="S572" t="s">
        <v>74</v>
      </c>
      <c r="T572" t="s">
        <v>11308</v>
      </c>
      <c r="U572" t="s">
        <v>11309</v>
      </c>
      <c r="V572" t="s">
        <v>11310</v>
      </c>
      <c r="W572" t="s">
        <v>11311</v>
      </c>
      <c r="X572" t="s">
        <v>11312</v>
      </c>
      <c r="Y572" t="s">
        <v>11313</v>
      </c>
      <c r="Z572" t="s">
        <v>11314</v>
      </c>
      <c r="AA572" t="s">
        <v>11315</v>
      </c>
      <c r="AB572" t="s">
        <v>11316</v>
      </c>
      <c r="AC572" t="s">
        <v>11317</v>
      </c>
      <c r="AD572" t="s">
        <v>11318</v>
      </c>
      <c r="AE572" t="s">
        <v>11319</v>
      </c>
      <c r="AF572" t="s">
        <v>74</v>
      </c>
      <c r="AG572">
        <v>65</v>
      </c>
      <c r="AH572">
        <v>37</v>
      </c>
      <c r="AI572">
        <v>37</v>
      </c>
      <c r="AJ572">
        <v>0</v>
      </c>
      <c r="AK572">
        <v>38</v>
      </c>
      <c r="AL572" t="s">
        <v>1039</v>
      </c>
      <c r="AM572" t="s">
        <v>816</v>
      </c>
      <c r="AN572" t="s">
        <v>1040</v>
      </c>
      <c r="AO572" t="s">
        <v>4219</v>
      </c>
      <c r="AP572" t="s">
        <v>4220</v>
      </c>
      <c r="AQ572" t="s">
        <v>74</v>
      </c>
      <c r="AR572" t="s">
        <v>4221</v>
      </c>
      <c r="AS572" t="s">
        <v>4222</v>
      </c>
      <c r="AT572" t="s">
        <v>8975</v>
      </c>
      <c r="AU572">
        <v>2015</v>
      </c>
      <c r="AV572">
        <v>143</v>
      </c>
      <c r="AW572" t="s">
        <v>74</v>
      </c>
      <c r="AX572" t="s">
        <v>74</v>
      </c>
      <c r="AY572" t="s">
        <v>74</v>
      </c>
      <c r="AZ572" t="s">
        <v>74</v>
      </c>
      <c r="BA572" t="s">
        <v>74</v>
      </c>
      <c r="BB572">
        <v>62</v>
      </c>
      <c r="BC572">
        <v>72</v>
      </c>
      <c r="BD572" t="s">
        <v>74</v>
      </c>
      <c r="BE572" t="s">
        <v>11320</v>
      </c>
      <c r="BF572" t="str">
        <f>HYPERLINK("http://dx.doi.org/10.1016/j.jmarsys.2014.11.001","http://dx.doi.org/10.1016/j.jmarsys.2014.11.001")</f>
        <v>http://dx.doi.org/10.1016/j.jmarsys.2014.11.001</v>
      </c>
      <c r="BG572" t="s">
        <v>74</v>
      </c>
      <c r="BH572" t="s">
        <v>74</v>
      </c>
      <c r="BI572">
        <v>11</v>
      </c>
      <c r="BJ572" t="s">
        <v>4224</v>
      </c>
      <c r="BK572" t="s">
        <v>100</v>
      </c>
      <c r="BL572" t="s">
        <v>4225</v>
      </c>
      <c r="BM572" t="s">
        <v>11321</v>
      </c>
      <c r="BN572" t="s">
        <v>74</v>
      </c>
      <c r="BO572" t="s">
        <v>1123</v>
      </c>
      <c r="BP572" t="s">
        <v>74</v>
      </c>
      <c r="BQ572" t="s">
        <v>74</v>
      </c>
      <c r="BR572" t="s">
        <v>104</v>
      </c>
      <c r="BS572" t="s">
        <v>11322</v>
      </c>
      <c r="BT572" t="str">
        <f>HYPERLINK("https%3A%2F%2Fwww.webofscience.com%2Fwos%2Fwoscc%2Ffull-record%2FWOS:000348334500006","View Full Record in Web of Science")</f>
        <v>View Full Record in Web of Science</v>
      </c>
    </row>
    <row r="573" spans="1:72" x14ac:dyDescent="0.15">
      <c r="A573" t="s">
        <v>72</v>
      </c>
      <c r="B573" t="s">
        <v>11323</v>
      </c>
      <c r="C573" t="s">
        <v>74</v>
      </c>
      <c r="D573" t="s">
        <v>74</v>
      </c>
      <c r="E573" t="s">
        <v>74</v>
      </c>
      <c r="F573" t="s">
        <v>11324</v>
      </c>
      <c r="G573" t="s">
        <v>74</v>
      </c>
      <c r="H573" t="s">
        <v>74</v>
      </c>
      <c r="I573" t="s">
        <v>11325</v>
      </c>
      <c r="J573" t="s">
        <v>11326</v>
      </c>
      <c r="K573" t="s">
        <v>74</v>
      </c>
      <c r="L573" t="s">
        <v>74</v>
      </c>
      <c r="M573" t="s">
        <v>78</v>
      </c>
      <c r="N573" t="s">
        <v>79</v>
      </c>
      <c r="O573" t="s">
        <v>74</v>
      </c>
      <c r="P573" t="s">
        <v>74</v>
      </c>
      <c r="Q573" t="s">
        <v>74</v>
      </c>
      <c r="R573" t="s">
        <v>74</v>
      </c>
      <c r="S573" t="s">
        <v>74</v>
      </c>
      <c r="T573" t="s">
        <v>74</v>
      </c>
      <c r="U573" t="s">
        <v>11327</v>
      </c>
      <c r="V573" t="s">
        <v>11328</v>
      </c>
      <c r="W573" t="s">
        <v>11329</v>
      </c>
      <c r="X573" t="s">
        <v>11330</v>
      </c>
      <c r="Y573" t="s">
        <v>11331</v>
      </c>
      <c r="Z573" t="s">
        <v>11332</v>
      </c>
      <c r="AA573" t="s">
        <v>11333</v>
      </c>
      <c r="AB573" t="s">
        <v>11334</v>
      </c>
      <c r="AC573" t="s">
        <v>74</v>
      </c>
      <c r="AD573" t="s">
        <v>74</v>
      </c>
      <c r="AE573" t="s">
        <v>74</v>
      </c>
      <c r="AF573" t="s">
        <v>74</v>
      </c>
      <c r="AG573">
        <v>32</v>
      </c>
      <c r="AH573">
        <v>0</v>
      </c>
      <c r="AI573">
        <v>0</v>
      </c>
      <c r="AJ573">
        <v>1</v>
      </c>
      <c r="AK573">
        <v>4</v>
      </c>
      <c r="AL573" t="s">
        <v>11335</v>
      </c>
      <c r="AM573" t="s">
        <v>11336</v>
      </c>
      <c r="AN573" t="s">
        <v>11337</v>
      </c>
      <c r="AO573" t="s">
        <v>11338</v>
      </c>
      <c r="AP573" t="s">
        <v>11339</v>
      </c>
      <c r="AQ573" t="s">
        <v>74</v>
      </c>
      <c r="AR573" t="s">
        <v>11340</v>
      </c>
      <c r="AS573" t="s">
        <v>11341</v>
      </c>
      <c r="AT573" t="s">
        <v>8975</v>
      </c>
      <c r="AU573">
        <v>2015</v>
      </c>
      <c r="AV573">
        <v>9</v>
      </c>
      <c r="AW573">
        <v>1</v>
      </c>
      <c r="AX573" t="s">
        <v>74</v>
      </c>
      <c r="AY573" t="s">
        <v>74</v>
      </c>
      <c r="AZ573" t="s">
        <v>74</v>
      </c>
      <c r="BA573" t="s">
        <v>74</v>
      </c>
      <c r="BB573">
        <v>221</v>
      </c>
      <c r="BC573">
        <v>230</v>
      </c>
      <c r="BD573" t="s">
        <v>74</v>
      </c>
      <c r="BE573" t="s">
        <v>74</v>
      </c>
      <c r="BF573" t="s">
        <v>74</v>
      </c>
      <c r="BG573" t="s">
        <v>74</v>
      </c>
      <c r="BH573" t="s">
        <v>74</v>
      </c>
      <c r="BI573">
        <v>10</v>
      </c>
      <c r="BJ573" t="s">
        <v>2641</v>
      </c>
      <c r="BK573" t="s">
        <v>888</v>
      </c>
      <c r="BL573" t="s">
        <v>2641</v>
      </c>
      <c r="BM573" t="s">
        <v>11342</v>
      </c>
      <c r="BN573" t="s">
        <v>74</v>
      </c>
      <c r="BO573" t="s">
        <v>74</v>
      </c>
      <c r="BP573" t="s">
        <v>74</v>
      </c>
      <c r="BQ573" t="s">
        <v>74</v>
      </c>
      <c r="BR573" t="s">
        <v>104</v>
      </c>
      <c r="BS573" t="s">
        <v>11343</v>
      </c>
      <c r="BT573" t="str">
        <f>HYPERLINK("https%3A%2F%2Fwww.webofscience.com%2Fwos%2Fwoscc%2Ffull-record%2FWOS:000353528400027","View Full Record in Web of Science")</f>
        <v>View Full Record in Web of Science</v>
      </c>
    </row>
    <row r="574" spans="1:72" x14ac:dyDescent="0.15">
      <c r="A574" t="s">
        <v>72</v>
      </c>
      <c r="B574" t="s">
        <v>11344</v>
      </c>
      <c r="C574" t="s">
        <v>74</v>
      </c>
      <c r="D574" t="s">
        <v>74</v>
      </c>
      <c r="E574" t="s">
        <v>74</v>
      </c>
      <c r="F574" t="s">
        <v>11345</v>
      </c>
      <c r="G574" t="s">
        <v>74</v>
      </c>
      <c r="H574" t="s">
        <v>74</v>
      </c>
      <c r="I574" t="s">
        <v>11346</v>
      </c>
      <c r="J574" t="s">
        <v>11347</v>
      </c>
      <c r="K574" t="s">
        <v>74</v>
      </c>
      <c r="L574" t="s">
        <v>74</v>
      </c>
      <c r="M574" t="s">
        <v>78</v>
      </c>
      <c r="N574" t="s">
        <v>1291</v>
      </c>
      <c r="O574" t="s">
        <v>74</v>
      </c>
      <c r="P574" t="s">
        <v>74</v>
      </c>
      <c r="Q574" t="s">
        <v>74</v>
      </c>
      <c r="R574" t="s">
        <v>74</v>
      </c>
      <c r="S574" t="s">
        <v>74</v>
      </c>
      <c r="T574" t="s">
        <v>11348</v>
      </c>
      <c r="U574" t="s">
        <v>11349</v>
      </c>
      <c r="V574" t="s">
        <v>11350</v>
      </c>
      <c r="W574" t="s">
        <v>11351</v>
      </c>
      <c r="X574" t="s">
        <v>11352</v>
      </c>
      <c r="Y574" t="s">
        <v>11353</v>
      </c>
      <c r="Z574" t="s">
        <v>11354</v>
      </c>
      <c r="AA574" t="s">
        <v>11355</v>
      </c>
      <c r="AB574" t="s">
        <v>74</v>
      </c>
      <c r="AC574" t="s">
        <v>11356</v>
      </c>
      <c r="AD574" t="s">
        <v>11357</v>
      </c>
      <c r="AE574" t="s">
        <v>11358</v>
      </c>
      <c r="AF574" t="s">
        <v>74</v>
      </c>
      <c r="AG574">
        <v>15</v>
      </c>
      <c r="AH574">
        <v>0</v>
      </c>
      <c r="AI574">
        <v>0</v>
      </c>
      <c r="AJ574">
        <v>0</v>
      </c>
      <c r="AK574">
        <v>14</v>
      </c>
      <c r="AL574" t="s">
        <v>1239</v>
      </c>
      <c r="AM574" t="s">
        <v>448</v>
      </c>
      <c r="AN574" t="s">
        <v>5095</v>
      </c>
      <c r="AO574" t="s">
        <v>11359</v>
      </c>
      <c r="AP574" t="s">
        <v>11360</v>
      </c>
      <c r="AQ574" t="s">
        <v>74</v>
      </c>
      <c r="AR574" t="s">
        <v>11361</v>
      </c>
      <c r="AS574" t="s">
        <v>11362</v>
      </c>
      <c r="AT574" t="s">
        <v>8975</v>
      </c>
      <c r="AU574">
        <v>2015</v>
      </c>
      <c r="AV574">
        <v>60</v>
      </c>
      <c r="AW574">
        <v>1</v>
      </c>
      <c r="AX574" t="s">
        <v>74</v>
      </c>
      <c r="AY574" t="s">
        <v>74</v>
      </c>
      <c r="AZ574" t="s">
        <v>74</v>
      </c>
      <c r="BA574" t="s">
        <v>74</v>
      </c>
      <c r="BB574">
        <v>153</v>
      </c>
      <c r="BC574">
        <v>165</v>
      </c>
      <c r="BD574" t="s">
        <v>74</v>
      </c>
      <c r="BE574" t="s">
        <v>11363</v>
      </c>
      <c r="BF574" t="str">
        <f>HYPERLINK("http://dx.doi.org/10.1080/14498596.2014.924443","http://dx.doi.org/10.1080/14498596.2014.924443")</f>
        <v>http://dx.doi.org/10.1080/14498596.2014.924443</v>
      </c>
      <c r="BG574" t="s">
        <v>74</v>
      </c>
      <c r="BH574" t="s">
        <v>74</v>
      </c>
      <c r="BI574">
        <v>13</v>
      </c>
      <c r="BJ574" t="s">
        <v>8931</v>
      </c>
      <c r="BK574" t="s">
        <v>100</v>
      </c>
      <c r="BL574" t="s">
        <v>8932</v>
      </c>
      <c r="BM574" t="s">
        <v>11364</v>
      </c>
      <c r="BN574" t="s">
        <v>74</v>
      </c>
      <c r="BO574" t="s">
        <v>74</v>
      </c>
      <c r="BP574" t="s">
        <v>74</v>
      </c>
      <c r="BQ574" t="s">
        <v>74</v>
      </c>
      <c r="BR574" t="s">
        <v>104</v>
      </c>
      <c r="BS574" t="s">
        <v>11365</v>
      </c>
      <c r="BT574" t="str">
        <f>HYPERLINK("https%3A%2F%2Fwww.webofscience.com%2Fwos%2Fwoscc%2Ffull-record%2FWOS:000353103900011","View Full Record in Web of Science")</f>
        <v>View Full Record in Web of Science</v>
      </c>
    </row>
    <row r="575" spans="1:72" x14ac:dyDescent="0.15">
      <c r="A575" t="s">
        <v>72</v>
      </c>
      <c r="B575" t="s">
        <v>11366</v>
      </c>
      <c r="C575" t="s">
        <v>74</v>
      </c>
      <c r="D575" t="s">
        <v>74</v>
      </c>
      <c r="E575" t="s">
        <v>74</v>
      </c>
      <c r="F575" t="s">
        <v>11367</v>
      </c>
      <c r="G575" t="s">
        <v>74</v>
      </c>
      <c r="H575" t="s">
        <v>74</v>
      </c>
      <c r="I575" t="s">
        <v>11368</v>
      </c>
      <c r="J575" t="s">
        <v>11369</v>
      </c>
      <c r="K575" t="s">
        <v>74</v>
      </c>
      <c r="L575" t="s">
        <v>74</v>
      </c>
      <c r="M575" t="s">
        <v>78</v>
      </c>
      <c r="N575" t="s">
        <v>79</v>
      </c>
      <c r="O575" t="s">
        <v>74</v>
      </c>
      <c r="P575" t="s">
        <v>74</v>
      </c>
      <c r="Q575" t="s">
        <v>74</v>
      </c>
      <c r="R575" t="s">
        <v>74</v>
      </c>
      <c r="S575" t="s">
        <v>74</v>
      </c>
      <c r="T575" t="s">
        <v>11370</v>
      </c>
      <c r="U575" t="s">
        <v>11371</v>
      </c>
      <c r="V575" t="s">
        <v>11372</v>
      </c>
      <c r="W575" t="s">
        <v>11373</v>
      </c>
      <c r="X575" t="s">
        <v>11374</v>
      </c>
      <c r="Y575" t="s">
        <v>11375</v>
      </c>
      <c r="Z575" t="s">
        <v>11376</v>
      </c>
      <c r="AA575" t="s">
        <v>11377</v>
      </c>
      <c r="AB575" t="s">
        <v>11378</v>
      </c>
      <c r="AC575" t="s">
        <v>11379</v>
      </c>
      <c r="AD575" t="s">
        <v>11380</v>
      </c>
      <c r="AE575" t="s">
        <v>11381</v>
      </c>
      <c r="AF575" t="s">
        <v>74</v>
      </c>
      <c r="AG575">
        <v>63</v>
      </c>
      <c r="AH575">
        <v>11</v>
      </c>
      <c r="AI575">
        <v>12</v>
      </c>
      <c r="AJ575">
        <v>0</v>
      </c>
      <c r="AK575">
        <v>31</v>
      </c>
      <c r="AL575" t="s">
        <v>239</v>
      </c>
      <c r="AM575" t="s">
        <v>240</v>
      </c>
      <c r="AN575" t="s">
        <v>241</v>
      </c>
      <c r="AO575" t="s">
        <v>11382</v>
      </c>
      <c r="AP575" t="s">
        <v>11383</v>
      </c>
      <c r="AQ575" t="s">
        <v>74</v>
      </c>
      <c r="AR575" t="s">
        <v>11384</v>
      </c>
      <c r="AS575" t="s">
        <v>11385</v>
      </c>
      <c r="AT575" t="s">
        <v>8975</v>
      </c>
      <c r="AU575">
        <v>2015</v>
      </c>
      <c r="AV575">
        <v>189</v>
      </c>
      <c r="AW575">
        <v>3</v>
      </c>
      <c r="AX575" t="s">
        <v>74</v>
      </c>
      <c r="AY575" t="s">
        <v>74</v>
      </c>
      <c r="AZ575" t="s">
        <v>74</v>
      </c>
      <c r="BA575" t="s">
        <v>74</v>
      </c>
      <c r="BB575">
        <v>220</v>
      </c>
      <c r="BC575">
        <v>229</v>
      </c>
      <c r="BD575" t="s">
        <v>74</v>
      </c>
      <c r="BE575" t="s">
        <v>11386</v>
      </c>
      <c r="BF575" t="str">
        <f>HYPERLINK("http://dx.doi.org/10.1016/j.jsb.2015.01.008","http://dx.doi.org/10.1016/j.jsb.2015.01.008")</f>
        <v>http://dx.doi.org/10.1016/j.jsb.2015.01.008</v>
      </c>
      <c r="BG575" t="s">
        <v>74</v>
      </c>
      <c r="BH575" t="s">
        <v>74</v>
      </c>
      <c r="BI575">
        <v>10</v>
      </c>
      <c r="BJ575" t="s">
        <v>11387</v>
      </c>
      <c r="BK575" t="s">
        <v>100</v>
      </c>
      <c r="BL575" t="s">
        <v>11387</v>
      </c>
      <c r="BM575" t="s">
        <v>11388</v>
      </c>
      <c r="BN575">
        <v>25617813</v>
      </c>
      <c r="BO575" t="s">
        <v>2481</v>
      </c>
      <c r="BP575" t="s">
        <v>74</v>
      </c>
      <c r="BQ575" t="s">
        <v>74</v>
      </c>
      <c r="BR575" t="s">
        <v>104</v>
      </c>
      <c r="BS575" t="s">
        <v>11389</v>
      </c>
      <c r="BT575" t="str">
        <f>HYPERLINK("https%3A%2F%2Fwww.webofscience.com%2Fwos%2Fwoscc%2Ffull-record%2FWOS:000351249500007","View Full Record in Web of Science")</f>
        <v>View Full Record in Web of Science</v>
      </c>
    </row>
    <row r="576" spans="1:72" x14ac:dyDescent="0.15">
      <c r="A576" t="s">
        <v>72</v>
      </c>
      <c r="B576" t="s">
        <v>11390</v>
      </c>
      <c r="C576" t="s">
        <v>74</v>
      </c>
      <c r="D576" t="s">
        <v>74</v>
      </c>
      <c r="E576" t="s">
        <v>74</v>
      </c>
      <c r="F576" t="s">
        <v>11391</v>
      </c>
      <c r="G576" t="s">
        <v>74</v>
      </c>
      <c r="H576" t="s">
        <v>74</v>
      </c>
      <c r="I576" t="s">
        <v>11392</v>
      </c>
      <c r="J576" t="s">
        <v>11393</v>
      </c>
      <c r="K576" t="s">
        <v>74</v>
      </c>
      <c r="L576" t="s">
        <v>74</v>
      </c>
      <c r="M576" t="s">
        <v>78</v>
      </c>
      <c r="N576" t="s">
        <v>1291</v>
      </c>
      <c r="O576" t="s">
        <v>74</v>
      </c>
      <c r="P576" t="s">
        <v>74</v>
      </c>
      <c r="Q576" t="s">
        <v>74</v>
      </c>
      <c r="R576" t="s">
        <v>74</v>
      </c>
      <c r="S576" t="s">
        <v>74</v>
      </c>
      <c r="T576" t="s">
        <v>11394</v>
      </c>
      <c r="U576" t="s">
        <v>11395</v>
      </c>
      <c r="V576" t="s">
        <v>11396</v>
      </c>
      <c r="W576" t="s">
        <v>11397</v>
      </c>
      <c r="X576" t="s">
        <v>11398</v>
      </c>
      <c r="Y576" t="s">
        <v>11399</v>
      </c>
      <c r="Z576" t="s">
        <v>11400</v>
      </c>
      <c r="AA576" t="s">
        <v>11401</v>
      </c>
      <c r="AB576" t="s">
        <v>11402</v>
      </c>
      <c r="AC576" t="s">
        <v>11403</v>
      </c>
      <c r="AD576" t="s">
        <v>11404</v>
      </c>
      <c r="AE576" t="s">
        <v>11405</v>
      </c>
      <c r="AF576" t="s">
        <v>74</v>
      </c>
      <c r="AG576">
        <v>80</v>
      </c>
      <c r="AH576">
        <v>66</v>
      </c>
      <c r="AI576">
        <v>72</v>
      </c>
      <c r="AJ576">
        <v>1</v>
      </c>
      <c r="AK576">
        <v>80</v>
      </c>
      <c r="AL576" t="s">
        <v>91</v>
      </c>
      <c r="AM576" t="s">
        <v>92</v>
      </c>
      <c r="AN576" t="s">
        <v>93</v>
      </c>
      <c r="AO576" t="s">
        <v>11406</v>
      </c>
      <c r="AP576" t="s">
        <v>11407</v>
      </c>
      <c r="AQ576" t="s">
        <v>74</v>
      </c>
      <c r="AR576" t="s">
        <v>11408</v>
      </c>
      <c r="AS576" t="s">
        <v>11409</v>
      </c>
      <c r="AT576" t="s">
        <v>8975</v>
      </c>
      <c r="AU576">
        <v>2015</v>
      </c>
      <c r="AV576">
        <v>295</v>
      </c>
      <c r="AW576">
        <v>3</v>
      </c>
      <c r="AX576" t="s">
        <v>74</v>
      </c>
      <c r="AY576" t="s">
        <v>74</v>
      </c>
      <c r="AZ576" t="s">
        <v>74</v>
      </c>
      <c r="BA576" t="s">
        <v>74</v>
      </c>
      <c r="BB576">
        <v>159</v>
      </c>
      <c r="BC576">
        <v>169</v>
      </c>
      <c r="BD576" t="s">
        <v>74</v>
      </c>
      <c r="BE576" t="s">
        <v>11410</v>
      </c>
      <c r="BF576" t="str">
        <f>HYPERLINK("http://dx.doi.org/10.1111/jzo.12195","http://dx.doi.org/10.1111/jzo.12195")</f>
        <v>http://dx.doi.org/10.1111/jzo.12195</v>
      </c>
      <c r="BG576" t="s">
        <v>74</v>
      </c>
      <c r="BH576" t="s">
        <v>74</v>
      </c>
      <c r="BI576">
        <v>11</v>
      </c>
      <c r="BJ576" t="s">
        <v>509</v>
      </c>
      <c r="BK576" t="s">
        <v>100</v>
      </c>
      <c r="BL576" t="s">
        <v>509</v>
      </c>
      <c r="BM576" t="s">
        <v>11411</v>
      </c>
      <c r="BN576" t="s">
        <v>74</v>
      </c>
      <c r="BO576" t="s">
        <v>156</v>
      </c>
      <c r="BP576" t="s">
        <v>74</v>
      </c>
      <c r="BQ576" t="s">
        <v>74</v>
      </c>
      <c r="BR576" t="s">
        <v>104</v>
      </c>
      <c r="BS576" t="s">
        <v>11412</v>
      </c>
      <c r="BT576" t="str">
        <f>HYPERLINK("https%3A%2F%2Fwww.webofscience.com%2Fwos%2Fwoscc%2Ffull-record%2FWOS:000350476000001","View Full Record in Web of Science")</f>
        <v>View Full Record in Web of Science</v>
      </c>
    </row>
    <row r="577" spans="1:72" x14ac:dyDescent="0.15">
      <c r="A577" t="s">
        <v>72</v>
      </c>
      <c r="B577" t="s">
        <v>11413</v>
      </c>
      <c r="C577" t="s">
        <v>74</v>
      </c>
      <c r="D577" t="s">
        <v>74</v>
      </c>
      <c r="E577" t="s">
        <v>74</v>
      </c>
      <c r="F577" t="s">
        <v>11414</v>
      </c>
      <c r="G577" t="s">
        <v>74</v>
      </c>
      <c r="H577" t="s">
        <v>74</v>
      </c>
      <c r="I577" t="s">
        <v>11415</v>
      </c>
      <c r="J577" t="s">
        <v>6121</v>
      </c>
      <c r="K577" t="s">
        <v>74</v>
      </c>
      <c r="L577" t="s">
        <v>74</v>
      </c>
      <c r="M577" t="s">
        <v>78</v>
      </c>
      <c r="N577" t="s">
        <v>79</v>
      </c>
      <c r="O577" t="s">
        <v>74</v>
      </c>
      <c r="P577" t="s">
        <v>74</v>
      </c>
      <c r="Q577" t="s">
        <v>74</v>
      </c>
      <c r="R577" t="s">
        <v>74</v>
      </c>
      <c r="S577" t="s">
        <v>74</v>
      </c>
      <c r="T577" t="s">
        <v>74</v>
      </c>
      <c r="U577" t="s">
        <v>11416</v>
      </c>
      <c r="V577" t="s">
        <v>11417</v>
      </c>
      <c r="W577" t="s">
        <v>11418</v>
      </c>
      <c r="X577" t="s">
        <v>11419</v>
      </c>
      <c r="Y577" t="s">
        <v>11420</v>
      </c>
      <c r="Z577" t="s">
        <v>11421</v>
      </c>
      <c r="AA577" t="s">
        <v>11422</v>
      </c>
      <c r="AB577" t="s">
        <v>11423</v>
      </c>
      <c r="AC577" t="s">
        <v>11424</v>
      </c>
      <c r="AD577" t="s">
        <v>11425</v>
      </c>
      <c r="AE577" t="s">
        <v>11426</v>
      </c>
      <c r="AF577" t="s">
        <v>74</v>
      </c>
      <c r="AG577">
        <v>55</v>
      </c>
      <c r="AH577">
        <v>34</v>
      </c>
      <c r="AI577">
        <v>35</v>
      </c>
      <c r="AJ577">
        <v>0</v>
      </c>
      <c r="AK577">
        <v>44</v>
      </c>
      <c r="AL577" t="s">
        <v>1508</v>
      </c>
      <c r="AM577" t="s">
        <v>92</v>
      </c>
      <c r="AN577" t="s">
        <v>93</v>
      </c>
      <c r="AO577" t="s">
        <v>6133</v>
      </c>
      <c r="AP577" t="s">
        <v>6134</v>
      </c>
      <c r="AQ577" t="s">
        <v>74</v>
      </c>
      <c r="AR577" t="s">
        <v>6135</v>
      </c>
      <c r="AS577" t="s">
        <v>6136</v>
      </c>
      <c r="AT577" t="s">
        <v>8975</v>
      </c>
      <c r="AU577">
        <v>2015</v>
      </c>
      <c r="AV577">
        <v>50</v>
      </c>
      <c r="AW577">
        <v>3</v>
      </c>
      <c r="AX577" t="s">
        <v>74</v>
      </c>
      <c r="AY577" t="s">
        <v>74</v>
      </c>
      <c r="AZ577" t="s">
        <v>74</v>
      </c>
      <c r="BA577" t="s">
        <v>74</v>
      </c>
      <c r="BB577">
        <v>470</v>
      </c>
      <c r="BC577">
        <v>482</v>
      </c>
      <c r="BD577" t="s">
        <v>74</v>
      </c>
      <c r="BE577" t="s">
        <v>11427</v>
      </c>
      <c r="BF577" t="str">
        <f>HYPERLINK("http://dx.doi.org/10.1111/maps.12433","http://dx.doi.org/10.1111/maps.12433")</f>
        <v>http://dx.doi.org/10.1111/maps.12433</v>
      </c>
      <c r="BG577" t="s">
        <v>74</v>
      </c>
      <c r="BH577" t="s">
        <v>74</v>
      </c>
      <c r="BI577">
        <v>13</v>
      </c>
      <c r="BJ577" t="s">
        <v>863</v>
      </c>
      <c r="BK577" t="s">
        <v>100</v>
      </c>
      <c r="BL577" t="s">
        <v>863</v>
      </c>
      <c r="BM577" t="s">
        <v>11428</v>
      </c>
      <c r="BN577" t="s">
        <v>74</v>
      </c>
      <c r="BO577" t="s">
        <v>156</v>
      </c>
      <c r="BP577" t="s">
        <v>74</v>
      </c>
      <c r="BQ577" t="s">
        <v>74</v>
      </c>
      <c r="BR577" t="s">
        <v>104</v>
      </c>
      <c r="BS577" t="s">
        <v>11429</v>
      </c>
      <c r="BT577" t="str">
        <f>HYPERLINK("https%3A%2F%2Fwww.webofscience.com%2Fwos%2Fwoscc%2Ffull-record%2FWOS:000351676600009","View Full Record in Web of Science")</f>
        <v>View Full Record in Web of Science</v>
      </c>
    </row>
    <row r="578" spans="1:72" x14ac:dyDescent="0.15">
      <c r="A578" t="s">
        <v>72</v>
      </c>
      <c r="B578" t="s">
        <v>11430</v>
      </c>
      <c r="C578" t="s">
        <v>74</v>
      </c>
      <c r="D578" t="s">
        <v>74</v>
      </c>
      <c r="E578" t="s">
        <v>74</v>
      </c>
      <c r="F578" t="s">
        <v>11431</v>
      </c>
      <c r="G578" t="s">
        <v>74</v>
      </c>
      <c r="H578" t="s">
        <v>74</v>
      </c>
      <c r="I578" t="s">
        <v>11432</v>
      </c>
      <c r="J578" t="s">
        <v>3460</v>
      </c>
      <c r="K578" t="s">
        <v>74</v>
      </c>
      <c r="L578" t="s">
        <v>74</v>
      </c>
      <c r="M578" t="s">
        <v>78</v>
      </c>
      <c r="N578" t="s">
        <v>79</v>
      </c>
      <c r="O578" t="s">
        <v>74</v>
      </c>
      <c r="P578" t="s">
        <v>74</v>
      </c>
      <c r="Q578" t="s">
        <v>74</v>
      </c>
      <c r="R578" t="s">
        <v>74</v>
      </c>
      <c r="S578" t="s">
        <v>74</v>
      </c>
      <c r="T578" t="s">
        <v>11433</v>
      </c>
      <c r="U578" t="s">
        <v>11434</v>
      </c>
      <c r="V578" t="s">
        <v>11435</v>
      </c>
      <c r="W578" t="s">
        <v>11436</v>
      </c>
      <c r="X578" t="s">
        <v>3465</v>
      </c>
      <c r="Y578" t="s">
        <v>11437</v>
      </c>
      <c r="Z578" t="s">
        <v>3467</v>
      </c>
      <c r="AA578" t="s">
        <v>3468</v>
      </c>
      <c r="AB578" t="s">
        <v>11438</v>
      </c>
      <c r="AC578" t="s">
        <v>3470</v>
      </c>
      <c r="AD578" t="s">
        <v>3471</v>
      </c>
      <c r="AE578" t="s">
        <v>11439</v>
      </c>
      <c r="AF578" t="s">
        <v>74</v>
      </c>
      <c r="AG578">
        <v>52</v>
      </c>
      <c r="AH578">
        <v>83</v>
      </c>
      <c r="AI578">
        <v>90</v>
      </c>
      <c r="AJ578">
        <v>2</v>
      </c>
      <c r="AK578">
        <v>169</v>
      </c>
      <c r="AL578" t="s">
        <v>1039</v>
      </c>
      <c r="AM578" t="s">
        <v>816</v>
      </c>
      <c r="AN578" t="s">
        <v>1040</v>
      </c>
      <c r="AO578" t="s">
        <v>3473</v>
      </c>
      <c r="AP578" t="s">
        <v>3474</v>
      </c>
      <c r="AQ578" t="s">
        <v>74</v>
      </c>
      <c r="AR578" t="s">
        <v>3475</v>
      </c>
      <c r="AS578" t="s">
        <v>3476</v>
      </c>
      <c r="AT578" t="s">
        <v>8975</v>
      </c>
      <c r="AU578">
        <v>2015</v>
      </c>
      <c r="AV578">
        <v>119</v>
      </c>
      <c r="AW578" t="s">
        <v>74</v>
      </c>
      <c r="AX578" t="s">
        <v>74</v>
      </c>
      <c r="AY578" t="s">
        <v>74</v>
      </c>
      <c r="AZ578" t="s">
        <v>74</v>
      </c>
      <c r="BA578" t="s">
        <v>74</v>
      </c>
      <c r="BB578">
        <v>75</v>
      </c>
      <c r="BC578">
        <v>82</v>
      </c>
      <c r="BD578" t="s">
        <v>74</v>
      </c>
      <c r="BE578" t="s">
        <v>11440</v>
      </c>
      <c r="BF578" t="str">
        <f>HYPERLINK("http://dx.doi.org/10.1016/j.microc.2014.10.010","http://dx.doi.org/10.1016/j.microc.2014.10.010")</f>
        <v>http://dx.doi.org/10.1016/j.microc.2014.10.010</v>
      </c>
      <c r="BG578" t="s">
        <v>74</v>
      </c>
      <c r="BH578" t="s">
        <v>74</v>
      </c>
      <c r="BI578">
        <v>8</v>
      </c>
      <c r="BJ578" t="s">
        <v>654</v>
      </c>
      <c r="BK578" t="s">
        <v>100</v>
      </c>
      <c r="BL578" t="s">
        <v>655</v>
      </c>
      <c r="BM578" t="s">
        <v>11441</v>
      </c>
      <c r="BN578" t="s">
        <v>74</v>
      </c>
      <c r="BO578" t="s">
        <v>248</v>
      </c>
      <c r="BP578" t="s">
        <v>74</v>
      </c>
      <c r="BQ578" t="s">
        <v>74</v>
      </c>
      <c r="BR578" t="s">
        <v>104</v>
      </c>
      <c r="BS578" t="s">
        <v>11442</v>
      </c>
      <c r="BT578" t="str">
        <f>HYPERLINK("https%3A%2F%2Fwww.webofscience.com%2Fwos%2Fwoscc%2Ffull-record%2FWOS:000348957800012","View Full Record in Web of Science")</f>
        <v>View Full Record in Web of Science</v>
      </c>
    </row>
    <row r="579" spans="1:72" x14ac:dyDescent="0.15">
      <c r="A579" t="s">
        <v>72</v>
      </c>
      <c r="B579" t="s">
        <v>11443</v>
      </c>
      <c r="C579" t="s">
        <v>74</v>
      </c>
      <c r="D579" t="s">
        <v>74</v>
      </c>
      <c r="E579" t="s">
        <v>74</v>
      </c>
      <c r="F579" t="s">
        <v>11444</v>
      </c>
      <c r="G579" t="s">
        <v>74</v>
      </c>
      <c r="H579" t="s">
        <v>74</v>
      </c>
      <c r="I579" t="s">
        <v>11445</v>
      </c>
      <c r="J579" t="s">
        <v>11446</v>
      </c>
      <c r="K579" t="s">
        <v>74</v>
      </c>
      <c r="L579" t="s">
        <v>74</v>
      </c>
      <c r="M579" t="s">
        <v>78</v>
      </c>
      <c r="N579" t="s">
        <v>79</v>
      </c>
      <c r="O579" t="s">
        <v>74</v>
      </c>
      <c r="P579" t="s">
        <v>74</v>
      </c>
      <c r="Q579" t="s">
        <v>74</v>
      </c>
      <c r="R579" t="s">
        <v>74</v>
      </c>
      <c r="S579" t="s">
        <v>74</v>
      </c>
      <c r="T579" t="s">
        <v>11447</v>
      </c>
      <c r="U579" t="s">
        <v>11448</v>
      </c>
      <c r="V579" t="s">
        <v>11449</v>
      </c>
      <c r="W579" t="s">
        <v>11450</v>
      </c>
      <c r="X579" t="s">
        <v>11451</v>
      </c>
      <c r="Y579" t="s">
        <v>11452</v>
      </c>
      <c r="Z579" t="s">
        <v>11453</v>
      </c>
      <c r="AA579" t="s">
        <v>11454</v>
      </c>
      <c r="AB579" t="s">
        <v>11455</v>
      </c>
      <c r="AC579" t="s">
        <v>11456</v>
      </c>
      <c r="AD579" t="s">
        <v>11457</v>
      </c>
      <c r="AE579" t="s">
        <v>11458</v>
      </c>
      <c r="AF579" t="s">
        <v>74</v>
      </c>
      <c r="AG579">
        <v>124</v>
      </c>
      <c r="AH579">
        <v>19</v>
      </c>
      <c r="AI579">
        <v>24</v>
      </c>
      <c r="AJ579">
        <v>1</v>
      </c>
      <c r="AK579">
        <v>29</v>
      </c>
      <c r="AL579" t="s">
        <v>239</v>
      </c>
      <c r="AM579" t="s">
        <v>240</v>
      </c>
      <c r="AN579" t="s">
        <v>241</v>
      </c>
      <c r="AO579" t="s">
        <v>11459</v>
      </c>
      <c r="AP579" t="s">
        <v>11460</v>
      </c>
      <c r="AQ579" t="s">
        <v>74</v>
      </c>
      <c r="AR579" t="s">
        <v>11461</v>
      </c>
      <c r="AS579" t="s">
        <v>11462</v>
      </c>
      <c r="AT579" t="s">
        <v>8975</v>
      </c>
      <c r="AU579">
        <v>2015</v>
      </c>
      <c r="AV579">
        <v>84</v>
      </c>
      <c r="AW579" t="s">
        <v>74</v>
      </c>
      <c r="AX579" t="s">
        <v>74</v>
      </c>
      <c r="AY579" t="s">
        <v>74</v>
      </c>
      <c r="AZ579" t="s">
        <v>74</v>
      </c>
      <c r="BA579" t="s">
        <v>74</v>
      </c>
      <c r="BB579">
        <v>185</v>
      </c>
      <c r="BC579">
        <v>204</v>
      </c>
      <c r="BD579" t="s">
        <v>74</v>
      </c>
      <c r="BE579" t="s">
        <v>11463</v>
      </c>
      <c r="BF579" t="str">
        <f>HYPERLINK("http://dx.doi.org/10.1016/j.ympev.2014.11.008","http://dx.doi.org/10.1016/j.ympev.2014.11.008")</f>
        <v>http://dx.doi.org/10.1016/j.ympev.2014.11.008</v>
      </c>
      <c r="BG579" t="s">
        <v>74</v>
      </c>
      <c r="BH579" t="s">
        <v>74</v>
      </c>
      <c r="BI579">
        <v>20</v>
      </c>
      <c r="BJ579" t="s">
        <v>5955</v>
      </c>
      <c r="BK579" t="s">
        <v>100</v>
      </c>
      <c r="BL579" t="s">
        <v>5955</v>
      </c>
      <c r="BM579" t="s">
        <v>11464</v>
      </c>
      <c r="BN579">
        <v>25481103</v>
      </c>
      <c r="BO579" t="s">
        <v>11465</v>
      </c>
      <c r="BP579" t="s">
        <v>74</v>
      </c>
      <c r="BQ579" t="s">
        <v>74</v>
      </c>
      <c r="BR579" t="s">
        <v>104</v>
      </c>
      <c r="BS579" t="s">
        <v>11466</v>
      </c>
      <c r="BT579" t="str">
        <f>HYPERLINK("https%3A%2F%2Fwww.webofscience.com%2Fwos%2Fwoscc%2Ffull-record%2FWOS:000352173500017","View Full Record in Web of Science")</f>
        <v>View Full Record in Web of Science</v>
      </c>
    </row>
    <row r="580" spans="1:72" x14ac:dyDescent="0.15">
      <c r="A580" t="s">
        <v>72</v>
      </c>
      <c r="B580" t="s">
        <v>11467</v>
      </c>
      <c r="C580" t="s">
        <v>74</v>
      </c>
      <c r="D580" t="s">
        <v>74</v>
      </c>
      <c r="E580" t="s">
        <v>74</v>
      </c>
      <c r="F580" t="s">
        <v>11468</v>
      </c>
      <c r="G580" t="s">
        <v>74</v>
      </c>
      <c r="H580" t="s">
        <v>74</v>
      </c>
      <c r="I580" t="s">
        <v>11469</v>
      </c>
      <c r="J580" t="s">
        <v>3529</v>
      </c>
      <c r="K580" t="s">
        <v>74</v>
      </c>
      <c r="L580" t="s">
        <v>74</v>
      </c>
      <c r="M580" t="s">
        <v>78</v>
      </c>
      <c r="N580" t="s">
        <v>79</v>
      </c>
      <c r="O580" t="s">
        <v>74</v>
      </c>
      <c r="P580" t="s">
        <v>74</v>
      </c>
      <c r="Q580" t="s">
        <v>74</v>
      </c>
      <c r="R580" t="s">
        <v>74</v>
      </c>
      <c r="S580" t="s">
        <v>74</v>
      </c>
      <c r="T580" t="s">
        <v>74</v>
      </c>
      <c r="U580" t="s">
        <v>11470</v>
      </c>
      <c r="V580" t="s">
        <v>11471</v>
      </c>
      <c r="W580" t="s">
        <v>11472</v>
      </c>
      <c r="X580" t="s">
        <v>11473</v>
      </c>
      <c r="Y580" t="s">
        <v>11474</v>
      </c>
      <c r="Z580" t="s">
        <v>11475</v>
      </c>
      <c r="AA580" t="s">
        <v>11476</v>
      </c>
      <c r="AB580" t="s">
        <v>11477</v>
      </c>
      <c r="AC580" t="s">
        <v>11478</v>
      </c>
      <c r="AD580" t="s">
        <v>11479</v>
      </c>
      <c r="AE580" t="s">
        <v>11480</v>
      </c>
      <c r="AF580" t="s">
        <v>74</v>
      </c>
      <c r="AG580">
        <v>70</v>
      </c>
      <c r="AH580">
        <v>45</v>
      </c>
      <c r="AI580">
        <v>50</v>
      </c>
      <c r="AJ580">
        <v>0</v>
      </c>
      <c r="AK580">
        <v>25</v>
      </c>
      <c r="AL580" t="s">
        <v>2539</v>
      </c>
      <c r="AM580" t="s">
        <v>378</v>
      </c>
      <c r="AN580" t="s">
        <v>4315</v>
      </c>
      <c r="AO580" t="s">
        <v>3541</v>
      </c>
      <c r="AP580" t="s">
        <v>74</v>
      </c>
      <c r="AQ580" t="s">
        <v>74</v>
      </c>
      <c r="AR580" t="s">
        <v>3542</v>
      </c>
      <c r="AS580" t="s">
        <v>3543</v>
      </c>
      <c r="AT580" t="s">
        <v>8975</v>
      </c>
      <c r="AU580">
        <v>2015</v>
      </c>
      <c r="AV580">
        <v>6</v>
      </c>
      <c r="AW580" t="s">
        <v>74</v>
      </c>
      <c r="AX580" t="s">
        <v>74</v>
      </c>
      <c r="AY580" t="s">
        <v>74</v>
      </c>
      <c r="AZ580" t="s">
        <v>74</v>
      </c>
      <c r="BA580" t="s">
        <v>74</v>
      </c>
      <c r="BB580" t="s">
        <v>74</v>
      </c>
      <c r="BC580" t="s">
        <v>74</v>
      </c>
      <c r="BD580">
        <v>6642</v>
      </c>
      <c r="BE580" t="s">
        <v>11481</v>
      </c>
      <c r="BF580" t="str">
        <f>HYPERLINK("http://dx.doi.org/10.1038/ncomms7642","http://dx.doi.org/10.1038/ncomms7642")</f>
        <v>http://dx.doi.org/10.1038/ncomms7642</v>
      </c>
      <c r="BG580" t="s">
        <v>74</v>
      </c>
      <c r="BH580" t="s">
        <v>74</v>
      </c>
      <c r="BI580">
        <v>9</v>
      </c>
      <c r="BJ580" t="s">
        <v>429</v>
      </c>
      <c r="BK580" t="s">
        <v>100</v>
      </c>
      <c r="BL580" t="s">
        <v>430</v>
      </c>
      <c r="BM580" t="s">
        <v>11482</v>
      </c>
      <c r="BN580">
        <v>25803779</v>
      </c>
      <c r="BO580" t="s">
        <v>485</v>
      </c>
      <c r="BP580" t="s">
        <v>74</v>
      </c>
      <c r="BQ580" t="s">
        <v>74</v>
      </c>
      <c r="BR580" t="s">
        <v>104</v>
      </c>
      <c r="BS580" t="s">
        <v>11483</v>
      </c>
      <c r="BT580" t="str">
        <f>HYPERLINK("https%3A%2F%2Fwww.webofscience.com%2Fwos%2Fwoscc%2Ffull-record%2FWOS:000353040400002","View Full Record in Web of Science")</f>
        <v>View Full Record in Web of Science</v>
      </c>
    </row>
    <row r="581" spans="1:72" x14ac:dyDescent="0.15">
      <c r="A581" t="s">
        <v>72</v>
      </c>
      <c r="B581" t="s">
        <v>11484</v>
      </c>
      <c r="C581" t="s">
        <v>74</v>
      </c>
      <c r="D581" t="s">
        <v>74</v>
      </c>
      <c r="E581" t="s">
        <v>74</v>
      </c>
      <c r="F581" t="s">
        <v>11485</v>
      </c>
      <c r="G581" t="s">
        <v>74</v>
      </c>
      <c r="H581" t="s">
        <v>74</v>
      </c>
      <c r="I581" t="s">
        <v>11486</v>
      </c>
      <c r="J581" t="s">
        <v>11487</v>
      </c>
      <c r="K581" t="s">
        <v>74</v>
      </c>
      <c r="L581" t="s">
        <v>74</v>
      </c>
      <c r="M581" t="s">
        <v>78</v>
      </c>
      <c r="N581" t="s">
        <v>79</v>
      </c>
      <c r="O581" t="s">
        <v>74</v>
      </c>
      <c r="P581" t="s">
        <v>74</v>
      </c>
      <c r="Q581" t="s">
        <v>74</v>
      </c>
      <c r="R581" t="s">
        <v>74</v>
      </c>
      <c r="S581" t="s">
        <v>74</v>
      </c>
      <c r="T581" t="s">
        <v>11488</v>
      </c>
      <c r="U581" t="s">
        <v>11489</v>
      </c>
      <c r="V581" t="s">
        <v>11490</v>
      </c>
      <c r="W581" t="s">
        <v>11491</v>
      </c>
      <c r="X581" t="s">
        <v>11492</v>
      </c>
      <c r="Y581" t="s">
        <v>11493</v>
      </c>
      <c r="Z581" t="s">
        <v>11494</v>
      </c>
      <c r="AA581" t="s">
        <v>74</v>
      </c>
      <c r="AB581" t="s">
        <v>74</v>
      </c>
      <c r="AC581" t="s">
        <v>11495</v>
      </c>
      <c r="AD581" t="s">
        <v>11496</v>
      </c>
      <c r="AE581" t="s">
        <v>11497</v>
      </c>
      <c r="AF581" t="s">
        <v>74</v>
      </c>
      <c r="AG581">
        <v>23</v>
      </c>
      <c r="AH581">
        <v>0</v>
      </c>
      <c r="AI581">
        <v>0</v>
      </c>
      <c r="AJ581">
        <v>0</v>
      </c>
      <c r="AK581">
        <v>4</v>
      </c>
      <c r="AL581" t="s">
        <v>11498</v>
      </c>
      <c r="AM581" t="s">
        <v>11499</v>
      </c>
      <c r="AN581" t="s">
        <v>11500</v>
      </c>
      <c r="AO581" t="s">
        <v>11501</v>
      </c>
      <c r="AP581" t="s">
        <v>11502</v>
      </c>
      <c r="AQ581" t="s">
        <v>74</v>
      </c>
      <c r="AR581" t="s">
        <v>11503</v>
      </c>
      <c r="AS581" t="s">
        <v>11504</v>
      </c>
      <c r="AT581" t="s">
        <v>8975</v>
      </c>
      <c r="AU581">
        <v>2015</v>
      </c>
      <c r="AV581">
        <v>5</v>
      </c>
      <c r="AW581">
        <v>1</v>
      </c>
      <c r="AX581" t="s">
        <v>74</v>
      </c>
      <c r="AY581" t="s">
        <v>74</v>
      </c>
      <c r="AZ581" t="s">
        <v>74</v>
      </c>
      <c r="BA581" t="s">
        <v>74</v>
      </c>
      <c r="BB581">
        <v>47</v>
      </c>
      <c r="BC581">
        <v>57</v>
      </c>
      <c r="BD581" t="s">
        <v>74</v>
      </c>
      <c r="BE581" t="s">
        <v>11505</v>
      </c>
      <c r="BF581" t="str">
        <f>HYPERLINK("http://dx.doi.org/10.3934/naco.2015.5.47","http://dx.doi.org/10.3934/naco.2015.5.47")</f>
        <v>http://dx.doi.org/10.3934/naco.2015.5.47</v>
      </c>
      <c r="BG581" t="s">
        <v>74</v>
      </c>
      <c r="BH581" t="s">
        <v>74</v>
      </c>
      <c r="BI581">
        <v>11</v>
      </c>
      <c r="BJ581" t="s">
        <v>11506</v>
      </c>
      <c r="BK581" t="s">
        <v>888</v>
      </c>
      <c r="BL581" t="s">
        <v>11507</v>
      </c>
      <c r="BM581" t="s">
        <v>11508</v>
      </c>
      <c r="BN581" t="s">
        <v>74</v>
      </c>
      <c r="BO581" t="s">
        <v>2481</v>
      </c>
      <c r="BP581" t="s">
        <v>74</v>
      </c>
      <c r="BQ581" t="s">
        <v>74</v>
      </c>
      <c r="BR581" t="s">
        <v>104</v>
      </c>
      <c r="BS581" t="s">
        <v>11509</v>
      </c>
      <c r="BT581" t="str">
        <f>HYPERLINK("https%3A%2F%2Fwww.webofscience.com%2Fwos%2Fwoscc%2Ffull-record%2FWOS:000214971900006","View Full Record in Web of Science")</f>
        <v>View Full Record in Web of Science</v>
      </c>
    </row>
    <row r="582" spans="1:72" x14ac:dyDescent="0.15">
      <c r="A582" t="s">
        <v>72</v>
      </c>
      <c r="B582" t="s">
        <v>11510</v>
      </c>
      <c r="C582" t="s">
        <v>74</v>
      </c>
      <c r="D582" t="s">
        <v>74</v>
      </c>
      <c r="E582" t="s">
        <v>74</v>
      </c>
      <c r="F582" t="s">
        <v>11511</v>
      </c>
      <c r="G582" t="s">
        <v>74</v>
      </c>
      <c r="H582" t="s">
        <v>74</v>
      </c>
      <c r="I582" t="s">
        <v>11512</v>
      </c>
      <c r="J582" t="s">
        <v>7837</v>
      </c>
      <c r="K582" t="s">
        <v>74</v>
      </c>
      <c r="L582" t="s">
        <v>74</v>
      </c>
      <c r="M582" t="s">
        <v>78</v>
      </c>
      <c r="N582" t="s">
        <v>79</v>
      </c>
      <c r="O582" t="s">
        <v>74</v>
      </c>
      <c r="P582" t="s">
        <v>74</v>
      </c>
      <c r="Q582" t="s">
        <v>74</v>
      </c>
      <c r="R582" t="s">
        <v>74</v>
      </c>
      <c r="S582" t="s">
        <v>74</v>
      </c>
      <c r="T582" t="s">
        <v>11513</v>
      </c>
      <c r="U582" t="s">
        <v>11514</v>
      </c>
      <c r="V582" t="s">
        <v>11515</v>
      </c>
      <c r="W582" t="s">
        <v>11516</v>
      </c>
      <c r="X582" t="s">
        <v>11517</v>
      </c>
      <c r="Y582" t="s">
        <v>11518</v>
      </c>
      <c r="Z582" t="s">
        <v>11519</v>
      </c>
      <c r="AA582" t="s">
        <v>11520</v>
      </c>
      <c r="AB582" t="s">
        <v>11521</v>
      </c>
      <c r="AC582" t="s">
        <v>11522</v>
      </c>
      <c r="AD582" t="s">
        <v>11523</v>
      </c>
      <c r="AE582" t="s">
        <v>11524</v>
      </c>
      <c r="AF582" t="s">
        <v>74</v>
      </c>
      <c r="AG582">
        <v>72</v>
      </c>
      <c r="AH582">
        <v>28</v>
      </c>
      <c r="AI582">
        <v>29</v>
      </c>
      <c r="AJ582">
        <v>1</v>
      </c>
      <c r="AK582">
        <v>28</v>
      </c>
      <c r="AL582" t="s">
        <v>266</v>
      </c>
      <c r="AM582" t="s">
        <v>267</v>
      </c>
      <c r="AN582" t="s">
        <v>268</v>
      </c>
      <c r="AO582" t="s">
        <v>7849</v>
      </c>
      <c r="AP582" t="s">
        <v>7850</v>
      </c>
      <c r="AQ582" t="s">
        <v>74</v>
      </c>
      <c r="AR582" t="s">
        <v>7837</v>
      </c>
      <c r="AS582" t="s">
        <v>7851</v>
      </c>
      <c r="AT582" t="s">
        <v>8975</v>
      </c>
      <c r="AU582">
        <v>2015</v>
      </c>
      <c r="AV582">
        <v>30</v>
      </c>
      <c r="AW582">
        <v>3</v>
      </c>
      <c r="AX582" t="s">
        <v>74</v>
      </c>
      <c r="AY582" t="s">
        <v>74</v>
      </c>
      <c r="AZ582" t="s">
        <v>74</v>
      </c>
      <c r="BA582" t="s">
        <v>74</v>
      </c>
      <c r="BB582">
        <v>284</v>
      </c>
      <c r="BC582">
        <v>302</v>
      </c>
      <c r="BD582" t="s">
        <v>74</v>
      </c>
      <c r="BE582" t="s">
        <v>11525</v>
      </c>
      <c r="BF582" t="str">
        <f>HYPERLINK("http://dx.doi.org/10.1002/2014PA002675","http://dx.doi.org/10.1002/2014PA002675")</f>
        <v>http://dx.doi.org/10.1002/2014PA002675</v>
      </c>
      <c r="BG582" t="s">
        <v>74</v>
      </c>
      <c r="BH582" t="s">
        <v>74</v>
      </c>
      <c r="BI582">
        <v>19</v>
      </c>
      <c r="BJ582" t="s">
        <v>7853</v>
      </c>
      <c r="BK582" t="s">
        <v>100</v>
      </c>
      <c r="BL582" t="s">
        <v>7854</v>
      </c>
      <c r="BM582" t="s">
        <v>11526</v>
      </c>
      <c r="BN582" t="s">
        <v>74</v>
      </c>
      <c r="BO582" t="s">
        <v>2897</v>
      </c>
      <c r="BP582" t="s">
        <v>74</v>
      </c>
      <c r="BQ582" t="s">
        <v>74</v>
      </c>
      <c r="BR582" t="s">
        <v>104</v>
      </c>
      <c r="BS582" t="s">
        <v>11527</v>
      </c>
      <c r="BT582" t="str">
        <f>HYPERLINK("https%3A%2F%2Fwww.webofscience.com%2Fwos%2Fwoscc%2Ffull-record%2FWOS:000353837900007","View Full Record in Web of Science")</f>
        <v>View Full Record in Web of Science</v>
      </c>
    </row>
    <row r="583" spans="1:72" x14ac:dyDescent="0.15">
      <c r="A583" t="s">
        <v>72</v>
      </c>
      <c r="B583" t="s">
        <v>11528</v>
      </c>
      <c r="C583" t="s">
        <v>74</v>
      </c>
      <c r="D583" t="s">
        <v>74</v>
      </c>
      <c r="E583" t="s">
        <v>74</v>
      </c>
      <c r="F583" t="s">
        <v>11529</v>
      </c>
      <c r="G583" t="s">
        <v>74</v>
      </c>
      <c r="H583" t="s">
        <v>74</v>
      </c>
      <c r="I583" t="s">
        <v>11530</v>
      </c>
      <c r="J583" t="s">
        <v>1290</v>
      </c>
      <c r="K583" t="s">
        <v>74</v>
      </c>
      <c r="L583" t="s">
        <v>74</v>
      </c>
      <c r="M583" t="s">
        <v>78</v>
      </c>
      <c r="N583" t="s">
        <v>79</v>
      </c>
      <c r="O583" t="s">
        <v>74</v>
      </c>
      <c r="P583" t="s">
        <v>74</v>
      </c>
      <c r="Q583" t="s">
        <v>74</v>
      </c>
      <c r="R583" t="s">
        <v>74</v>
      </c>
      <c r="S583" t="s">
        <v>74</v>
      </c>
      <c r="T583" t="s">
        <v>11531</v>
      </c>
      <c r="U583" t="s">
        <v>11532</v>
      </c>
      <c r="V583" t="s">
        <v>11533</v>
      </c>
      <c r="W583" t="s">
        <v>11534</v>
      </c>
      <c r="X583" t="s">
        <v>4977</v>
      </c>
      <c r="Y583" t="s">
        <v>11535</v>
      </c>
      <c r="Z583" t="s">
        <v>11536</v>
      </c>
      <c r="AA583" t="s">
        <v>11537</v>
      </c>
      <c r="AB583" t="s">
        <v>11538</v>
      </c>
      <c r="AC583" t="s">
        <v>8312</v>
      </c>
      <c r="AD583" t="s">
        <v>7432</v>
      </c>
      <c r="AE583" t="s">
        <v>11539</v>
      </c>
      <c r="AF583" t="s">
        <v>74</v>
      </c>
      <c r="AG583">
        <v>62</v>
      </c>
      <c r="AH583">
        <v>27</v>
      </c>
      <c r="AI583">
        <v>28</v>
      </c>
      <c r="AJ583">
        <v>1</v>
      </c>
      <c r="AK583">
        <v>38</v>
      </c>
      <c r="AL583" t="s">
        <v>120</v>
      </c>
      <c r="AM583" t="s">
        <v>121</v>
      </c>
      <c r="AN583" t="s">
        <v>122</v>
      </c>
      <c r="AO583" t="s">
        <v>1305</v>
      </c>
      <c r="AP583" t="s">
        <v>1306</v>
      </c>
      <c r="AQ583" t="s">
        <v>74</v>
      </c>
      <c r="AR583" t="s">
        <v>1307</v>
      </c>
      <c r="AS583" t="s">
        <v>1308</v>
      </c>
      <c r="AT583" t="s">
        <v>8975</v>
      </c>
      <c r="AU583">
        <v>2015</v>
      </c>
      <c r="AV583">
        <v>38</v>
      </c>
      <c r="AW583">
        <v>3</v>
      </c>
      <c r="AX583" t="s">
        <v>74</v>
      </c>
      <c r="AY583" t="s">
        <v>74</v>
      </c>
      <c r="AZ583" t="s">
        <v>74</v>
      </c>
      <c r="BA583" t="s">
        <v>74</v>
      </c>
      <c r="BB583">
        <v>287</v>
      </c>
      <c r="BC583">
        <v>308</v>
      </c>
      <c r="BD583" t="s">
        <v>74</v>
      </c>
      <c r="BE583" t="s">
        <v>11540</v>
      </c>
      <c r="BF583" t="str">
        <f>HYPERLINK("http://dx.doi.org/10.1007/s00300-014-1584-9","http://dx.doi.org/10.1007/s00300-014-1584-9")</f>
        <v>http://dx.doi.org/10.1007/s00300-014-1584-9</v>
      </c>
      <c r="BG583" t="s">
        <v>74</v>
      </c>
      <c r="BH583" t="s">
        <v>74</v>
      </c>
      <c r="BI583">
        <v>22</v>
      </c>
      <c r="BJ583" t="s">
        <v>1311</v>
      </c>
      <c r="BK583" t="s">
        <v>100</v>
      </c>
      <c r="BL583" t="s">
        <v>154</v>
      </c>
      <c r="BM583" t="s">
        <v>10160</v>
      </c>
      <c r="BN583" t="s">
        <v>74</v>
      </c>
      <c r="BO583" t="s">
        <v>408</v>
      </c>
      <c r="BP583" t="s">
        <v>74</v>
      </c>
      <c r="BQ583" t="s">
        <v>74</v>
      </c>
      <c r="BR583" t="s">
        <v>104</v>
      </c>
      <c r="BS583" t="s">
        <v>11541</v>
      </c>
      <c r="BT583" t="str">
        <f>HYPERLINK("https%3A%2F%2Fwww.webofscience.com%2Fwos%2Fwoscc%2Ffull-record%2FWOS:000350040500002","View Full Record in Web of Science")</f>
        <v>View Full Record in Web of Science</v>
      </c>
    </row>
    <row r="584" spans="1:72" x14ac:dyDescent="0.15">
      <c r="A584" t="s">
        <v>72</v>
      </c>
      <c r="B584" t="s">
        <v>11542</v>
      </c>
      <c r="C584" t="s">
        <v>74</v>
      </c>
      <c r="D584" t="s">
        <v>74</v>
      </c>
      <c r="E584" t="s">
        <v>74</v>
      </c>
      <c r="F584" t="s">
        <v>11543</v>
      </c>
      <c r="G584" t="s">
        <v>74</v>
      </c>
      <c r="H584" t="s">
        <v>74</v>
      </c>
      <c r="I584" t="s">
        <v>11544</v>
      </c>
      <c r="J584" t="s">
        <v>1290</v>
      </c>
      <c r="K584" t="s">
        <v>74</v>
      </c>
      <c r="L584" t="s">
        <v>74</v>
      </c>
      <c r="M584" t="s">
        <v>78</v>
      </c>
      <c r="N584" t="s">
        <v>79</v>
      </c>
      <c r="O584" t="s">
        <v>74</v>
      </c>
      <c r="P584" t="s">
        <v>74</v>
      </c>
      <c r="Q584" t="s">
        <v>74</v>
      </c>
      <c r="R584" t="s">
        <v>74</v>
      </c>
      <c r="S584" t="s">
        <v>74</v>
      </c>
      <c r="T584" t="s">
        <v>11545</v>
      </c>
      <c r="U584" t="s">
        <v>11546</v>
      </c>
      <c r="V584" t="s">
        <v>11547</v>
      </c>
      <c r="W584" t="s">
        <v>11548</v>
      </c>
      <c r="X584" t="s">
        <v>11549</v>
      </c>
      <c r="Y584" t="s">
        <v>11550</v>
      </c>
      <c r="Z584" t="s">
        <v>11551</v>
      </c>
      <c r="AA584" t="s">
        <v>74</v>
      </c>
      <c r="AB584" t="s">
        <v>74</v>
      </c>
      <c r="AC584" t="s">
        <v>11552</v>
      </c>
      <c r="AD584" t="s">
        <v>11553</v>
      </c>
      <c r="AE584" t="s">
        <v>11554</v>
      </c>
      <c r="AF584" t="s">
        <v>74</v>
      </c>
      <c r="AG584">
        <v>36</v>
      </c>
      <c r="AH584">
        <v>6</v>
      </c>
      <c r="AI584">
        <v>8</v>
      </c>
      <c r="AJ584">
        <v>0</v>
      </c>
      <c r="AK584">
        <v>16</v>
      </c>
      <c r="AL584" t="s">
        <v>120</v>
      </c>
      <c r="AM584" t="s">
        <v>121</v>
      </c>
      <c r="AN584" t="s">
        <v>122</v>
      </c>
      <c r="AO584" t="s">
        <v>1305</v>
      </c>
      <c r="AP584" t="s">
        <v>1306</v>
      </c>
      <c r="AQ584" t="s">
        <v>74</v>
      </c>
      <c r="AR584" t="s">
        <v>1307</v>
      </c>
      <c r="AS584" t="s">
        <v>1308</v>
      </c>
      <c r="AT584" t="s">
        <v>8975</v>
      </c>
      <c r="AU584">
        <v>2015</v>
      </c>
      <c r="AV584">
        <v>38</v>
      </c>
      <c r="AW584">
        <v>3</v>
      </c>
      <c r="AX584" t="s">
        <v>74</v>
      </c>
      <c r="AY584" t="s">
        <v>74</v>
      </c>
      <c r="AZ584" t="s">
        <v>74</v>
      </c>
      <c r="BA584" t="s">
        <v>74</v>
      </c>
      <c r="BB584">
        <v>381</v>
      </c>
      <c r="BC584">
        <v>392</v>
      </c>
      <c r="BD584" t="s">
        <v>74</v>
      </c>
      <c r="BE584" t="s">
        <v>11555</v>
      </c>
      <c r="BF584" t="str">
        <f>HYPERLINK("http://dx.doi.org/10.1007/s00300-014-1594-7","http://dx.doi.org/10.1007/s00300-014-1594-7")</f>
        <v>http://dx.doi.org/10.1007/s00300-014-1594-7</v>
      </c>
      <c r="BG584" t="s">
        <v>74</v>
      </c>
      <c r="BH584" t="s">
        <v>74</v>
      </c>
      <c r="BI584">
        <v>12</v>
      </c>
      <c r="BJ584" t="s">
        <v>1311</v>
      </c>
      <c r="BK584" t="s">
        <v>100</v>
      </c>
      <c r="BL584" t="s">
        <v>154</v>
      </c>
      <c r="BM584" t="s">
        <v>10160</v>
      </c>
      <c r="BN584" t="s">
        <v>74</v>
      </c>
      <c r="BO584" t="s">
        <v>74</v>
      </c>
      <c r="BP584" t="s">
        <v>74</v>
      </c>
      <c r="BQ584" t="s">
        <v>74</v>
      </c>
      <c r="BR584" t="s">
        <v>104</v>
      </c>
      <c r="BS584" t="s">
        <v>11556</v>
      </c>
      <c r="BT584" t="str">
        <f>HYPERLINK("https%3A%2F%2Fwww.webofscience.com%2Fwos%2Fwoscc%2Ffull-record%2FWOS:000350040500009","View Full Record in Web of Science")</f>
        <v>View Full Record in Web of Science</v>
      </c>
    </row>
    <row r="585" spans="1:72" x14ac:dyDescent="0.15">
      <c r="A585" t="s">
        <v>72</v>
      </c>
      <c r="B585" t="s">
        <v>11557</v>
      </c>
      <c r="C585" t="s">
        <v>74</v>
      </c>
      <c r="D585" t="s">
        <v>74</v>
      </c>
      <c r="E585" t="s">
        <v>74</v>
      </c>
      <c r="F585" t="s">
        <v>11558</v>
      </c>
      <c r="G585" t="s">
        <v>74</v>
      </c>
      <c r="H585" t="s">
        <v>74</v>
      </c>
      <c r="I585" t="s">
        <v>11559</v>
      </c>
      <c r="J585" t="s">
        <v>9291</v>
      </c>
      <c r="K585" t="s">
        <v>74</v>
      </c>
      <c r="L585" t="s">
        <v>74</v>
      </c>
      <c r="M585" t="s">
        <v>78</v>
      </c>
      <c r="N585" t="s">
        <v>2805</v>
      </c>
      <c r="O585" t="s">
        <v>74</v>
      </c>
      <c r="P585" t="s">
        <v>74</v>
      </c>
      <c r="Q585" t="s">
        <v>74</v>
      </c>
      <c r="R585" t="s">
        <v>74</v>
      </c>
      <c r="S585" t="s">
        <v>74</v>
      </c>
      <c r="T585" t="s">
        <v>74</v>
      </c>
      <c r="U585" t="s">
        <v>74</v>
      </c>
      <c r="V585" t="s">
        <v>11560</v>
      </c>
      <c r="W585" t="s">
        <v>74</v>
      </c>
      <c r="X585" t="s">
        <v>74</v>
      </c>
      <c r="Y585" t="s">
        <v>11561</v>
      </c>
      <c r="Z585" t="s">
        <v>11562</v>
      </c>
      <c r="AA585" t="s">
        <v>74</v>
      </c>
      <c r="AB585" t="s">
        <v>74</v>
      </c>
      <c r="AC585" t="s">
        <v>74</v>
      </c>
      <c r="AD585" t="s">
        <v>74</v>
      </c>
      <c r="AE585" t="s">
        <v>74</v>
      </c>
      <c r="AF585" t="s">
        <v>74</v>
      </c>
      <c r="AG585">
        <v>12</v>
      </c>
      <c r="AH585">
        <v>0</v>
      </c>
      <c r="AI585">
        <v>0</v>
      </c>
      <c r="AJ585">
        <v>0</v>
      </c>
      <c r="AK585">
        <v>1</v>
      </c>
      <c r="AL585" t="s">
        <v>2167</v>
      </c>
      <c r="AM585" t="s">
        <v>121</v>
      </c>
      <c r="AN585" t="s">
        <v>5926</v>
      </c>
      <c r="AO585" t="s">
        <v>9295</v>
      </c>
      <c r="AP585" t="s">
        <v>9296</v>
      </c>
      <c r="AQ585" t="s">
        <v>74</v>
      </c>
      <c r="AR585" t="s">
        <v>9297</v>
      </c>
      <c r="AS585" t="s">
        <v>9298</v>
      </c>
      <c r="AT585" t="s">
        <v>8975</v>
      </c>
      <c r="AU585">
        <v>2015</v>
      </c>
      <c r="AV585">
        <v>51</v>
      </c>
      <c r="AW585">
        <v>2</v>
      </c>
      <c r="AX585" t="s">
        <v>74</v>
      </c>
      <c r="AY585" t="s">
        <v>74</v>
      </c>
      <c r="AZ585" t="s">
        <v>74</v>
      </c>
      <c r="BA585" t="s">
        <v>74</v>
      </c>
      <c r="BB585">
        <v>212</v>
      </c>
      <c r="BC585">
        <v>215</v>
      </c>
      <c r="BD585" t="s">
        <v>74</v>
      </c>
      <c r="BE585" t="s">
        <v>11563</v>
      </c>
      <c r="BF585" t="str">
        <f>HYPERLINK("http://dx.doi.org/10.1017/S0032247414000047","http://dx.doi.org/10.1017/S0032247414000047")</f>
        <v>http://dx.doi.org/10.1017/S0032247414000047</v>
      </c>
      <c r="BG585" t="s">
        <v>74</v>
      </c>
      <c r="BH585" t="s">
        <v>74</v>
      </c>
      <c r="BI585">
        <v>4</v>
      </c>
      <c r="BJ585" t="s">
        <v>9300</v>
      </c>
      <c r="BK585" t="s">
        <v>100</v>
      </c>
      <c r="BL585" t="s">
        <v>1048</v>
      </c>
      <c r="BM585" t="s">
        <v>9301</v>
      </c>
      <c r="BN585" t="s">
        <v>74</v>
      </c>
      <c r="BO585" t="s">
        <v>74</v>
      </c>
      <c r="BP585" t="s">
        <v>74</v>
      </c>
      <c r="BQ585" t="s">
        <v>74</v>
      </c>
      <c r="BR585" t="s">
        <v>104</v>
      </c>
      <c r="BS585" t="s">
        <v>11564</v>
      </c>
      <c r="BT585" t="str">
        <f>HYPERLINK("https%3A%2F%2Fwww.webofscience.com%2Fwos%2Fwoscc%2Ffull-record%2FWOS:000353023200012","View Full Record in Web of Science")</f>
        <v>View Full Record in Web of Science</v>
      </c>
    </row>
    <row r="586" spans="1:72" x14ac:dyDescent="0.15">
      <c r="A586" t="s">
        <v>72</v>
      </c>
      <c r="B586" t="s">
        <v>11565</v>
      </c>
      <c r="C586" t="s">
        <v>74</v>
      </c>
      <c r="D586" t="s">
        <v>74</v>
      </c>
      <c r="E586" t="s">
        <v>74</v>
      </c>
      <c r="F586" t="s">
        <v>11566</v>
      </c>
      <c r="G586" t="s">
        <v>74</v>
      </c>
      <c r="H586" t="s">
        <v>74</v>
      </c>
      <c r="I586" t="s">
        <v>11567</v>
      </c>
      <c r="J586" t="s">
        <v>9982</v>
      </c>
      <c r="K586" t="s">
        <v>74</v>
      </c>
      <c r="L586" t="s">
        <v>74</v>
      </c>
      <c r="M586" t="s">
        <v>78</v>
      </c>
      <c r="N586" t="s">
        <v>79</v>
      </c>
      <c r="O586" t="s">
        <v>74</v>
      </c>
      <c r="P586" t="s">
        <v>74</v>
      </c>
      <c r="Q586" t="s">
        <v>74</v>
      </c>
      <c r="R586" t="s">
        <v>74</v>
      </c>
      <c r="S586" t="s">
        <v>74</v>
      </c>
      <c r="T586" t="s">
        <v>11568</v>
      </c>
      <c r="U586" t="s">
        <v>74</v>
      </c>
      <c r="V586" t="s">
        <v>11569</v>
      </c>
      <c r="W586" t="s">
        <v>11570</v>
      </c>
      <c r="X586" t="s">
        <v>11571</v>
      </c>
      <c r="Y586" t="s">
        <v>11572</v>
      </c>
      <c r="Z586" t="s">
        <v>11573</v>
      </c>
      <c r="AA586" t="s">
        <v>11574</v>
      </c>
      <c r="AB586" t="s">
        <v>11575</v>
      </c>
      <c r="AC586" t="s">
        <v>10937</v>
      </c>
      <c r="AD586" t="s">
        <v>5182</v>
      </c>
      <c r="AE586" t="s">
        <v>74</v>
      </c>
      <c r="AF586" t="s">
        <v>74</v>
      </c>
      <c r="AG586">
        <v>17</v>
      </c>
      <c r="AH586">
        <v>2</v>
      </c>
      <c r="AI586">
        <v>2</v>
      </c>
      <c r="AJ586">
        <v>2</v>
      </c>
      <c r="AK586">
        <v>15</v>
      </c>
      <c r="AL586" t="s">
        <v>815</v>
      </c>
      <c r="AM586" t="s">
        <v>816</v>
      </c>
      <c r="AN586" t="s">
        <v>817</v>
      </c>
      <c r="AO586" t="s">
        <v>9994</v>
      </c>
      <c r="AP586" t="s">
        <v>9995</v>
      </c>
      <c r="AQ586" t="s">
        <v>74</v>
      </c>
      <c r="AR586" t="s">
        <v>9996</v>
      </c>
      <c r="AS586" t="s">
        <v>9997</v>
      </c>
      <c r="AT586" t="s">
        <v>8975</v>
      </c>
      <c r="AU586">
        <v>2015</v>
      </c>
      <c r="AV586">
        <v>9</v>
      </c>
      <c r="AW586">
        <v>1</v>
      </c>
      <c r="AX586" t="s">
        <v>74</v>
      </c>
      <c r="AY586" t="s">
        <v>74</v>
      </c>
      <c r="AZ586" t="s">
        <v>74</v>
      </c>
      <c r="BA586" t="s">
        <v>74</v>
      </c>
      <c r="BB586">
        <v>1</v>
      </c>
      <c r="BC586">
        <v>4</v>
      </c>
      <c r="BD586" t="s">
        <v>74</v>
      </c>
      <c r="BE586" t="s">
        <v>11576</v>
      </c>
      <c r="BF586" t="str">
        <f>HYPERLINK("http://dx.doi.org/10.1016/j.polar.2014.12.003","http://dx.doi.org/10.1016/j.polar.2014.12.003")</f>
        <v>http://dx.doi.org/10.1016/j.polar.2014.12.003</v>
      </c>
      <c r="BG586" t="s">
        <v>74</v>
      </c>
      <c r="BH586" t="s">
        <v>74</v>
      </c>
      <c r="BI586">
        <v>4</v>
      </c>
      <c r="BJ586" t="s">
        <v>9999</v>
      </c>
      <c r="BK586" t="s">
        <v>100</v>
      </c>
      <c r="BL586" t="s">
        <v>7144</v>
      </c>
      <c r="BM586" t="s">
        <v>10000</v>
      </c>
      <c r="BN586" t="s">
        <v>74</v>
      </c>
      <c r="BO586" t="s">
        <v>2481</v>
      </c>
      <c r="BP586" t="s">
        <v>74</v>
      </c>
      <c r="BQ586" t="s">
        <v>74</v>
      </c>
      <c r="BR586" t="s">
        <v>104</v>
      </c>
      <c r="BS586" t="s">
        <v>11577</v>
      </c>
      <c r="BT586" t="str">
        <f>HYPERLINK("https%3A%2F%2Fwww.webofscience.com%2Fwos%2Fwoscc%2Ffull-record%2FWOS:000350993700001","View Full Record in Web of Science")</f>
        <v>View Full Record in Web of Science</v>
      </c>
    </row>
    <row r="587" spans="1:72" x14ac:dyDescent="0.15">
      <c r="A587" t="s">
        <v>72</v>
      </c>
      <c r="B587" t="s">
        <v>11578</v>
      </c>
      <c r="C587" t="s">
        <v>74</v>
      </c>
      <c r="D587" t="s">
        <v>74</v>
      </c>
      <c r="E587" t="s">
        <v>74</v>
      </c>
      <c r="F587" t="s">
        <v>11579</v>
      </c>
      <c r="G587" t="s">
        <v>74</v>
      </c>
      <c r="H587" t="s">
        <v>74</v>
      </c>
      <c r="I587" t="s">
        <v>11580</v>
      </c>
      <c r="J587" t="s">
        <v>9982</v>
      </c>
      <c r="K587" t="s">
        <v>74</v>
      </c>
      <c r="L587" t="s">
        <v>74</v>
      </c>
      <c r="M587" t="s">
        <v>78</v>
      </c>
      <c r="N587" t="s">
        <v>79</v>
      </c>
      <c r="O587" t="s">
        <v>74</v>
      </c>
      <c r="P587" t="s">
        <v>74</v>
      </c>
      <c r="Q587" t="s">
        <v>74</v>
      </c>
      <c r="R587" t="s">
        <v>74</v>
      </c>
      <c r="S587" t="s">
        <v>74</v>
      </c>
      <c r="T587" t="s">
        <v>11581</v>
      </c>
      <c r="U587" t="s">
        <v>11582</v>
      </c>
      <c r="V587" t="s">
        <v>11583</v>
      </c>
      <c r="W587" t="s">
        <v>11584</v>
      </c>
      <c r="X587" t="s">
        <v>11585</v>
      </c>
      <c r="Y587" t="s">
        <v>11586</v>
      </c>
      <c r="Z587" t="s">
        <v>11587</v>
      </c>
      <c r="AA587" t="s">
        <v>11588</v>
      </c>
      <c r="AB587" t="s">
        <v>11589</v>
      </c>
      <c r="AC587" t="s">
        <v>11590</v>
      </c>
      <c r="AD587" t="s">
        <v>11591</v>
      </c>
      <c r="AE587" t="s">
        <v>11592</v>
      </c>
      <c r="AF587" t="s">
        <v>74</v>
      </c>
      <c r="AG587">
        <v>29</v>
      </c>
      <c r="AH587">
        <v>12</v>
      </c>
      <c r="AI587">
        <v>13</v>
      </c>
      <c r="AJ587">
        <v>0</v>
      </c>
      <c r="AK587">
        <v>12</v>
      </c>
      <c r="AL587" t="s">
        <v>815</v>
      </c>
      <c r="AM587" t="s">
        <v>816</v>
      </c>
      <c r="AN587" t="s">
        <v>817</v>
      </c>
      <c r="AO587" t="s">
        <v>9994</v>
      </c>
      <c r="AP587" t="s">
        <v>9995</v>
      </c>
      <c r="AQ587" t="s">
        <v>74</v>
      </c>
      <c r="AR587" t="s">
        <v>9996</v>
      </c>
      <c r="AS587" t="s">
        <v>9997</v>
      </c>
      <c r="AT587" t="s">
        <v>8975</v>
      </c>
      <c r="AU587">
        <v>2015</v>
      </c>
      <c r="AV587">
        <v>9</v>
      </c>
      <c r="AW587">
        <v>1</v>
      </c>
      <c r="AX587" t="s">
        <v>74</v>
      </c>
      <c r="AY587" t="s">
        <v>74</v>
      </c>
      <c r="AZ587" t="s">
        <v>74</v>
      </c>
      <c r="BA587" t="s">
        <v>74</v>
      </c>
      <c r="BB587">
        <v>51</v>
      </c>
      <c r="BC587">
        <v>65</v>
      </c>
      <c r="BD587" t="s">
        <v>74</v>
      </c>
      <c r="BE587" t="s">
        <v>11593</v>
      </c>
      <c r="BF587" t="str">
        <f>HYPERLINK("http://dx.doi.org/10.1016/j.polar.2014.10.003","http://dx.doi.org/10.1016/j.polar.2014.10.003")</f>
        <v>http://dx.doi.org/10.1016/j.polar.2014.10.003</v>
      </c>
      <c r="BG587" t="s">
        <v>74</v>
      </c>
      <c r="BH587" t="s">
        <v>74</v>
      </c>
      <c r="BI587">
        <v>15</v>
      </c>
      <c r="BJ587" t="s">
        <v>9999</v>
      </c>
      <c r="BK587" t="s">
        <v>100</v>
      </c>
      <c r="BL587" t="s">
        <v>7144</v>
      </c>
      <c r="BM587" t="s">
        <v>10000</v>
      </c>
      <c r="BN587" t="s">
        <v>74</v>
      </c>
      <c r="BO587" t="s">
        <v>1542</v>
      </c>
      <c r="BP587" t="s">
        <v>74</v>
      </c>
      <c r="BQ587" t="s">
        <v>74</v>
      </c>
      <c r="BR587" t="s">
        <v>104</v>
      </c>
      <c r="BS587" t="s">
        <v>11594</v>
      </c>
      <c r="BT587" t="str">
        <f>HYPERLINK("https%3A%2F%2Fwww.webofscience.com%2Fwos%2Fwoscc%2Ffull-record%2FWOS:000350993700006","View Full Record in Web of Science")</f>
        <v>View Full Record in Web of Science</v>
      </c>
    </row>
    <row r="588" spans="1:72" x14ac:dyDescent="0.15">
      <c r="A588" t="s">
        <v>72</v>
      </c>
      <c r="B588" t="s">
        <v>11595</v>
      </c>
      <c r="C588" t="s">
        <v>74</v>
      </c>
      <c r="D588" t="s">
        <v>74</v>
      </c>
      <c r="E588" t="s">
        <v>74</v>
      </c>
      <c r="F588" t="s">
        <v>11596</v>
      </c>
      <c r="G588" t="s">
        <v>74</v>
      </c>
      <c r="H588" t="s">
        <v>74</v>
      </c>
      <c r="I588" t="s">
        <v>11597</v>
      </c>
      <c r="J588" t="s">
        <v>774</v>
      </c>
      <c r="K588" t="s">
        <v>74</v>
      </c>
      <c r="L588" t="s">
        <v>74</v>
      </c>
      <c r="M588" t="s">
        <v>78</v>
      </c>
      <c r="N588" t="s">
        <v>1291</v>
      </c>
      <c r="O588" t="s">
        <v>74</v>
      </c>
      <c r="P588" t="s">
        <v>74</v>
      </c>
      <c r="Q588" t="s">
        <v>74</v>
      </c>
      <c r="R588" t="s">
        <v>74</v>
      </c>
      <c r="S588" t="s">
        <v>74</v>
      </c>
      <c r="T588" t="s">
        <v>11598</v>
      </c>
      <c r="U588" t="s">
        <v>11599</v>
      </c>
      <c r="V588" t="s">
        <v>11600</v>
      </c>
      <c r="W588" t="s">
        <v>11601</v>
      </c>
      <c r="X588" t="s">
        <v>11602</v>
      </c>
      <c r="Y588" t="s">
        <v>11603</v>
      </c>
      <c r="Z588" t="s">
        <v>11604</v>
      </c>
      <c r="AA588" t="s">
        <v>11605</v>
      </c>
      <c r="AB588" t="s">
        <v>11606</v>
      </c>
      <c r="AC588" t="s">
        <v>11607</v>
      </c>
      <c r="AD588" t="s">
        <v>11608</v>
      </c>
      <c r="AE588" t="s">
        <v>11609</v>
      </c>
      <c r="AF588" t="s">
        <v>74</v>
      </c>
      <c r="AG588">
        <v>354</v>
      </c>
      <c r="AH588">
        <v>262</v>
      </c>
      <c r="AI588">
        <v>287</v>
      </c>
      <c r="AJ588">
        <v>21</v>
      </c>
      <c r="AK588">
        <v>281</v>
      </c>
      <c r="AL588" t="s">
        <v>786</v>
      </c>
      <c r="AM588" t="s">
        <v>787</v>
      </c>
      <c r="AN588" t="s">
        <v>788</v>
      </c>
      <c r="AO588" t="s">
        <v>789</v>
      </c>
      <c r="AP588" t="s">
        <v>74</v>
      </c>
      <c r="AQ588" t="s">
        <v>74</v>
      </c>
      <c r="AR588" t="s">
        <v>791</v>
      </c>
      <c r="AS588" t="s">
        <v>792</v>
      </c>
      <c r="AT588" t="s">
        <v>10247</v>
      </c>
      <c r="AU588">
        <v>2015</v>
      </c>
      <c r="AV588">
        <v>111</v>
      </c>
      <c r="AW588" t="s">
        <v>74</v>
      </c>
      <c r="AX588" t="s">
        <v>74</v>
      </c>
      <c r="AY588" t="s">
        <v>74</v>
      </c>
      <c r="AZ588" t="s">
        <v>74</v>
      </c>
      <c r="BA588" t="s">
        <v>74</v>
      </c>
      <c r="BB588">
        <v>9</v>
      </c>
      <c r="BC588">
        <v>34</v>
      </c>
      <c r="BD588" t="s">
        <v>74</v>
      </c>
      <c r="BE588" t="s">
        <v>11610</v>
      </c>
      <c r="BF588" t="str">
        <f>HYPERLINK("http://dx.doi.org/10.1016/j.quascirev.2014.11.018","http://dx.doi.org/10.1016/j.quascirev.2014.11.018")</f>
        <v>http://dx.doi.org/10.1016/j.quascirev.2014.11.018</v>
      </c>
      <c r="BG588" t="s">
        <v>74</v>
      </c>
      <c r="BH588" t="s">
        <v>74</v>
      </c>
      <c r="BI588">
        <v>26</v>
      </c>
      <c r="BJ588" t="s">
        <v>795</v>
      </c>
      <c r="BK588" t="s">
        <v>100</v>
      </c>
      <c r="BL588" t="s">
        <v>796</v>
      </c>
      <c r="BM588" t="s">
        <v>11611</v>
      </c>
      <c r="BN588" t="s">
        <v>74</v>
      </c>
      <c r="BO588" t="s">
        <v>559</v>
      </c>
      <c r="BP588" t="s">
        <v>4339</v>
      </c>
      <c r="BQ588" t="s">
        <v>4340</v>
      </c>
      <c r="BR588" t="s">
        <v>104</v>
      </c>
      <c r="BS588" t="s">
        <v>11612</v>
      </c>
      <c r="BT588" t="str">
        <f>HYPERLINK("https%3A%2F%2Fwww.webofscience.com%2Fwos%2Fwoscc%2Ffull-record%2FWOS:000353431100002","View Full Record in Web of Science")</f>
        <v>View Full Record in Web of Science</v>
      </c>
    </row>
    <row r="589" spans="1:72" x14ac:dyDescent="0.15">
      <c r="A589" t="s">
        <v>72</v>
      </c>
      <c r="B589" t="s">
        <v>11613</v>
      </c>
      <c r="C589" t="s">
        <v>74</v>
      </c>
      <c r="D589" t="s">
        <v>74</v>
      </c>
      <c r="E589" t="s">
        <v>74</v>
      </c>
      <c r="F589" t="s">
        <v>11614</v>
      </c>
      <c r="G589" t="s">
        <v>74</v>
      </c>
      <c r="H589" t="s">
        <v>74</v>
      </c>
      <c r="I589" t="s">
        <v>11615</v>
      </c>
      <c r="J589" t="s">
        <v>774</v>
      </c>
      <c r="K589" t="s">
        <v>74</v>
      </c>
      <c r="L589" t="s">
        <v>74</v>
      </c>
      <c r="M589" t="s">
        <v>78</v>
      </c>
      <c r="N589" t="s">
        <v>1291</v>
      </c>
      <c r="O589" t="s">
        <v>74</v>
      </c>
      <c r="P589" t="s">
        <v>74</v>
      </c>
      <c r="Q589" t="s">
        <v>74</v>
      </c>
      <c r="R589" t="s">
        <v>74</v>
      </c>
      <c r="S589" t="s">
        <v>74</v>
      </c>
      <c r="T589" t="s">
        <v>11616</v>
      </c>
      <c r="U589" t="s">
        <v>11617</v>
      </c>
      <c r="V589" t="s">
        <v>11618</v>
      </c>
      <c r="W589" t="s">
        <v>11619</v>
      </c>
      <c r="X589" t="s">
        <v>11620</v>
      </c>
      <c r="Y589" t="s">
        <v>11621</v>
      </c>
      <c r="Z589" t="s">
        <v>11622</v>
      </c>
      <c r="AA589" t="s">
        <v>11623</v>
      </c>
      <c r="AB589" t="s">
        <v>11624</v>
      </c>
      <c r="AC589" t="s">
        <v>74</v>
      </c>
      <c r="AD589" t="s">
        <v>74</v>
      </c>
      <c r="AE589" t="s">
        <v>74</v>
      </c>
      <c r="AF589" t="s">
        <v>74</v>
      </c>
      <c r="AG589">
        <v>119</v>
      </c>
      <c r="AH589">
        <v>363</v>
      </c>
      <c r="AI589">
        <v>396</v>
      </c>
      <c r="AJ589">
        <v>8</v>
      </c>
      <c r="AK589">
        <v>112</v>
      </c>
      <c r="AL589" t="s">
        <v>786</v>
      </c>
      <c r="AM589" t="s">
        <v>787</v>
      </c>
      <c r="AN589" t="s">
        <v>788</v>
      </c>
      <c r="AO589" t="s">
        <v>789</v>
      </c>
      <c r="AP589" t="s">
        <v>790</v>
      </c>
      <c r="AQ589" t="s">
        <v>74</v>
      </c>
      <c r="AR589" t="s">
        <v>791</v>
      </c>
      <c r="AS589" t="s">
        <v>792</v>
      </c>
      <c r="AT589" t="s">
        <v>10247</v>
      </c>
      <c r="AU589">
        <v>2015</v>
      </c>
      <c r="AV589">
        <v>111</v>
      </c>
      <c r="AW589" t="s">
        <v>74</v>
      </c>
      <c r="AX589" t="s">
        <v>74</v>
      </c>
      <c r="AY589" t="s">
        <v>74</v>
      </c>
      <c r="AZ589" t="s">
        <v>74</v>
      </c>
      <c r="BA589" t="s">
        <v>74</v>
      </c>
      <c r="BB589">
        <v>94</v>
      </c>
      <c r="BC589">
        <v>106</v>
      </c>
      <c r="BD589" t="s">
        <v>74</v>
      </c>
      <c r="BE589" t="s">
        <v>11625</v>
      </c>
      <c r="BF589" t="str">
        <f>HYPERLINK("http://dx.doi.org/10.1016/j.quascirev.2015.01.012","http://dx.doi.org/10.1016/j.quascirev.2015.01.012")</f>
        <v>http://dx.doi.org/10.1016/j.quascirev.2015.01.012</v>
      </c>
      <c r="BG589" t="s">
        <v>74</v>
      </c>
      <c r="BH589" t="s">
        <v>74</v>
      </c>
      <c r="BI589">
        <v>13</v>
      </c>
      <c r="BJ589" t="s">
        <v>795</v>
      </c>
      <c r="BK589" t="s">
        <v>100</v>
      </c>
      <c r="BL589" t="s">
        <v>796</v>
      </c>
      <c r="BM589" t="s">
        <v>11611</v>
      </c>
      <c r="BN589" t="s">
        <v>74</v>
      </c>
      <c r="BO589" t="s">
        <v>559</v>
      </c>
      <c r="BP589" t="s">
        <v>4339</v>
      </c>
      <c r="BQ589" t="s">
        <v>4340</v>
      </c>
      <c r="BR589" t="s">
        <v>104</v>
      </c>
      <c r="BS589" t="s">
        <v>11626</v>
      </c>
      <c r="BT589" t="str">
        <f>HYPERLINK("https%3A%2F%2Fwww.webofscience.com%2Fwos%2Fwoscc%2Ffull-record%2FWOS:000353431100008","View Full Record in Web of Science")</f>
        <v>View Full Record in Web of Science</v>
      </c>
    </row>
    <row r="590" spans="1:72" x14ac:dyDescent="0.15">
      <c r="A590" t="s">
        <v>72</v>
      </c>
      <c r="B590" t="s">
        <v>11627</v>
      </c>
      <c r="C590" t="s">
        <v>74</v>
      </c>
      <c r="D590" t="s">
        <v>74</v>
      </c>
      <c r="E590" t="s">
        <v>74</v>
      </c>
      <c r="F590" t="s">
        <v>11628</v>
      </c>
      <c r="G590" t="s">
        <v>74</v>
      </c>
      <c r="H590" t="s">
        <v>74</v>
      </c>
      <c r="I590" t="s">
        <v>11629</v>
      </c>
      <c r="J590" t="s">
        <v>11630</v>
      </c>
      <c r="K590" t="s">
        <v>74</v>
      </c>
      <c r="L590" t="s">
        <v>74</v>
      </c>
      <c r="M590" t="s">
        <v>78</v>
      </c>
      <c r="N590" t="s">
        <v>79</v>
      </c>
      <c r="O590" t="s">
        <v>74</v>
      </c>
      <c r="P590" t="s">
        <v>74</v>
      </c>
      <c r="Q590" t="s">
        <v>74</v>
      </c>
      <c r="R590" t="s">
        <v>74</v>
      </c>
      <c r="S590" t="s">
        <v>74</v>
      </c>
      <c r="T590" t="s">
        <v>74</v>
      </c>
      <c r="U590" t="s">
        <v>11631</v>
      </c>
      <c r="V590" t="s">
        <v>11632</v>
      </c>
      <c r="W590" t="s">
        <v>11633</v>
      </c>
      <c r="X590" t="s">
        <v>11634</v>
      </c>
      <c r="Y590" t="s">
        <v>11635</v>
      </c>
      <c r="Z590" t="s">
        <v>11636</v>
      </c>
      <c r="AA590" t="s">
        <v>11637</v>
      </c>
      <c r="AB590" t="s">
        <v>11638</v>
      </c>
      <c r="AC590" t="s">
        <v>11639</v>
      </c>
      <c r="AD590" t="s">
        <v>11639</v>
      </c>
      <c r="AE590" t="s">
        <v>11640</v>
      </c>
      <c r="AF590" t="s">
        <v>74</v>
      </c>
      <c r="AG590">
        <v>78</v>
      </c>
      <c r="AH590">
        <v>61</v>
      </c>
      <c r="AI590">
        <v>65</v>
      </c>
      <c r="AJ590">
        <v>3</v>
      </c>
      <c r="AK590">
        <v>24</v>
      </c>
      <c r="AL590" t="s">
        <v>551</v>
      </c>
      <c r="AM590" t="s">
        <v>267</v>
      </c>
      <c r="AN590" t="s">
        <v>552</v>
      </c>
      <c r="AO590" t="s">
        <v>11641</v>
      </c>
      <c r="AP590" t="s">
        <v>74</v>
      </c>
      <c r="AQ590" t="s">
        <v>74</v>
      </c>
      <c r="AR590" t="s">
        <v>11642</v>
      </c>
      <c r="AS590" t="s">
        <v>11643</v>
      </c>
      <c r="AT590" t="s">
        <v>8975</v>
      </c>
      <c r="AU590">
        <v>2015</v>
      </c>
      <c r="AV590">
        <v>1</v>
      </c>
      <c r="AW590">
        <v>2</v>
      </c>
      <c r="AX590" t="s">
        <v>74</v>
      </c>
      <c r="AY590" t="s">
        <v>74</v>
      </c>
      <c r="AZ590" t="s">
        <v>74</v>
      </c>
      <c r="BA590" t="s">
        <v>74</v>
      </c>
      <c r="BB590" t="s">
        <v>74</v>
      </c>
      <c r="BC590" t="s">
        <v>74</v>
      </c>
      <c r="BD590" t="s">
        <v>11644</v>
      </c>
      <c r="BE590" t="s">
        <v>11645</v>
      </c>
      <c r="BF590" t="str">
        <f>HYPERLINK("http://dx.doi.org/10.1126/sciadv.1400196","http://dx.doi.org/10.1126/sciadv.1400196")</f>
        <v>http://dx.doi.org/10.1126/sciadv.1400196</v>
      </c>
      <c r="BG590" t="s">
        <v>74</v>
      </c>
      <c r="BH590" t="s">
        <v>74</v>
      </c>
      <c r="BI590">
        <v>8</v>
      </c>
      <c r="BJ590" t="s">
        <v>429</v>
      </c>
      <c r="BK590" t="s">
        <v>100</v>
      </c>
      <c r="BL590" t="s">
        <v>430</v>
      </c>
      <c r="BM590" t="s">
        <v>11646</v>
      </c>
      <c r="BN590">
        <v>26601147</v>
      </c>
      <c r="BO590" t="s">
        <v>8829</v>
      </c>
      <c r="BP590" t="s">
        <v>74</v>
      </c>
      <c r="BQ590" t="s">
        <v>74</v>
      </c>
      <c r="BR590" t="s">
        <v>104</v>
      </c>
      <c r="BS590" t="s">
        <v>11647</v>
      </c>
      <c r="BT590" t="str">
        <f>HYPERLINK("https%3A%2F%2Fwww.webofscience.com%2Fwos%2Fwoscc%2Ffull-record%2FWOS:000216591000002","View Full Record in Web of Science")</f>
        <v>View Full Record in Web of Science</v>
      </c>
    </row>
    <row r="591" spans="1:72" x14ac:dyDescent="0.15">
      <c r="A591" t="s">
        <v>72</v>
      </c>
      <c r="B591" t="s">
        <v>11648</v>
      </c>
      <c r="C591" t="s">
        <v>74</v>
      </c>
      <c r="D591" t="s">
        <v>74</v>
      </c>
      <c r="E591" t="s">
        <v>74</v>
      </c>
      <c r="F591" t="s">
        <v>11649</v>
      </c>
      <c r="G591" t="s">
        <v>74</v>
      </c>
      <c r="H591" t="s">
        <v>74</v>
      </c>
      <c r="I591" t="s">
        <v>11650</v>
      </c>
      <c r="J591" t="s">
        <v>11651</v>
      </c>
      <c r="K591" t="s">
        <v>74</v>
      </c>
      <c r="L591" t="s">
        <v>74</v>
      </c>
      <c r="M591" t="s">
        <v>78</v>
      </c>
      <c r="N591" t="s">
        <v>2611</v>
      </c>
      <c r="O591" t="s">
        <v>74</v>
      </c>
      <c r="P591" t="s">
        <v>74</v>
      </c>
      <c r="Q591" t="s">
        <v>74</v>
      </c>
      <c r="R591" t="s">
        <v>74</v>
      </c>
      <c r="S591" t="s">
        <v>74</v>
      </c>
      <c r="T591" t="s">
        <v>11652</v>
      </c>
      <c r="U591" t="s">
        <v>11653</v>
      </c>
      <c r="V591" t="s">
        <v>11654</v>
      </c>
      <c r="W591" t="s">
        <v>11655</v>
      </c>
      <c r="X591" t="s">
        <v>11656</v>
      </c>
      <c r="Y591" t="s">
        <v>11657</v>
      </c>
      <c r="Z591" t="s">
        <v>11658</v>
      </c>
      <c r="AA591" t="s">
        <v>11659</v>
      </c>
      <c r="AB591" t="s">
        <v>11660</v>
      </c>
      <c r="AC591" t="s">
        <v>11661</v>
      </c>
      <c r="AD591" t="s">
        <v>11662</v>
      </c>
      <c r="AE591" t="s">
        <v>11663</v>
      </c>
      <c r="AF591" t="s">
        <v>74</v>
      </c>
      <c r="AG591">
        <v>10</v>
      </c>
      <c r="AH591">
        <v>8</v>
      </c>
      <c r="AI591">
        <v>11</v>
      </c>
      <c r="AJ591">
        <v>0</v>
      </c>
      <c r="AK591">
        <v>27</v>
      </c>
      <c r="AL591" t="s">
        <v>2028</v>
      </c>
      <c r="AM591" t="s">
        <v>2029</v>
      </c>
      <c r="AN591" t="s">
        <v>2030</v>
      </c>
      <c r="AO591" t="s">
        <v>11664</v>
      </c>
      <c r="AP591" t="s">
        <v>11665</v>
      </c>
      <c r="AQ591" t="s">
        <v>74</v>
      </c>
      <c r="AR591" t="s">
        <v>11666</v>
      </c>
      <c r="AS591" t="s">
        <v>11667</v>
      </c>
      <c r="AT591" t="s">
        <v>8975</v>
      </c>
      <c r="AU591">
        <v>2015</v>
      </c>
      <c r="AV591">
        <v>60</v>
      </c>
      <c r="AW591">
        <v>5</v>
      </c>
      <c r="AX591" t="s">
        <v>74</v>
      </c>
      <c r="AY591" t="s">
        <v>74</v>
      </c>
      <c r="AZ591" t="s">
        <v>74</v>
      </c>
      <c r="BA591" t="s">
        <v>74</v>
      </c>
      <c r="BB591">
        <v>574</v>
      </c>
      <c r="BC591">
        <v>576</v>
      </c>
      <c r="BD591" t="s">
        <v>74</v>
      </c>
      <c r="BE591" t="s">
        <v>11668</v>
      </c>
      <c r="BF591" t="str">
        <f>HYPERLINK("http://dx.doi.org/10.1007/s11434-015-0732-0","http://dx.doi.org/10.1007/s11434-015-0732-0")</f>
        <v>http://dx.doi.org/10.1007/s11434-015-0732-0</v>
      </c>
      <c r="BG591" t="s">
        <v>74</v>
      </c>
      <c r="BH591" t="s">
        <v>74</v>
      </c>
      <c r="BI591">
        <v>3</v>
      </c>
      <c r="BJ591" t="s">
        <v>429</v>
      </c>
      <c r="BK591" t="s">
        <v>100</v>
      </c>
      <c r="BL591" t="s">
        <v>430</v>
      </c>
      <c r="BM591" t="s">
        <v>11669</v>
      </c>
      <c r="BN591" t="s">
        <v>74</v>
      </c>
      <c r="BO591" t="s">
        <v>74</v>
      </c>
      <c r="BP591" t="s">
        <v>74</v>
      </c>
      <c r="BQ591" t="s">
        <v>74</v>
      </c>
      <c r="BR591" t="s">
        <v>104</v>
      </c>
      <c r="BS591" t="s">
        <v>11670</v>
      </c>
      <c r="BT591" t="str">
        <f>HYPERLINK("https%3A%2F%2Fwww.webofscience.com%2Fwos%2Fwoscc%2Ffull-record%2FWOS:000350571800011","View Full Record in Web of Science")</f>
        <v>View Full Record in Web of Science</v>
      </c>
    </row>
    <row r="592" spans="1:72" x14ac:dyDescent="0.15">
      <c r="A592" t="s">
        <v>72</v>
      </c>
      <c r="B592" t="s">
        <v>11671</v>
      </c>
      <c r="C592" t="s">
        <v>74</v>
      </c>
      <c r="D592" t="s">
        <v>74</v>
      </c>
      <c r="E592" t="s">
        <v>74</v>
      </c>
      <c r="F592" t="s">
        <v>11672</v>
      </c>
      <c r="G592" t="s">
        <v>74</v>
      </c>
      <c r="H592" t="s">
        <v>74</v>
      </c>
      <c r="I592" t="s">
        <v>11673</v>
      </c>
      <c r="J592" t="s">
        <v>11674</v>
      </c>
      <c r="K592" t="s">
        <v>74</v>
      </c>
      <c r="L592" t="s">
        <v>74</v>
      </c>
      <c r="M592" t="s">
        <v>78</v>
      </c>
      <c r="N592" t="s">
        <v>79</v>
      </c>
      <c r="O592" t="s">
        <v>74</v>
      </c>
      <c r="P592" t="s">
        <v>74</v>
      </c>
      <c r="Q592" t="s">
        <v>74</v>
      </c>
      <c r="R592" t="s">
        <v>74</v>
      </c>
      <c r="S592" t="s">
        <v>74</v>
      </c>
      <c r="T592" t="s">
        <v>74</v>
      </c>
      <c r="U592" t="s">
        <v>11675</v>
      </c>
      <c r="V592" t="s">
        <v>11676</v>
      </c>
      <c r="W592" t="s">
        <v>11677</v>
      </c>
      <c r="X592" t="s">
        <v>11678</v>
      </c>
      <c r="Y592" t="s">
        <v>11679</v>
      </c>
      <c r="Z592" t="s">
        <v>11680</v>
      </c>
      <c r="AA592" t="s">
        <v>11681</v>
      </c>
      <c r="AB592" t="s">
        <v>11682</v>
      </c>
      <c r="AC592" t="s">
        <v>11683</v>
      </c>
      <c r="AD592" t="s">
        <v>11684</v>
      </c>
      <c r="AE592" t="s">
        <v>11685</v>
      </c>
      <c r="AF592" t="s">
        <v>74</v>
      </c>
      <c r="AG592">
        <v>62</v>
      </c>
      <c r="AH592">
        <v>42</v>
      </c>
      <c r="AI592">
        <v>42</v>
      </c>
      <c r="AJ592">
        <v>0</v>
      </c>
      <c r="AK592">
        <v>4</v>
      </c>
      <c r="AL592" t="s">
        <v>266</v>
      </c>
      <c r="AM592" t="s">
        <v>267</v>
      </c>
      <c r="AN592" t="s">
        <v>268</v>
      </c>
      <c r="AO592" t="s">
        <v>74</v>
      </c>
      <c r="AP592" t="s">
        <v>11686</v>
      </c>
      <c r="AQ592" t="s">
        <v>74</v>
      </c>
      <c r="AR592" t="s">
        <v>11687</v>
      </c>
      <c r="AS592" t="s">
        <v>11688</v>
      </c>
      <c r="AT592" t="s">
        <v>8975</v>
      </c>
      <c r="AU592">
        <v>2015</v>
      </c>
      <c r="AV592">
        <v>13</v>
      </c>
      <c r="AW592">
        <v>3</v>
      </c>
      <c r="AX592" t="s">
        <v>74</v>
      </c>
      <c r="AY592" t="s">
        <v>74</v>
      </c>
      <c r="AZ592" t="s">
        <v>74</v>
      </c>
      <c r="BA592" t="s">
        <v>74</v>
      </c>
      <c r="BB592">
        <v>170</v>
      </c>
      <c r="BC592">
        <v>184</v>
      </c>
      <c r="BD592" t="s">
        <v>74</v>
      </c>
      <c r="BE592" t="s">
        <v>11689</v>
      </c>
      <c r="BF592" t="str">
        <f>HYPERLINK("http://dx.doi.org/10.1002/2014SW001143","http://dx.doi.org/10.1002/2014SW001143")</f>
        <v>http://dx.doi.org/10.1002/2014SW001143</v>
      </c>
      <c r="BG592" t="s">
        <v>74</v>
      </c>
      <c r="BH592" t="s">
        <v>74</v>
      </c>
      <c r="BI592">
        <v>15</v>
      </c>
      <c r="BJ592" t="s">
        <v>11690</v>
      </c>
      <c r="BK592" t="s">
        <v>100</v>
      </c>
      <c r="BL592" t="s">
        <v>11690</v>
      </c>
      <c r="BM592" t="s">
        <v>11691</v>
      </c>
      <c r="BN592" t="s">
        <v>74</v>
      </c>
      <c r="BO592" t="s">
        <v>7739</v>
      </c>
      <c r="BP592" t="s">
        <v>74</v>
      </c>
      <c r="BQ592" t="s">
        <v>74</v>
      </c>
      <c r="BR592" t="s">
        <v>104</v>
      </c>
      <c r="BS592" t="s">
        <v>11692</v>
      </c>
      <c r="BT592" t="str">
        <f>HYPERLINK("https%3A%2F%2Fwww.webofscience.com%2Fwos%2Fwoscc%2Ffull-record%2FWOS:000353030000005","View Full Record in Web of Science")</f>
        <v>View Full Record in Web of Science</v>
      </c>
    </row>
    <row r="593" spans="1:72" x14ac:dyDescent="0.15">
      <c r="A593" t="s">
        <v>72</v>
      </c>
      <c r="B593" t="s">
        <v>11693</v>
      </c>
      <c r="C593" t="s">
        <v>74</v>
      </c>
      <c r="D593" t="s">
        <v>74</v>
      </c>
      <c r="E593" t="s">
        <v>74</v>
      </c>
      <c r="F593" t="s">
        <v>11694</v>
      </c>
      <c r="G593" t="s">
        <v>74</v>
      </c>
      <c r="H593" t="s">
        <v>74</v>
      </c>
      <c r="I593" t="s">
        <v>11695</v>
      </c>
      <c r="J593" t="s">
        <v>11696</v>
      </c>
      <c r="K593" t="s">
        <v>74</v>
      </c>
      <c r="L593" t="s">
        <v>74</v>
      </c>
      <c r="M593" t="s">
        <v>78</v>
      </c>
      <c r="N593" t="s">
        <v>79</v>
      </c>
      <c r="O593" t="s">
        <v>74</v>
      </c>
      <c r="P593" t="s">
        <v>74</v>
      </c>
      <c r="Q593" t="s">
        <v>74</v>
      </c>
      <c r="R593" t="s">
        <v>74</v>
      </c>
      <c r="S593" t="s">
        <v>74</v>
      </c>
      <c r="T593" t="s">
        <v>11697</v>
      </c>
      <c r="U593" t="s">
        <v>74</v>
      </c>
      <c r="V593" t="s">
        <v>11698</v>
      </c>
      <c r="W593" t="s">
        <v>11699</v>
      </c>
      <c r="X593" t="s">
        <v>11700</v>
      </c>
      <c r="Y593" t="s">
        <v>11701</v>
      </c>
      <c r="Z593" t="s">
        <v>11702</v>
      </c>
      <c r="AA593" t="s">
        <v>11703</v>
      </c>
      <c r="AB593" t="s">
        <v>11704</v>
      </c>
      <c r="AC593" t="s">
        <v>11705</v>
      </c>
      <c r="AD593" t="s">
        <v>11706</v>
      </c>
      <c r="AE593" t="s">
        <v>11707</v>
      </c>
      <c r="AF593" t="s">
        <v>74</v>
      </c>
      <c r="AG593">
        <v>32</v>
      </c>
      <c r="AH593">
        <v>17</v>
      </c>
      <c r="AI593">
        <v>17</v>
      </c>
      <c r="AJ593">
        <v>0</v>
      </c>
      <c r="AK593">
        <v>2</v>
      </c>
      <c r="AL593" t="s">
        <v>11708</v>
      </c>
      <c r="AM593" t="s">
        <v>378</v>
      </c>
      <c r="AN593" t="s">
        <v>11709</v>
      </c>
      <c r="AO593" t="s">
        <v>11710</v>
      </c>
      <c r="AP593" t="s">
        <v>11711</v>
      </c>
      <c r="AQ593" t="s">
        <v>74</v>
      </c>
      <c r="AR593" t="s">
        <v>11712</v>
      </c>
      <c r="AS593" t="s">
        <v>11713</v>
      </c>
      <c r="AT593" t="s">
        <v>8975</v>
      </c>
      <c r="AU593">
        <v>2015</v>
      </c>
      <c r="AV593">
        <v>32</v>
      </c>
      <c r="AW593">
        <v>4</v>
      </c>
      <c r="AX593" t="s">
        <v>74</v>
      </c>
      <c r="AY593" t="s">
        <v>74</v>
      </c>
      <c r="AZ593" t="s">
        <v>74</v>
      </c>
      <c r="BA593" t="s">
        <v>74</v>
      </c>
      <c r="BB593">
        <v>255</v>
      </c>
      <c r="BC593">
        <v>270</v>
      </c>
      <c r="BD593" t="s">
        <v>74</v>
      </c>
      <c r="BE593" t="s">
        <v>11714</v>
      </c>
      <c r="BF593" t="str">
        <f>HYPERLINK("http://dx.doi.org/10.3723/ut.32.255","http://dx.doi.org/10.3723/ut.32.255")</f>
        <v>http://dx.doi.org/10.3723/ut.32.255</v>
      </c>
      <c r="BG593" t="s">
        <v>74</v>
      </c>
      <c r="BH593" t="s">
        <v>74</v>
      </c>
      <c r="BI593">
        <v>16</v>
      </c>
      <c r="BJ593" t="s">
        <v>11715</v>
      </c>
      <c r="BK593" t="s">
        <v>888</v>
      </c>
      <c r="BL593" t="s">
        <v>586</v>
      </c>
      <c r="BM593" t="s">
        <v>11716</v>
      </c>
      <c r="BN593" t="s">
        <v>74</v>
      </c>
      <c r="BO593" t="s">
        <v>74</v>
      </c>
      <c r="BP593" t="s">
        <v>74</v>
      </c>
      <c r="BQ593" t="s">
        <v>74</v>
      </c>
      <c r="BR593" t="s">
        <v>104</v>
      </c>
      <c r="BS593" t="s">
        <v>11717</v>
      </c>
      <c r="BT593" t="str">
        <f>HYPERLINK("https%3A%2F%2Fwww.webofscience.com%2Fwos%2Fwoscc%2Ffull-record%2FWOS:000437647600005","View Full Record in Web of Science")</f>
        <v>View Full Record in Web of Science</v>
      </c>
    </row>
    <row r="594" spans="1:72" x14ac:dyDescent="0.15">
      <c r="A594" t="s">
        <v>72</v>
      </c>
      <c r="B594" t="s">
        <v>11718</v>
      </c>
      <c r="C594" t="s">
        <v>74</v>
      </c>
      <c r="D594" t="s">
        <v>74</v>
      </c>
      <c r="E594" t="s">
        <v>74</v>
      </c>
      <c r="F594" t="s">
        <v>11719</v>
      </c>
      <c r="G594" t="s">
        <v>74</v>
      </c>
      <c r="H594" t="s">
        <v>74</v>
      </c>
      <c r="I594" t="s">
        <v>11720</v>
      </c>
      <c r="J594" t="s">
        <v>10606</v>
      </c>
      <c r="K594" t="s">
        <v>74</v>
      </c>
      <c r="L594" t="s">
        <v>74</v>
      </c>
      <c r="M594" t="s">
        <v>78</v>
      </c>
      <c r="N594" t="s">
        <v>79</v>
      </c>
      <c r="O594" t="s">
        <v>74</v>
      </c>
      <c r="P594" t="s">
        <v>74</v>
      </c>
      <c r="Q594" t="s">
        <v>74</v>
      </c>
      <c r="R594" t="s">
        <v>74</v>
      </c>
      <c r="S594" t="s">
        <v>74</v>
      </c>
      <c r="T594" t="s">
        <v>11721</v>
      </c>
      <c r="U594" t="s">
        <v>11722</v>
      </c>
      <c r="V594" t="s">
        <v>11723</v>
      </c>
      <c r="W594" t="s">
        <v>11724</v>
      </c>
      <c r="X594" t="s">
        <v>11725</v>
      </c>
      <c r="Y594" t="s">
        <v>11726</v>
      </c>
      <c r="Z594" t="s">
        <v>11727</v>
      </c>
      <c r="AA594" t="s">
        <v>11728</v>
      </c>
      <c r="AB594" t="s">
        <v>11729</v>
      </c>
      <c r="AC594" t="s">
        <v>11730</v>
      </c>
      <c r="AD594" t="s">
        <v>11730</v>
      </c>
      <c r="AE594" t="s">
        <v>11731</v>
      </c>
      <c r="AF594" t="s">
        <v>74</v>
      </c>
      <c r="AG594">
        <v>67</v>
      </c>
      <c r="AH594">
        <v>20</v>
      </c>
      <c r="AI594">
        <v>20</v>
      </c>
      <c r="AJ594">
        <v>6</v>
      </c>
      <c r="AK594">
        <v>39</v>
      </c>
      <c r="AL594" t="s">
        <v>1039</v>
      </c>
      <c r="AM594" t="s">
        <v>816</v>
      </c>
      <c r="AN594" t="s">
        <v>1040</v>
      </c>
      <c r="AO594" t="s">
        <v>10619</v>
      </c>
      <c r="AP594" t="s">
        <v>10620</v>
      </c>
      <c r="AQ594" t="s">
        <v>74</v>
      </c>
      <c r="AR594" t="s">
        <v>10621</v>
      </c>
      <c r="AS594" t="s">
        <v>10622</v>
      </c>
      <c r="AT594" t="s">
        <v>8975</v>
      </c>
      <c r="AU594">
        <v>2015</v>
      </c>
      <c r="AV594">
        <v>62</v>
      </c>
      <c r="AW594" t="s">
        <v>74</v>
      </c>
      <c r="AX594" t="s">
        <v>74</v>
      </c>
      <c r="AY594" t="s">
        <v>74</v>
      </c>
      <c r="AZ594" t="s">
        <v>74</v>
      </c>
      <c r="BA594" t="s">
        <v>74</v>
      </c>
      <c r="BB594">
        <v>54</v>
      </c>
      <c r="BC594">
        <v>65</v>
      </c>
      <c r="BD594" t="s">
        <v>74</v>
      </c>
      <c r="BE594" t="s">
        <v>11732</v>
      </c>
      <c r="BF594" t="str">
        <f>HYPERLINK("http://dx.doi.org/10.1016/j.astropartphys.2014.07.010","http://dx.doi.org/10.1016/j.astropartphys.2014.07.010")</f>
        <v>http://dx.doi.org/10.1016/j.astropartphys.2014.07.010</v>
      </c>
      <c r="BG594" t="s">
        <v>74</v>
      </c>
      <c r="BH594" t="s">
        <v>74</v>
      </c>
      <c r="BI594">
        <v>12</v>
      </c>
      <c r="BJ594" t="s">
        <v>10624</v>
      </c>
      <c r="BK594" t="s">
        <v>100</v>
      </c>
      <c r="BL594" t="s">
        <v>10625</v>
      </c>
      <c r="BM594" t="s">
        <v>10626</v>
      </c>
      <c r="BN594" t="s">
        <v>74</v>
      </c>
      <c r="BO594" t="s">
        <v>248</v>
      </c>
      <c r="BP594" t="s">
        <v>74</v>
      </c>
      <c r="BQ594" t="s">
        <v>74</v>
      </c>
      <c r="BR594" t="s">
        <v>104</v>
      </c>
      <c r="BS594" t="s">
        <v>11733</v>
      </c>
      <c r="BT594" t="str">
        <f>HYPERLINK("https%3A%2F%2Fwww.webofscience.com%2Fwos%2Fwoscc%2Ffull-record%2FWOS:000346548200008","View Full Record in Web of Science")</f>
        <v>View Full Record in Web of Science</v>
      </c>
    </row>
    <row r="595" spans="1:72" x14ac:dyDescent="0.15">
      <c r="A595" t="s">
        <v>72</v>
      </c>
      <c r="B595" t="s">
        <v>11734</v>
      </c>
      <c r="C595" t="s">
        <v>74</v>
      </c>
      <c r="D595" t="s">
        <v>74</v>
      </c>
      <c r="E595" t="s">
        <v>74</v>
      </c>
      <c r="F595" t="s">
        <v>11735</v>
      </c>
      <c r="G595" t="s">
        <v>74</v>
      </c>
      <c r="H595" t="s">
        <v>74</v>
      </c>
      <c r="I595" t="s">
        <v>11736</v>
      </c>
      <c r="J595" t="s">
        <v>8076</v>
      </c>
      <c r="K595" t="s">
        <v>74</v>
      </c>
      <c r="L595" t="s">
        <v>74</v>
      </c>
      <c r="M595" t="s">
        <v>78</v>
      </c>
      <c r="N595" t="s">
        <v>79</v>
      </c>
      <c r="O595" t="s">
        <v>74</v>
      </c>
      <c r="P595" t="s">
        <v>74</v>
      </c>
      <c r="Q595" t="s">
        <v>74</v>
      </c>
      <c r="R595" t="s">
        <v>74</v>
      </c>
      <c r="S595" t="s">
        <v>74</v>
      </c>
      <c r="T595" t="s">
        <v>11737</v>
      </c>
      <c r="U595" t="s">
        <v>11738</v>
      </c>
      <c r="V595" t="s">
        <v>11739</v>
      </c>
      <c r="W595" t="s">
        <v>11740</v>
      </c>
      <c r="X595" t="s">
        <v>11741</v>
      </c>
      <c r="Y595" t="s">
        <v>11742</v>
      </c>
      <c r="Z595" t="s">
        <v>74</v>
      </c>
      <c r="AA595" t="s">
        <v>11743</v>
      </c>
      <c r="AB595" t="s">
        <v>11744</v>
      </c>
      <c r="AC595" t="s">
        <v>11745</v>
      </c>
      <c r="AD595" t="s">
        <v>11103</v>
      </c>
      <c r="AE595" t="s">
        <v>11746</v>
      </c>
      <c r="AF595" t="s">
        <v>74</v>
      </c>
      <c r="AG595">
        <v>31</v>
      </c>
      <c r="AH595">
        <v>6</v>
      </c>
      <c r="AI595">
        <v>6</v>
      </c>
      <c r="AJ595">
        <v>1</v>
      </c>
      <c r="AK595">
        <v>30</v>
      </c>
      <c r="AL595" t="s">
        <v>8088</v>
      </c>
      <c r="AM595" t="s">
        <v>8089</v>
      </c>
      <c r="AN595" t="s">
        <v>8090</v>
      </c>
      <c r="AO595" t="s">
        <v>8091</v>
      </c>
      <c r="AP595" t="s">
        <v>8092</v>
      </c>
      <c r="AQ595" t="s">
        <v>74</v>
      </c>
      <c r="AR595" t="s">
        <v>8093</v>
      </c>
      <c r="AS595" t="s">
        <v>8094</v>
      </c>
      <c r="AT595" t="s">
        <v>8975</v>
      </c>
      <c r="AU595">
        <v>2015</v>
      </c>
      <c r="AV595">
        <v>53</v>
      </c>
      <c r="AW595">
        <v>3</v>
      </c>
      <c r="AX595" t="s">
        <v>74</v>
      </c>
      <c r="AY595" t="s">
        <v>74</v>
      </c>
      <c r="AZ595" t="s">
        <v>74</v>
      </c>
      <c r="BA595" t="s">
        <v>74</v>
      </c>
      <c r="BB595">
        <v>1558</v>
      </c>
      <c r="BC595">
        <v>1564</v>
      </c>
      <c r="BD595" t="s">
        <v>74</v>
      </c>
      <c r="BE595" t="s">
        <v>11747</v>
      </c>
      <c r="BF595" t="str">
        <f>HYPERLINK("http://dx.doi.org/10.1109/TGRS.2014.2345457","http://dx.doi.org/10.1109/TGRS.2014.2345457")</f>
        <v>http://dx.doi.org/10.1109/TGRS.2014.2345457</v>
      </c>
      <c r="BG595" t="s">
        <v>74</v>
      </c>
      <c r="BH595" t="s">
        <v>74</v>
      </c>
      <c r="BI595">
        <v>7</v>
      </c>
      <c r="BJ595" t="s">
        <v>8096</v>
      </c>
      <c r="BK595" t="s">
        <v>100</v>
      </c>
      <c r="BL595" t="s">
        <v>8097</v>
      </c>
      <c r="BM595" t="s">
        <v>11040</v>
      </c>
      <c r="BN595" t="s">
        <v>74</v>
      </c>
      <c r="BO595" t="s">
        <v>74</v>
      </c>
      <c r="BP595" t="s">
        <v>74</v>
      </c>
      <c r="BQ595" t="s">
        <v>74</v>
      </c>
      <c r="BR595" t="s">
        <v>104</v>
      </c>
      <c r="BS595" t="s">
        <v>11748</v>
      </c>
      <c r="BT595" t="str">
        <f>HYPERLINK("https%3A%2F%2Fwww.webofscience.com%2Fwos%2Fwoscc%2Ffull-record%2FWOS:000343900600036","View Full Record in Web of Science")</f>
        <v>View Full Record in Web of Science</v>
      </c>
    </row>
    <row r="596" spans="1:72" x14ac:dyDescent="0.15">
      <c r="A596" t="s">
        <v>72</v>
      </c>
      <c r="B596" t="s">
        <v>11749</v>
      </c>
      <c r="C596" t="s">
        <v>74</v>
      </c>
      <c r="D596" t="s">
        <v>74</v>
      </c>
      <c r="E596" t="s">
        <v>74</v>
      </c>
      <c r="F596" t="s">
        <v>11750</v>
      </c>
      <c r="G596" t="s">
        <v>74</v>
      </c>
      <c r="H596" t="s">
        <v>74</v>
      </c>
      <c r="I596" t="s">
        <v>11751</v>
      </c>
      <c r="J596" t="s">
        <v>253</v>
      </c>
      <c r="K596" t="s">
        <v>74</v>
      </c>
      <c r="L596" t="s">
        <v>74</v>
      </c>
      <c r="M596" t="s">
        <v>78</v>
      </c>
      <c r="N596" t="s">
        <v>79</v>
      </c>
      <c r="O596" t="s">
        <v>74</v>
      </c>
      <c r="P596" t="s">
        <v>74</v>
      </c>
      <c r="Q596" t="s">
        <v>74</v>
      </c>
      <c r="R596" t="s">
        <v>74</v>
      </c>
      <c r="S596" t="s">
        <v>74</v>
      </c>
      <c r="T596" t="s">
        <v>74</v>
      </c>
      <c r="U596" t="s">
        <v>11752</v>
      </c>
      <c r="V596" t="s">
        <v>11753</v>
      </c>
      <c r="W596" t="s">
        <v>11754</v>
      </c>
      <c r="X596" t="s">
        <v>11755</v>
      </c>
      <c r="Y596" t="s">
        <v>11756</v>
      </c>
      <c r="Z596" t="s">
        <v>11757</v>
      </c>
      <c r="AA596" t="s">
        <v>11758</v>
      </c>
      <c r="AB596" t="s">
        <v>11759</v>
      </c>
      <c r="AC596" t="s">
        <v>11760</v>
      </c>
      <c r="AD596" t="s">
        <v>11761</v>
      </c>
      <c r="AE596" t="s">
        <v>11762</v>
      </c>
      <c r="AF596" t="s">
        <v>74</v>
      </c>
      <c r="AG596">
        <v>48</v>
      </c>
      <c r="AH596">
        <v>28</v>
      </c>
      <c r="AI596">
        <v>29</v>
      </c>
      <c r="AJ596">
        <v>0</v>
      </c>
      <c r="AK596">
        <v>18</v>
      </c>
      <c r="AL596" t="s">
        <v>266</v>
      </c>
      <c r="AM596" t="s">
        <v>267</v>
      </c>
      <c r="AN596" t="s">
        <v>268</v>
      </c>
      <c r="AO596" t="s">
        <v>269</v>
      </c>
      <c r="AP596" t="s">
        <v>270</v>
      </c>
      <c r="AQ596" t="s">
        <v>74</v>
      </c>
      <c r="AR596" t="s">
        <v>271</v>
      </c>
      <c r="AS596" t="s">
        <v>272</v>
      </c>
      <c r="AT596" t="s">
        <v>11763</v>
      </c>
      <c r="AU596">
        <v>2015</v>
      </c>
      <c r="AV596">
        <v>42</v>
      </c>
      <c r="AW596">
        <v>4</v>
      </c>
      <c r="AX596" t="s">
        <v>74</v>
      </c>
      <c r="AY596" t="s">
        <v>74</v>
      </c>
      <c r="AZ596" t="s">
        <v>74</v>
      </c>
      <c r="BA596" t="s">
        <v>74</v>
      </c>
      <c r="BB596">
        <v>1180</v>
      </c>
      <c r="BC596">
        <v>1189</v>
      </c>
      <c r="BD596" t="s">
        <v>74</v>
      </c>
      <c r="BE596" t="s">
        <v>11764</v>
      </c>
      <c r="BF596" t="str">
        <f>HYPERLINK("http://dx.doi.org/10.1002/2014GL062898","http://dx.doi.org/10.1002/2014GL062898")</f>
        <v>http://dx.doi.org/10.1002/2014GL062898</v>
      </c>
      <c r="BG596" t="s">
        <v>74</v>
      </c>
      <c r="BH596" t="s">
        <v>74</v>
      </c>
      <c r="BI596">
        <v>10</v>
      </c>
      <c r="BJ596" t="s">
        <v>219</v>
      </c>
      <c r="BK596" t="s">
        <v>100</v>
      </c>
      <c r="BL596" t="s">
        <v>220</v>
      </c>
      <c r="BM596" t="s">
        <v>11765</v>
      </c>
      <c r="BN596" t="s">
        <v>74</v>
      </c>
      <c r="BO596" t="s">
        <v>156</v>
      </c>
      <c r="BP596" t="s">
        <v>74</v>
      </c>
      <c r="BQ596" t="s">
        <v>74</v>
      </c>
      <c r="BR596" t="s">
        <v>104</v>
      </c>
      <c r="BS596" t="s">
        <v>11766</v>
      </c>
      <c r="BT596" t="str">
        <f>HYPERLINK("https%3A%2F%2Fwww.webofscience.com%2Fwos%2Fwoscc%2Ffull-record%2FWOS:000351851900028","View Full Record in Web of Science")</f>
        <v>View Full Record in Web of Science</v>
      </c>
    </row>
    <row r="597" spans="1:72" x14ac:dyDescent="0.15">
      <c r="A597" t="s">
        <v>72</v>
      </c>
      <c r="B597" t="s">
        <v>11767</v>
      </c>
      <c r="C597" t="s">
        <v>74</v>
      </c>
      <c r="D597" t="s">
        <v>74</v>
      </c>
      <c r="E597" t="s">
        <v>74</v>
      </c>
      <c r="F597" t="s">
        <v>11768</v>
      </c>
      <c r="G597" t="s">
        <v>74</v>
      </c>
      <c r="H597" t="s">
        <v>74</v>
      </c>
      <c r="I597" t="s">
        <v>11769</v>
      </c>
      <c r="J597" t="s">
        <v>253</v>
      </c>
      <c r="K597" t="s">
        <v>74</v>
      </c>
      <c r="L597" t="s">
        <v>74</v>
      </c>
      <c r="M597" t="s">
        <v>78</v>
      </c>
      <c r="N597" t="s">
        <v>79</v>
      </c>
      <c r="O597" t="s">
        <v>74</v>
      </c>
      <c r="P597" t="s">
        <v>74</v>
      </c>
      <c r="Q597" t="s">
        <v>74</v>
      </c>
      <c r="R597" t="s">
        <v>74</v>
      </c>
      <c r="S597" t="s">
        <v>74</v>
      </c>
      <c r="T597" t="s">
        <v>74</v>
      </c>
      <c r="U597" t="s">
        <v>11770</v>
      </c>
      <c r="V597" t="s">
        <v>11771</v>
      </c>
      <c r="W597" t="s">
        <v>11772</v>
      </c>
      <c r="X597" t="s">
        <v>11773</v>
      </c>
      <c r="Y597" t="s">
        <v>11774</v>
      </c>
      <c r="Z597" t="s">
        <v>11775</v>
      </c>
      <c r="AA597" t="s">
        <v>74</v>
      </c>
      <c r="AB597" t="s">
        <v>11776</v>
      </c>
      <c r="AC597" t="s">
        <v>11777</v>
      </c>
      <c r="AD597" t="s">
        <v>11778</v>
      </c>
      <c r="AE597" t="s">
        <v>11779</v>
      </c>
      <c r="AF597" t="s">
        <v>74</v>
      </c>
      <c r="AG597">
        <v>27</v>
      </c>
      <c r="AH597">
        <v>6</v>
      </c>
      <c r="AI597">
        <v>8</v>
      </c>
      <c r="AJ597">
        <v>0</v>
      </c>
      <c r="AK597">
        <v>17</v>
      </c>
      <c r="AL597" t="s">
        <v>266</v>
      </c>
      <c r="AM597" t="s">
        <v>267</v>
      </c>
      <c r="AN597" t="s">
        <v>268</v>
      </c>
      <c r="AO597" t="s">
        <v>269</v>
      </c>
      <c r="AP597" t="s">
        <v>270</v>
      </c>
      <c r="AQ597" t="s">
        <v>74</v>
      </c>
      <c r="AR597" t="s">
        <v>271</v>
      </c>
      <c r="AS597" t="s">
        <v>272</v>
      </c>
      <c r="AT597" t="s">
        <v>11763</v>
      </c>
      <c r="AU597">
        <v>2015</v>
      </c>
      <c r="AV597">
        <v>42</v>
      </c>
      <c r="AW597">
        <v>4</v>
      </c>
      <c r="AX597" t="s">
        <v>74</v>
      </c>
      <c r="AY597" t="s">
        <v>74</v>
      </c>
      <c r="AZ597" t="s">
        <v>74</v>
      </c>
      <c r="BA597" t="s">
        <v>74</v>
      </c>
      <c r="BB597">
        <v>1259</v>
      </c>
      <c r="BC597">
        <v>1267</v>
      </c>
      <c r="BD597" t="s">
        <v>74</v>
      </c>
      <c r="BE597" t="s">
        <v>11780</v>
      </c>
      <c r="BF597" t="str">
        <f>HYPERLINK("http://dx.doi.org/10.1002/2014GL062285","http://dx.doi.org/10.1002/2014GL062285")</f>
        <v>http://dx.doi.org/10.1002/2014GL062285</v>
      </c>
      <c r="BG597" t="s">
        <v>74</v>
      </c>
      <c r="BH597" t="s">
        <v>74</v>
      </c>
      <c r="BI597">
        <v>9</v>
      </c>
      <c r="BJ597" t="s">
        <v>219</v>
      </c>
      <c r="BK597" t="s">
        <v>100</v>
      </c>
      <c r="BL597" t="s">
        <v>220</v>
      </c>
      <c r="BM597" t="s">
        <v>11765</v>
      </c>
      <c r="BN597" t="s">
        <v>74</v>
      </c>
      <c r="BO597" t="s">
        <v>156</v>
      </c>
      <c r="BP597" t="s">
        <v>74</v>
      </c>
      <c r="BQ597" t="s">
        <v>74</v>
      </c>
      <c r="BR597" t="s">
        <v>104</v>
      </c>
      <c r="BS597" t="s">
        <v>11781</v>
      </c>
      <c r="BT597" t="str">
        <f>HYPERLINK("https%3A%2F%2Fwww.webofscience.com%2Fwos%2Fwoscc%2Ffull-record%2FWOS:000351851900037","View Full Record in Web of Science")</f>
        <v>View Full Record in Web of Science</v>
      </c>
    </row>
    <row r="598" spans="1:72" x14ac:dyDescent="0.15">
      <c r="A598" t="s">
        <v>72</v>
      </c>
      <c r="B598" t="s">
        <v>11782</v>
      </c>
      <c r="C598" t="s">
        <v>74</v>
      </c>
      <c r="D598" t="s">
        <v>74</v>
      </c>
      <c r="E598" t="s">
        <v>74</v>
      </c>
      <c r="F598" t="s">
        <v>11783</v>
      </c>
      <c r="G598" t="s">
        <v>74</v>
      </c>
      <c r="H598" t="s">
        <v>74</v>
      </c>
      <c r="I598" t="s">
        <v>11784</v>
      </c>
      <c r="J598" t="s">
        <v>4694</v>
      </c>
      <c r="K598" t="s">
        <v>74</v>
      </c>
      <c r="L598" t="s">
        <v>74</v>
      </c>
      <c r="M598" t="s">
        <v>78</v>
      </c>
      <c r="N598" t="s">
        <v>79</v>
      </c>
      <c r="O598" t="s">
        <v>74</v>
      </c>
      <c r="P598" t="s">
        <v>74</v>
      </c>
      <c r="Q598" t="s">
        <v>74</v>
      </c>
      <c r="R598" t="s">
        <v>74</v>
      </c>
      <c r="S598" t="s">
        <v>74</v>
      </c>
      <c r="T598" t="s">
        <v>11785</v>
      </c>
      <c r="U598" t="s">
        <v>11786</v>
      </c>
      <c r="V598" t="s">
        <v>11787</v>
      </c>
      <c r="W598" t="s">
        <v>11788</v>
      </c>
      <c r="X598" t="s">
        <v>11789</v>
      </c>
      <c r="Y598" t="s">
        <v>11790</v>
      </c>
      <c r="Z598" t="s">
        <v>11791</v>
      </c>
      <c r="AA598" t="s">
        <v>11792</v>
      </c>
      <c r="AB598" t="s">
        <v>11793</v>
      </c>
      <c r="AC598" t="s">
        <v>11794</v>
      </c>
      <c r="AD598" t="s">
        <v>11794</v>
      </c>
      <c r="AE598" t="s">
        <v>11795</v>
      </c>
      <c r="AF598" t="s">
        <v>74</v>
      </c>
      <c r="AG598">
        <v>47</v>
      </c>
      <c r="AH598">
        <v>34</v>
      </c>
      <c r="AI598">
        <v>34</v>
      </c>
      <c r="AJ598">
        <v>1</v>
      </c>
      <c r="AK598">
        <v>56</v>
      </c>
      <c r="AL598" t="s">
        <v>786</v>
      </c>
      <c r="AM598" t="s">
        <v>787</v>
      </c>
      <c r="AN598" t="s">
        <v>788</v>
      </c>
      <c r="AO598" t="s">
        <v>4707</v>
      </c>
      <c r="AP598" t="s">
        <v>4708</v>
      </c>
      <c r="AQ598" t="s">
        <v>74</v>
      </c>
      <c r="AR598" t="s">
        <v>4709</v>
      </c>
      <c r="AS598" t="s">
        <v>4710</v>
      </c>
      <c r="AT598" t="s">
        <v>11763</v>
      </c>
      <c r="AU598">
        <v>2015</v>
      </c>
      <c r="AV598">
        <v>91</v>
      </c>
      <c r="AW598">
        <v>2</v>
      </c>
      <c r="AX598" t="s">
        <v>74</v>
      </c>
      <c r="AY598" t="s">
        <v>74</v>
      </c>
      <c r="AZ598" t="s">
        <v>74</v>
      </c>
      <c r="BA598" t="s">
        <v>74</v>
      </c>
      <c r="BB598">
        <v>410</v>
      </c>
      <c r="BC598">
        <v>417</v>
      </c>
      <c r="BD598" t="s">
        <v>74</v>
      </c>
      <c r="BE598" t="s">
        <v>11796</v>
      </c>
      <c r="BF598" t="str">
        <f>HYPERLINK("http://dx.doi.org/10.1016/j.marpolbul.2014.10.009","http://dx.doi.org/10.1016/j.marpolbul.2014.10.009")</f>
        <v>http://dx.doi.org/10.1016/j.marpolbul.2014.10.009</v>
      </c>
      <c r="BG598" t="s">
        <v>74</v>
      </c>
      <c r="BH598" t="s">
        <v>74</v>
      </c>
      <c r="BI598">
        <v>8</v>
      </c>
      <c r="BJ598" t="s">
        <v>4175</v>
      </c>
      <c r="BK598" t="s">
        <v>100</v>
      </c>
      <c r="BL598" t="s">
        <v>3293</v>
      </c>
      <c r="BM598" t="s">
        <v>11797</v>
      </c>
      <c r="BN598">
        <v>25455813</v>
      </c>
      <c r="BO598" t="s">
        <v>74</v>
      </c>
      <c r="BP598" t="s">
        <v>74</v>
      </c>
      <c r="BQ598" t="s">
        <v>74</v>
      </c>
      <c r="BR598" t="s">
        <v>104</v>
      </c>
      <c r="BS598" t="s">
        <v>11798</v>
      </c>
      <c r="BT598" t="str">
        <f>HYPERLINK("https%3A%2F%2Fwww.webofscience.com%2Fwos%2Fwoscc%2Ffull-record%2FWOS:000351977100003","View Full Record in Web of Science")</f>
        <v>View Full Record in Web of Science</v>
      </c>
    </row>
    <row r="599" spans="1:72" x14ac:dyDescent="0.15">
      <c r="A599" t="s">
        <v>72</v>
      </c>
      <c r="B599" t="s">
        <v>11799</v>
      </c>
      <c r="C599" t="s">
        <v>74</v>
      </c>
      <c r="D599" t="s">
        <v>74</v>
      </c>
      <c r="E599" t="s">
        <v>74</v>
      </c>
      <c r="F599" t="s">
        <v>11800</v>
      </c>
      <c r="G599" t="s">
        <v>74</v>
      </c>
      <c r="H599" t="s">
        <v>74</v>
      </c>
      <c r="I599" t="s">
        <v>11801</v>
      </c>
      <c r="J599" t="s">
        <v>253</v>
      </c>
      <c r="K599" t="s">
        <v>74</v>
      </c>
      <c r="L599" t="s">
        <v>74</v>
      </c>
      <c r="M599" t="s">
        <v>78</v>
      </c>
      <c r="N599" t="s">
        <v>79</v>
      </c>
      <c r="O599" t="s">
        <v>74</v>
      </c>
      <c r="P599" t="s">
        <v>74</v>
      </c>
      <c r="Q599" t="s">
        <v>74</v>
      </c>
      <c r="R599" t="s">
        <v>74</v>
      </c>
      <c r="S599" t="s">
        <v>74</v>
      </c>
      <c r="T599" t="s">
        <v>74</v>
      </c>
      <c r="U599" t="s">
        <v>11802</v>
      </c>
      <c r="V599" t="s">
        <v>11803</v>
      </c>
      <c r="W599" t="s">
        <v>7811</v>
      </c>
      <c r="X599" t="s">
        <v>4977</v>
      </c>
      <c r="Y599" t="s">
        <v>11804</v>
      </c>
      <c r="Z599" t="s">
        <v>11805</v>
      </c>
      <c r="AA599" t="s">
        <v>11806</v>
      </c>
      <c r="AB599" t="s">
        <v>11807</v>
      </c>
      <c r="AC599" t="s">
        <v>11808</v>
      </c>
      <c r="AD599" t="s">
        <v>11809</v>
      </c>
      <c r="AE599" t="s">
        <v>11810</v>
      </c>
      <c r="AF599" t="s">
        <v>74</v>
      </c>
      <c r="AG599">
        <v>23</v>
      </c>
      <c r="AH599">
        <v>11</v>
      </c>
      <c r="AI599">
        <v>11</v>
      </c>
      <c r="AJ599">
        <v>0</v>
      </c>
      <c r="AK599">
        <v>5</v>
      </c>
      <c r="AL599" t="s">
        <v>266</v>
      </c>
      <c r="AM599" t="s">
        <v>267</v>
      </c>
      <c r="AN599" t="s">
        <v>268</v>
      </c>
      <c r="AO599" t="s">
        <v>269</v>
      </c>
      <c r="AP599" t="s">
        <v>270</v>
      </c>
      <c r="AQ599" t="s">
        <v>74</v>
      </c>
      <c r="AR599" t="s">
        <v>271</v>
      </c>
      <c r="AS599" t="s">
        <v>272</v>
      </c>
      <c r="AT599" t="s">
        <v>11763</v>
      </c>
      <c r="AU599">
        <v>2015</v>
      </c>
      <c r="AV599">
        <v>42</v>
      </c>
      <c r="AW599">
        <v>4</v>
      </c>
      <c r="AX599" t="s">
        <v>74</v>
      </c>
      <c r="AY599" t="s">
        <v>74</v>
      </c>
      <c r="AZ599" t="s">
        <v>74</v>
      </c>
      <c r="BA599" t="s">
        <v>74</v>
      </c>
      <c r="BB599">
        <v>975</v>
      </c>
      <c r="BC599">
        <v>980</v>
      </c>
      <c r="BD599" t="s">
        <v>74</v>
      </c>
      <c r="BE599" t="s">
        <v>11811</v>
      </c>
      <c r="BF599" t="str">
        <f>HYPERLINK("http://dx.doi.org/10.1002/2014GL062406","http://dx.doi.org/10.1002/2014GL062406")</f>
        <v>http://dx.doi.org/10.1002/2014GL062406</v>
      </c>
      <c r="BG599" t="s">
        <v>74</v>
      </c>
      <c r="BH599" t="s">
        <v>74</v>
      </c>
      <c r="BI599">
        <v>6</v>
      </c>
      <c r="BJ599" t="s">
        <v>219</v>
      </c>
      <c r="BK599" t="s">
        <v>100</v>
      </c>
      <c r="BL599" t="s">
        <v>220</v>
      </c>
      <c r="BM599" t="s">
        <v>11765</v>
      </c>
      <c r="BN599" t="s">
        <v>74</v>
      </c>
      <c r="BO599" t="s">
        <v>156</v>
      </c>
      <c r="BP599" t="s">
        <v>74</v>
      </c>
      <c r="BQ599" t="s">
        <v>74</v>
      </c>
      <c r="BR599" t="s">
        <v>104</v>
      </c>
      <c r="BS599" t="s">
        <v>11812</v>
      </c>
      <c r="BT599" t="str">
        <f>HYPERLINK("https%3A%2F%2Fwww.webofscience.com%2Fwos%2Fwoscc%2Ffull-record%2FWOS:000351851900002","View Full Record in Web of Science")</f>
        <v>View Full Record in Web of Science</v>
      </c>
    </row>
    <row r="600" spans="1:72" x14ac:dyDescent="0.15">
      <c r="A600" t="s">
        <v>72</v>
      </c>
      <c r="B600" t="s">
        <v>11813</v>
      </c>
      <c r="C600" t="s">
        <v>74</v>
      </c>
      <c r="D600" t="s">
        <v>74</v>
      </c>
      <c r="E600" t="s">
        <v>74</v>
      </c>
      <c r="F600" t="s">
        <v>11814</v>
      </c>
      <c r="G600" t="s">
        <v>74</v>
      </c>
      <c r="H600" t="s">
        <v>74</v>
      </c>
      <c r="I600" t="s">
        <v>11815</v>
      </c>
      <c r="J600" t="s">
        <v>253</v>
      </c>
      <c r="K600" t="s">
        <v>74</v>
      </c>
      <c r="L600" t="s">
        <v>74</v>
      </c>
      <c r="M600" t="s">
        <v>78</v>
      </c>
      <c r="N600" t="s">
        <v>79</v>
      </c>
      <c r="O600" t="s">
        <v>74</v>
      </c>
      <c r="P600" t="s">
        <v>74</v>
      </c>
      <c r="Q600" t="s">
        <v>74</v>
      </c>
      <c r="R600" t="s">
        <v>74</v>
      </c>
      <c r="S600" t="s">
        <v>74</v>
      </c>
      <c r="T600" t="s">
        <v>74</v>
      </c>
      <c r="U600" t="s">
        <v>11816</v>
      </c>
      <c r="V600" t="s">
        <v>11817</v>
      </c>
      <c r="W600" t="s">
        <v>11818</v>
      </c>
      <c r="X600" t="s">
        <v>11819</v>
      </c>
      <c r="Y600" t="s">
        <v>11820</v>
      </c>
      <c r="Z600" t="s">
        <v>11821</v>
      </c>
      <c r="AA600" t="s">
        <v>11822</v>
      </c>
      <c r="AB600" t="s">
        <v>11823</v>
      </c>
      <c r="AC600" t="s">
        <v>11824</v>
      </c>
      <c r="AD600" t="s">
        <v>11825</v>
      </c>
      <c r="AE600" t="s">
        <v>11826</v>
      </c>
      <c r="AF600" t="s">
        <v>74</v>
      </c>
      <c r="AG600">
        <v>32</v>
      </c>
      <c r="AH600">
        <v>57</v>
      </c>
      <c r="AI600">
        <v>63</v>
      </c>
      <c r="AJ600">
        <v>6</v>
      </c>
      <c r="AK600">
        <v>55</v>
      </c>
      <c r="AL600" t="s">
        <v>266</v>
      </c>
      <c r="AM600" t="s">
        <v>267</v>
      </c>
      <c r="AN600" t="s">
        <v>268</v>
      </c>
      <c r="AO600" t="s">
        <v>269</v>
      </c>
      <c r="AP600" t="s">
        <v>270</v>
      </c>
      <c r="AQ600" t="s">
        <v>74</v>
      </c>
      <c r="AR600" t="s">
        <v>271</v>
      </c>
      <c r="AS600" t="s">
        <v>272</v>
      </c>
      <c r="AT600" t="s">
        <v>11763</v>
      </c>
      <c r="AU600">
        <v>2015</v>
      </c>
      <c r="AV600">
        <v>42</v>
      </c>
      <c r="AW600">
        <v>4</v>
      </c>
      <c r="AX600" t="s">
        <v>74</v>
      </c>
      <c r="AY600" t="s">
        <v>74</v>
      </c>
      <c r="AZ600" t="s">
        <v>74</v>
      </c>
      <c r="BA600" t="s">
        <v>74</v>
      </c>
      <c r="BB600">
        <v>1139</v>
      </c>
      <c r="BC600">
        <v>1147</v>
      </c>
      <c r="BD600" t="s">
        <v>74</v>
      </c>
      <c r="BE600" t="s">
        <v>11827</v>
      </c>
      <c r="BF600" t="str">
        <f>HYPERLINK("http://dx.doi.org/10.1002/2014GL062720","http://dx.doi.org/10.1002/2014GL062720")</f>
        <v>http://dx.doi.org/10.1002/2014GL062720</v>
      </c>
      <c r="BG600" t="s">
        <v>74</v>
      </c>
      <c r="BH600" t="s">
        <v>74</v>
      </c>
      <c r="BI600">
        <v>9</v>
      </c>
      <c r="BJ600" t="s">
        <v>219</v>
      </c>
      <c r="BK600" t="s">
        <v>100</v>
      </c>
      <c r="BL600" t="s">
        <v>220</v>
      </c>
      <c r="BM600" t="s">
        <v>11765</v>
      </c>
      <c r="BN600" t="s">
        <v>74</v>
      </c>
      <c r="BO600" t="s">
        <v>1832</v>
      </c>
      <c r="BP600" t="s">
        <v>74</v>
      </c>
      <c r="BQ600" t="s">
        <v>74</v>
      </c>
      <c r="BR600" t="s">
        <v>104</v>
      </c>
      <c r="BS600" t="s">
        <v>11828</v>
      </c>
      <c r="BT600" t="str">
        <f>HYPERLINK("https%3A%2F%2Fwww.webofscience.com%2Fwos%2Fwoscc%2Ffull-record%2FWOS:000351851900023","View Full Record in Web of Science")</f>
        <v>View Full Record in Web of Science</v>
      </c>
    </row>
    <row r="601" spans="1:72" x14ac:dyDescent="0.15">
      <c r="A601" t="s">
        <v>72</v>
      </c>
      <c r="B601" t="s">
        <v>11829</v>
      </c>
      <c r="C601" t="s">
        <v>74</v>
      </c>
      <c r="D601" t="s">
        <v>74</v>
      </c>
      <c r="E601" t="s">
        <v>74</v>
      </c>
      <c r="F601" t="s">
        <v>11830</v>
      </c>
      <c r="G601" t="s">
        <v>74</v>
      </c>
      <c r="H601" t="s">
        <v>74</v>
      </c>
      <c r="I601" t="s">
        <v>11831</v>
      </c>
      <c r="J601" t="s">
        <v>390</v>
      </c>
      <c r="K601" t="s">
        <v>74</v>
      </c>
      <c r="L601" t="s">
        <v>74</v>
      </c>
      <c r="M601" t="s">
        <v>78</v>
      </c>
      <c r="N601" t="s">
        <v>79</v>
      </c>
      <c r="O601" t="s">
        <v>74</v>
      </c>
      <c r="P601" t="s">
        <v>74</v>
      </c>
      <c r="Q601" t="s">
        <v>74</v>
      </c>
      <c r="R601" t="s">
        <v>74</v>
      </c>
      <c r="S601" t="s">
        <v>74</v>
      </c>
      <c r="T601" t="s">
        <v>74</v>
      </c>
      <c r="U601" t="s">
        <v>11832</v>
      </c>
      <c r="V601" t="s">
        <v>11833</v>
      </c>
      <c r="W601" t="s">
        <v>11834</v>
      </c>
      <c r="X601" t="s">
        <v>11835</v>
      </c>
      <c r="Y601" t="s">
        <v>11836</v>
      </c>
      <c r="Z601" t="s">
        <v>11837</v>
      </c>
      <c r="AA601" t="s">
        <v>11838</v>
      </c>
      <c r="AB601" t="s">
        <v>11839</v>
      </c>
      <c r="AC601" t="s">
        <v>11840</v>
      </c>
      <c r="AD601" t="s">
        <v>11841</v>
      </c>
      <c r="AE601" t="s">
        <v>11842</v>
      </c>
      <c r="AF601" t="s">
        <v>74</v>
      </c>
      <c r="AG601">
        <v>35</v>
      </c>
      <c r="AH601">
        <v>52</v>
      </c>
      <c r="AI601">
        <v>56</v>
      </c>
      <c r="AJ601">
        <v>0</v>
      </c>
      <c r="AK601">
        <v>7</v>
      </c>
      <c r="AL601" t="s">
        <v>266</v>
      </c>
      <c r="AM601" t="s">
        <v>267</v>
      </c>
      <c r="AN601" t="s">
        <v>268</v>
      </c>
      <c r="AO601" t="s">
        <v>400</v>
      </c>
      <c r="AP601" t="s">
        <v>401</v>
      </c>
      <c r="AQ601" t="s">
        <v>74</v>
      </c>
      <c r="AR601" t="s">
        <v>402</v>
      </c>
      <c r="AS601" t="s">
        <v>403</v>
      </c>
      <c r="AT601" t="s">
        <v>11843</v>
      </c>
      <c r="AU601">
        <v>2015</v>
      </c>
      <c r="AV601">
        <v>120</v>
      </c>
      <c r="AW601">
        <v>4</v>
      </c>
      <c r="AX601" t="s">
        <v>74</v>
      </c>
      <c r="AY601" t="s">
        <v>74</v>
      </c>
      <c r="AZ601" t="s">
        <v>74</v>
      </c>
      <c r="BA601" t="s">
        <v>74</v>
      </c>
      <c r="BB601">
        <v>1335</v>
      </c>
      <c r="BC601">
        <v>1347</v>
      </c>
      <c r="BD601" t="s">
        <v>74</v>
      </c>
      <c r="BE601" t="s">
        <v>11844</v>
      </c>
      <c r="BF601" t="str">
        <f>HYPERLINK("http://dx.doi.org/10.1002/2014JD022604","http://dx.doi.org/10.1002/2014JD022604")</f>
        <v>http://dx.doi.org/10.1002/2014JD022604</v>
      </c>
      <c r="BG601" t="s">
        <v>74</v>
      </c>
      <c r="BH601" t="s">
        <v>74</v>
      </c>
      <c r="BI601">
        <v>13</v>
      </c>
      <c r="BJ601" t="s">
        <v>406</v>
      </c>
      <c r="BK601" t="s">
        <v>100</v>
      </c>
      <c r="BL601" t="s">
        <v>406</v>
      </c>
      <c r="BM601" t="s">
        <v>11845</v>
      </c>
      <c r="BN601" t="s">
        <v>74</v>
      </c>
      <c r="BO601" t="s">
        <v>733</v>
      </c>
      <c r="BP601" t="s">
        <v>74</v>
      </c>
      <c r="BQ601" t="s">
        <v>74</v>
      </c>
      <c r="BR601" t="s">
        <v>104</v>
      </c>
      <c r="BS601" t="s">
        <v>11846</v>
      </c>
      <c r="BT601" t="str">
        <f>HYPERLINK("https%3A%2F%2Fwww.webofscience.com%2Fwos%2Fwoscc%2Ffull-record%2FWOS:000351182400007","View Full Record in Web of Science")</f>
        <v>View Full Record in Web of Science</v>
      </c>
    </row>
    <row r="602" spans="1:72" x14ac:dyDescent="0.15">
      <c r="A602" t="s">
        <v>72</v>
      </c>
      <c r="B602" t="s">
        <v>11847</v>
      </c>
      <c r="C602" t="s">
        <v>74</v>
      </c>
      <c r="D602" t="s">
        <v>74</v>
      </c>
      <c r="E602" t="s">
        <v>74</v>
      </c>
      <c r="F602" t="s">
        <v>11848</v>
      </c>
      <c r="G602" t="s">
        <v>74</v>
      </c>
      <c r="H602" t="s">
        <v>74</v>
      </c>
      <c r="I602" t="s">
        <v>11849</v>
      </c>
      <c r="J602" t="s">
        <v>463</v>
      </c>
      <c r="K602" t="s">
        <v>74</v>
      </c>
      <c r="L602" t="s">
        <v>74</v>
      </c>
      <c r="M602" t="s">
        <v>78</v>
      </c>
      <c r="N602" t="s">
        <v>79</v>
      </c>
      <c r="O602" t="s">
        <v>74</v>
      </c>
      <c r="P602" t="s">
        <v>74</v>
      </c>
      <c r="Q602" t="s">
        <v>74</v>
      </c>
      <c r="R602" t="s">
        <v>74</v>
      </c>
      <c r="S602" t="s">
        <v>74</v>
      </c>
      <c r="T602" t="s">
        <v>11850</v>
      </c>
      <c r="U602" t="s">
        <v>11851</v>
      </c>
      <c r="V602" t="s">
        <v>11852</v>
      </c>
      <c r="W602" t="s">
        <v>11853</v>
      </c>
      <c r="X602" t="s">
        <v>11854</v>
      </c>
      <c r="Y602" t="s">
        <v>11855</v>
      </c>
      <c r="Z602" t="s">
        <v>2885</v>
      </c>
      <c r="AA602" t="s">
        <v>11856</v>
      </c>
      <c r="AB602" t="s">
        <v>11857</v>
      </c>
      <c r="AC602" t="s">
        <v>11858</v>
      </c>
      <c r="AD602" t="s">
        <v>11859</v>
      </c>
      <c r="AE602" t="s">
        <v>11860</v>
      </c>
      <c r="AF602" t="s">
        <v>74</v>
      </c>
      <c r="AG602">
        <v>74</v>
      </c>
      <c r="AH602">
        <v>45</v>
      </c>
      <c r="AI602">
        <v>46</v>
      </c>
      <c r="AJ602">
        <v>0</v>
      </c>
      <c r="AK602">
        <v>36</v>
      </c>
      <c r="AL602" t="s">
        <v>476</v>
      </c>
      <c r="AM602" t="s">
        <v>477</v>
      </c>
      <c r="AN602" t="s">
        <v>478</v>
      </c>
      <c r="AO602" t="s">
        <v>479</v>
      </c>
      <c r="AP602" t="s">
        <v>74</v>
      </c>
      <c r="AQ602" t="s">
        <v>74</v>
      </c>
      <c r="AR602" t="s">
        <v>480</v>
      </c>
      <c r="AS602" t="s">
        <v>481</v>
      </c>
      <c r="AT602" t="s">
        <v>11861</v>
      </c>
      <c r="AU602">
        <v>2015</v>
      </c>
      <c r="AV602">
        <v>6</v>
      </c>
      <c r="AW602" t="s">
        <v>74</v>
      </c>
      <c r="AX602" t="s">
        <v>74</v>
      </c>
      <c r="AY602" t="s">
        <v>74</v>
      </c>
      <c r="AZ602" t="s">
        <v>74</v>
      </c>
      <c r="BA602" t="s">
        <v>74</v>
      </c>
      <c r="BB602" t="s">
        <v>74</v>
      </c>
      <c r="BC602" t="s">
        <v>74</v>
      </c>
      <c r="BD602">
        <v>151</v>
      </c>
      <c r="BE602" t="s">
        <v>11862</v>
      </c>
      <c r="BF602" t="str">
        <f>HYPERLINK("http://dx.doi.org/10.3389/fmicb.2015.00151","http://dx.doi.org/10.3389/fmicb.2015.00151")</f>
        <v>http://dx.doi.org/10.3389/fmicb.2015.00151</v>
      </c>
      <c r="BG602" t="s">
        <v>74</v>
      </c>
      <c r="BH602" t="s">
        <v>74</v>
      </c>
      <c r="BI602">
        <v>6</v>
      </c>
      <c r="BJ602" t="s">
        <v>483</v>
      </c>
      <c r="BK602" t="s">
        <v>100</v>
      </c>
      <c r="BL602" t="s">
        <v>483</v>
      </c>
      <c r="BM602" t="s">
        <v>11863</v>
      </c>
      <c r="BN602">
        <v>25762992</v>
      </c>
      <c r="BO602" t="s">
        <v>8380</v>
      </c>
      <c r="BP602" t="s">
        <v>74</v>
      </c>
      <c r="BQ602" t="s">
        <v>74</v>
      </c>
      <c r="BR602" t="s">
        <v>104</v>
      </c>
      <c r="BS602" t="s">
        <v>11864</v>
      </c>
      <c r="BT602" t="str">
        <f>HYPERLINK("https%3A%2F%2Fwww.webofscience.com%2Fwos%2Fwoscc%2Ffull-record%2FWOS:000350559500002","View Full Record in Web of Science")</f>
        <v>View Full Record in Web of Science</v>
      </c>
    </row>
    <row r="603" spans="1:72" x14ac:dyDescent="0.15">
      <c r="A603" t="s">
        <v>72</v>
      </c>
      <c r="B603" t="s">
        <v>11865</v>
      </c>
      <c r="C603" t="s">
        <v>74</v>
      </c>
      <c r="D603" t="s">
        <v>74</v>
      </c>
      <c r="E603" t="s">
        <v>74</v>
      </c>
      <c r="F603" t="s">
        <v>11866</v>
      </c>
      <c r="G603" t="s">
        <v>74</v>
      </c>
      <c r="H603" t="s">
        <v>74</v>
      </c>
      <c r="I603" t="s">
        <v>11867</v>
      </c>
      <c r="J603" t="s">
        <v>490</v>
      </c>
      <c r="K603" t="s">
        <v>74</v>
      </c>
      <c r="L603" t="s">
        <v>74</v>
      </c>
      <c r="M603" t="s">
        <v>78</v>
      </c>
      <c r="N603" t="s">
        <v>79</v>
      </c>
      <c r="O603" t="s">
        <v>74</v>
      </c>
      <c r="P603" t="s">
        <v>74</v>
      </c>
      <c r="Q603" t="s">
        <v>74</v>
      </c>
      <c r="R603" t="s">
        <v>74</v>
      </c>
      <c r="S603" t="s">
        <v>74</v>
      </c>
      <c r="T603" t="s">
        <v>11868</v>
      </c>
      <c r="U603" t="s">
        <v>11869</v>
      </c>
      <c r="V603" t="s">
        <v>11870</v>
      </c>
      <c r="W603" t="s">
        <v>11871</v>
      </c>
      <c r="X603" t="s">
        <v>11872</v>
      </c>
      <c r="Y603" t="s">
        <v>11873</v>
      </c>
      <c r="Z603" t="s">
        <v>11874</v>
      </c>
      <c r="AA603" t="s">
        <v>11875</v>
      </c>
      <c r="AB603" t="s">
        <v>11876</v>
      </c>
      <c r="AC603" t="s">
        <v>11877</v>
      </c>
      <c r="AD603" t="s">
        <v>11878</v>
      </c>
      <c r="AE603" t="s">
        <v>11879</v>
      </c>
      <c r="AF603" t="s">
        <v>74</v>
      </c>
      <c r="AG603">
        <v>269</v>
      </c>
      <c r="AH603">
        <v>93</v>
      </c>
      <c r="AI603">
        <v>97</v>
      </c>
      <c r="AJ603">
        <v>0</v>
      </c>
      <c r="AK603">
        <v>12</v>
      </c>
      <c r="AL603" t="s">
        <v>502</v>
      </c>
      <c r="AM603" t="s">
        <v>503</v>
      </c>
      <c r="AN603" t="s">
        <v>674</v>
      </c>
      <c r="AO603" t="s">
        <v>505</v>
      </c>
      <c r="AP603" t="s">
        <v>506</v>
      </c>
      <c r="AQ603" t="s">
        <v>74</v>
      </c>
      <c r="AR603" t="s">
        <v>490</v>
      </c>
      <c r="AS603" t="s">
        <v>507</v>
      </c>
      <c r="AT603" t="s">
        <v>11861</v>
      </c>
      <c r="AU603">
        <v>2015</v>
      </c>
      <c r="AV603">
        <v>3923</v>
      </c>
      <c r="AW603">
        <v>1</v>
      </c>
      <c r="AX603" t="s">
        <v>74</v>
      </c>
      <c r="AY603" t="s">
        <v>74</v>
      </c>
      <c r="AZ603" t="s">
        <v>74</v>
      </c>
      <c r="BA603" t="s">
        <v>74</v>
      </c>
      <c r="BB603">
        <v>1</v>
      </c>
      <c r="BC603" t="s">
        <v>4663</v>
      </c>
      <c r="BD603" t="s">
        <v>74</v>
      </c>
      <c r="BE603" t="s">
        <v>74</v>
      </c>
      <c r="BF603" t="s">
        <v>74</v>
      </c>
      <c r="BG603" t="s">
        <v>74</v>
      </c>
      <c r="BH603" t="s">
        <v>74</v>
      </c>
      <c r="BI603">
        <v>106</v>
      </c>
      <c r="BJ603" t="s">
        <v>509</v>
      </c>
      <c r="BK603" t="s">
        <v>100</v>
      </c>
      <c r="BL603" t="s">
        <v>509</v>
      </c>
      <c r="BM603" t="s">
        <v>11880</v>
      </c>
      <c r="BN603">
        <v>25781568</v>
      </c>
      <c r="BO603" t="s">
        <v>74</v>
      </c>
      <c r="BP603" t="s">
        <v>74</v>
      </c>
      <c r="BQ603" t="s">
        <v>74</v>
      </c>
      <c r="BR603" t="s">
        <v>104</v>
      </c>
      <c r="BS603" t="s">
        <v>11881</v>
      </c>
      <c r="BT603" t="str">
        <f>HYPERLINK("https%3A%2F%2Fwww.webofscience.com%2Fwos%2Fwoscc%2Ffull-record%2FWOS:000349977600001","View Full Record in Web of Science")</f>
        <v>View Full Record in Web of Science</v>
      </c>
    </row>
    <row r="604" spans="1:72" x14ac:dyDescent="0.15">
      <c r="A604" t="s">
        <v>72</v>
      </c>
      <c r="B604" t="s">
        <v>11882</v>
      </c>
      <c r="C604" t="s">
        <v>74</v>
      </c>
      <c r="D604" t="s">
        <v>74</v>
      </c>
      <c r="E604" t="s">
        <v>74</v>
      </c>
      <c r="F604" t="s">
        <v>11883</v>
      </c>
      <c r="G604" t="s">
        <v>74</v>
      </c>
      <c r="H604" t="s">
        <v>74</v>
      </c>
      <c r="I604" t="s">
        <v>11884</v>
      </c>
      <c r="J604" t="s">
        <v>4433</v>
      </c>
      <c r="K604" t="s">
        <v>74</v>
      </c>
      <c r="L604" t="s">
        <v>74</v>
      </c>
      <c r="M604" t="s">
        <v>78</v>
      </c>
      <c r="N604" t="s">
        <v>79</v>
      </c>
      <c r="O604" t="s">
        <v>74</v>
      </c>
      <c r="P604" t="s">
        <v>74</v>
      </c>
      <c r="Q604" t="s">
        <v>74</v>
      </c>
      <c r="R604" t="s">
        <v>74</v>
      </c>
      <c r="S604" t="s">
        <v>74</v>
      </c>
      <c r="T604" t="s">
        <v>11885</v>
      </c>
      <c r="U604" t="s">
        <v>11886</v>
      </c>
      <c r="V604" t="s">
        <v>11887</v>
      </c>
      <c r="W604" t="s">
        <v>11888</v>
      </c>
      <c r="X604" t="s">
        <v>11889</v>
      </c>
      <c r="Y604" t="s">
        <v>11890</v>
      </c>
      <c r="Z604" t="s">
        <v>11891</v>
      </c>
      <c r="AA604" t="s">
        <v>11892</v>
      </c>
      <c r="AB604" t="s">
        <v>11893</v>
      </c>
      <c r="AC604" t="s">
        <v>11894</v>
      </c>
      <c r="AD604" t="s">
        <v>11895</v>
      </c>
      <c r="AE604" t="s">
        <v>11896</v>
      </c>
      <c r="AF604" t="s">
        <v>74</v>
      </c>
      <c r="AG604">
        <v>50</v>
      </c>
      <c r="AH604">
        <v>54</v>
      </c>
      <c r="AI604">
        <v>55</v>
      </c>
      <c r="AJ604">
        <v>3</v>
      </c>
      <c r="AK604">
        <v>72</v>
      </c>
      <c r="AL604" t="s">
        <v>4446</v>
      </c>
      <c r="AM604" t="s">
        <v>267</v>
      </c>
      <c r="AN604" t="s">
        <v>4447</v>
      </c>
      <c r="AO604" t="s">
        <v>4448</v>
      </c>
      <c r="AP604" t="s">
        <v>11897</v>
      </c>
      <c r="AQ604" t="s">
        <v>74</v>
      </c>
      <c r="AR604" t="s">
        <v>4449</v>
      </c>
      <c r="AS604" t="s">
        <v>4450</v>
      </c>
      <c r="AT604" t="s">
        <v>11898</v>
      </c>
      <c r="AU604">
        <v>2015</v>
      </c>
      <c r="AV604">
        <v>112</v>
      </c>
      <c r="AW604">
        <v>8</v>
      </c>
      <c r="AX604" t="s">
        <v>74</v>
      </c>
      <c r="AY604" t="s">
        <v>74</v>
      </c>
      <c r="AZ604" t="s">
        <v>74</v>
      </c>
      <c r="BA604" t="s">
        <v>74</v>
      </c>
      <c r="BB604">
        <v>2349</v>
      </c>
      <c r="BC604">
        <v>2354</v>
      </c>
      <c r="BD604" t="s">
        <v>74</v>
      </c>
      <c r="BE604" t="s">
        <v>11899</v>
      </c>
      <c r="BF604" t="str">
        <f>HYPERLINK("http://dx.doi.org/10.1073/pnas.1421119112","http://dx.doi.org/10.1073/pnas.1421119112")</f>
        <v>http://dx.doi.org/10.1073/pnas.1421119112</v>
      </c>
      <c r="BG604" t="s">
        <v>74</v>
      </c>
      <c r="BH604" t="s">
        <v>74</v>
      </c>
      <c r="BI604">
        <v>6</v>
      </c>
      <c r="BJ604" t="s">
        <v>429</v>
      </c>
      <c r="BK604" t="s">
        <v>100</v>
      </c>
      <c r="BL604" t="s">
        <v>430</v>
      </c>
      <c r="BM604" t="s">
        <v>11900</v>
      </c>
      <c r="BN604">
        <v>25675506</v>
      </c>
      <c r="BO604" t="s">
        <v>293</v>
      </c>
      <c r="BP604" t="s">
        <v>74</v>
      </c>
      <c r="BQ604" t="s">
        <v>74</v>
      </c>
      <c r="BR604" t="s">
        <v>104</v>
      </c>
      <c r="BS604" t="s">
        <v>11901</v>
      </c>
      <c r="BT604" t="str">
        <f>HYPERLINK("https%3A%2F%2Fwww.webofscience.com%2Fwos%2Fwoscc%2Ffull-record%2FWOS:000349911700031","View Full Record in Web of Science")</f>
        <v>View Full Record in Web of Science</v>
      </c>
    </row>
    <row r="605" spans="1:72" x14ac:dyDescent="0.15">
      <c r="A605" t="s">
        <v>72</v>
      </c>
      <c r="B605" t="s">
        <v>11902</v>
      </c>
      <c r="C605" t="s">
        <v>74</v>
      </c>
      <c r="D605" t="s">
        <v>74</v>
      </c>
      <c r="E605" t="s">
        <v>74</v>
      </c>
      <c r="F605" t="s">
        <v>11903</v>
      </c>
      <c r="G605" t="s">
        <v>74</v>
      </c>
      <c r="H605" t="s">
        <v>74</v>
      </c>
      <c r="I605" t="s">
        <v>11904</v>
      </c>
      <c r="J605" t="s">
        <v>661</v>
      </c>
      <c r="K605" t="s">
        <v>74</v>
      </c>
      <c r="L605" t="s">
        <v>74</v>
      </c>
      <c r="M605" t="s">
        <v>78</v>
      </c>
      <c r="N605" t="s">
        <v>79</v>
      </c>
      <c r="O605" t="s">
        <v>74</v>
      </c>
      <c r="P605" t="s">
        <v>74</v>
      </c>
      <c r="Q605" t="s">
        <v>74</v>
      </c>
      <c r="R605" t="s">
        <v>74</v>
      </c>
      <c r="S605" t="s">
        <v>74</v>
      </c>
      <c r="T605" t="s">
        <v>11905</v>
      </c>
      <c r="U605" t="s">
        <v>11906</v>
      </c>
      <c r="V605" t="s">
        <v>11907</v>
      </c>
      <c r="W605" t="s">
        <v>11908</v>
      </c>
      <c r="X605" t="s">
        <v>11909</v>
      </c>
      <c r="Y605" t="s">
        <v>74</v>
      </c>
      <c r="Z605" t="s">
        <v>74</v>
      </c>
      <c r="AA605" t="s">
        <v>74</v>
      </c>
      <c r="AB605" t="s">
        <v>74</v>
      </c>
      <c r="AC605" t="s">
        <v>74</v>
      </c>
      <c r="AD605" t="s">
        <v>74</v>
      </c>
      <c r="AE605" t="s">
        <v>74</v>
      </c>
      <c r="AF605" t="s">
        <v>74</v>
      </c>
      <c r="AG605">
        <v>214</v>
      </c>
      <c r="AH605">
        <v>9</v>
      </c>
      <c r="AI605">
        <v>11</v>
      </c>
      <c r="AJ605">
        <v>0</v>
      </c>
      <c r="AK605">
        <v>3</v>
      </c>
      <c r="AL605" t="s">
        <v>502</v>
      </c>
      <c r="AM605" t="s">
        <v>503</v>
      </c>
      <c r="AN605" t="s">
        <v>674</v>
      </c>
      <c r="AO605" t="s">
        <v>675</v>
      </c>
      <c r="AP605" t="s">
        <v>676</v>
      </c>
      <c r="AQ605" t="s">
        <v>74</v>
      </c>
      <c r="AR605" t="s">
        <v>661</v>
      </c>
      <c r="AS605" t="s">
        <v>677</v>
      </c>
      <c r="AT605" t="s">
        <v>11910</v>
      </c>
      <c r="AU605">
        <v>2015</v>
      </c>
      <c r="AV605">
        <v>198</v>
      </c>
      <c r="AW605">
        <v>1</v>
      </c>
      <c r="AX605" t="s">
        <v>74</v>
      </c>
      <c r="AY605" t="s">
        <v>74</v>
      </c>
      <c r="AZ605" t="s">
        <v>74</v>
      </c>
      <c r="BA605" t="s">
        <v>74</v>
      </c>
      <c r="BB605">
        <v>1</v>
      </c>
      <c r="BC605">
        <v>67</v>
      </c>
      <c r="BD605" t="s">
        <v>74</v>
      </c>
      <c r="BE605" t="s">
        <v>74</v>
      </c>
      <c r="BF605" t="s">
        <v>74</v>
      </c>
      <c r="BG605" t="s">
        <v>74</v>
      </c>
      <c r="BH605" t="s">
        <v>74</v>
      </c>
      <c r="BI605">
        <v>67</v>
      </c>
      <c r="BJ605" t="s">
        <v>679</v>
      </c>
      <c r="BK605" t="s">
        <v>100</v>
      </c>
      <c r="BL605" t="s">
        <v>679</v>
      </c>
      <c r="BM605" t="s">
        <v>11911</v>
      </c>
      <c r="BN605" t="s">
        <v>74</v>
      </c>
      <c r="BO605" t="s">
        <v>74</v>
      </c>
      <c r="BP605" t="s">
        <v>74</v>
      </c>
      <c r="BQ605" t="s">
        <v>74</v>
      </c>
      <c r="BR605" t="s">
        <v>104</v>
      </c>
      <c r="BS605" t="s">
        <v>11912</v>
      </c>
      <c r="BT605" t="str">
        <f>HYPERLINK("https%3A%2F%2Fwww.webofscience.com%2Fwos%2Fwoscc%2Ffull-record%2FWOS:000350226400001","View Full Record in Web of Science")</f>
        <v>View Full Record in Web of Science</v>
      </c>
    </row>
    <row r="606" spans="1:72" x14ac:dyDescent="0.15">
      <c r="A606" t="s">
        <v>72</v>
      </c>
      <c r="B606" t="s">
        <v>11913</v>
      </c>
      <c r="C606" t="s">
        <v>74</v>
      </c>
      <c r="D606" t="s">
        <v>74</v>
      </c>
      <c r="E606" t="s">
        <v>74</v>
      </c>
      <c r="F606" t="s">
        <v>11914</v>
      </c>
      <c r="G606" t="s">
        <v>74</v>
      </c>
      <c r="H606" t="s">
        <v>74</v>
      </c>
      <c r="I606" t="s">
        <v>11915</v>
      </c>
      <c r="J606" t="s">
        <v>490</v>
      </c>
      <c r="K606" t="s">
        <v>74</v>
      </c>
      <c r="L606" t="s">
        <v>74</v>
      </c>
      <c r="M606" t="s">
        <v>78</v>
      </c>
      <c r="N606" t="s">
        <v>79</v>
      </c>
      <c r="O606" t="s">
        <v>74</v>
      </c>
      <c r="P606" t="s">
        <v>74</v>
      </c>
      <c r="Q606" t="s">
        <v>74</v>
      </c>
      <c r="R606" t="s">
        <v>74</v>
      </c>
      <c r="S606" t="s">
        <v>74</v>
      </c>
      <c r="T606" t="s">
        <v>11916</v>
      </c>
      <c r="U606" t="s">
        <v>11917</v>
      </c>
      <c r="V606" t="s">
        <v>11918</v>
      </c>
      <c r="W606" t="s">
        <v>11919</v>
      </c>
      <c r="X606" t="s">
        <v>11920</v>
      </c>
      <c r="Y606" t="s">
        <v>11921</v>
      </c>
      <c r="Z606" t="s">
        <v>11922</v>
      </c>
      <c r="AA606" t="s">
        <v>74</v>
      </c>
      <c r="AB606" t="s">
        <v>74</v>
      </c>
      <c r="AC606" t="s">
        <v>11923</v>
      </c>
      <c r="AD606" t="s">
        <v>11924</v>
      </c>
      <c r="AE606" t="s">
        <v>11925</v>
      </c>
      <c r="AF606" t="s">
        <v>74</v>
      </c>
      <c r="AG606">
        <v>33</v>
      </c>
      <c r="AH606">
        <v>5</v>
      </c>
      <c r="AI606">
        <v>5</v>
      </c>
      <c r="AJ606">
        <v>0</v>
      </c>
      <c r="AK606">
        <v>3</v>
      </c>
      <c r="AL606" t="s">
        <v>502</v>
      </c>
      <c r="AM606" t="s">
        <v>503</v>
      </c>
      <c r="AN606" t="s">
        <v>674</v>
      </c>
      <c r="AO606" t="s">
        <v>505</v>
      </c>
      <c r="AP606" t="s">
        <v>506</v>
      </c>
      <c r="AQ606" t="s">
        <v>74</v>
      </c>
      <c r="AR606" t="s">
        <v>490</v>
      </c>
      <c r="AS606" t="s">
        <v>507</v>
      </c>
      <c r="AT606" t="s">
        <v>11926</v>
      </c>
      <c r="AU606">
        <v>2015</v>
      </c>
      <c r="AV606">
        <v>3920</v>
      </c>
      <c r="AW606">
        <v>1</v>
      </c>
      <c r="AX606" t="s">
        <v>74</v>
      </c>
      <c r="AY606" t="s">
        <v>74</v>
      </c>
      <c r="AZ606" t="s">
        <v>74</v>
      </c>
      <c r="BA606" t="s">
        <v>74</v>
      </c>
      <c r="BB606">
        <v>153</v>
      </c>
      <c r="BC606">
        <v>162</v>
      </c>
      <c r="BD606" t="s">
        <v>74</v>
      </c>
      <c r="BE606" t="s">
        <v>11927</v>
      </c>
      <c r="BF606" t="str">
        <f>HYPERLINK("http://dx.doi.org/10.11646/zootaxa.3920.1.7","http://dx.doi.org/10.11646/zootaxa.3920.1.7")</f>
        <v>http://dx.doi.org/10.11646/zootaxa.3920.1.7</v>
      </c>
      <c r="BG606" t="s">
        <v>74</v>
      </c>
      <c r="BH606" t="s">
        <v>74</v>
      </c>
      <c r="BI606">
        <v>10</v>
      </c>
      <c r="BJ606" t="s">
        <v>509</v>
      </c>
      <c r="BK606" t="s">
        <v>100</v>
      </c>
      <c r="BL606" t="s">
        <v>509</v>
      </c>
      <c r="BM606" t="s">
        <v>11928</v>
      </c>
      <c r="BN606">
        <v>25781243</v>
      </c>
      <c r="BO606" t="s">
        <v>74</v>
      </c>
      <c r="BP606" t="s">
        <v>74</v>
      </c>
      <c r="BQ606" t="s">
        <v>74</v>
      </c>
      <c r="BR606" t="s">
        <v>104</v>
      </c>
      <c r="BS606" t="s">
        <v>11929</v>
      </c>
      <c r="BT606" t="str">
        <f>HYPERLINK("https%3A%2F%2Fwww.webofscience.com%2Fwos%2Fwoscc%2Ffull-record%2FWOS:000349697100007","View Full Record in Web of Science")</f>
        <v>View Full Record in Web of Science</v>
      </c>
    </row>
    <row r="607" spans="1:72" x14ac:dyDescent="0.15">
      <c r="A607" t="s">
        <v>72</v>
      </c>
      <c r="B607" t="s">
        <v>11930</v>
      </c>
      <c r="C607" t="s">
        <v>74</v>
      </c>
      <c r="D607" t="s">
        <v>74</v>
      </c>
      <c r="E607" t="s">
        <v>74</v>
      </c>
      <c r="F607" t="s">
        <v>11931</v>
      </c>
      <c r="G607" t="s">
        <v>74</v>
      </c>
      <c r="H607" t="s">
        <v>74</v>
      </c>
      <c r="I607" t="s">
        <v>11932</v>
      </c>
      <c r="J607" t="s">
        <v>490</v>
      </c>
      <c r="K607" t="s">
        <v>74</v>
      </c>
      <c r="L607" t="s">
        <v>74</v>
      </c>
      <c r="M607" t="s">
        <v>78</v>
      </c>
      <c r="N607" t="s">
        <v>79</v>
      </c>
      <c r="O607" t="s">
        <v>74</v>
      </c>
      <c r="P607" t="s">
        <v>74</v>
      </c>
      <c r="Q607" t="s">
        <v>74</v>
      </c>
      <c r="R607" t="s">
        <v>74</v>
      </c>
      <c r="S607" t="s">
        <v>74</v>
      </c>
      <c r="T607" t="s">
        <v>11933</v>
      </c>
      <c r="U607" t="s">
        <v>11934</v>
      </c>
      <c r="V607" t="s">
        <v>11935</v>
      </c>
      <c r="W607" t="s">
        <v>11936</v>
      </c>
      <c r="X607" t="s">
        <v>11937</v>
      </c>
      <c r="Y607" t="s">
        <v>11938</v>
      </c>
      <c r="Z607" t="s">
        <v>11939</v>
      </c>
      <c r="AA607" t="s">
        <v>11940</v>
      </c>
      <c r="AB607" t="s">
        <v>74</v>
      </c>
      <c r="AC607" t="s">
        <v>11941</v>
      </c>
      <c r="AD607" t="s">
        <v>11942</v>
      </c>
      <c r="AE607" t="s">
        <v>11943</v>
      </c>
      <c r="AF607" t="s">
        <v>74</v>
      </c>
      <c r="AG607">
        <v>33</v>
      </c>
      <c r="AH607">
        <v>2</v>
      </c>
      <c r="AI607">
        <v>2</v>
      </c>
      <c r="AJ607">
        <v>0</v>
      </c>
      <c r="AK607">
        <v>12</v>
      </c>
      <c r="AL607" t="s">
        <v>502</v>
      </c>
      <c r="AM607" t="s">
        <v>503</v>
      </c>
      <c r="AN607" t="s">
        <v>674</v>
      </c>
      <c r="AO607" t="s">
        <v>505</v>
      </c>
      <c r="AP607" t="s">
        <v>506</v>
      </c>
      <c r="AQ607" t="s">
        <v>74</v>
      </c>
      <c r="AR607" t="s">
        <v>490</v>
      </c>
      <c r="AS607" t="s">
        <v>507</v>
      </c>
      <c r="AT607" t="s">
        <v>11926</v>
      </c>
      <c r="AU607">
        <v>2015</v>
      </c>
      <c r="AV607">
        <v>3920</v>
      </c>
      <c r="AW607">
        <v>1</v>
      </c>
      <c r="AX607" t="s">
        <v>74</v>
      </c>
      <c r="AY607" t="s">
        <v>74</v>
      </c>
      <c r="AZ607" t="s">
        <v>74</v>
      </c>
      <c r="BA607" t="s">
        <v>74</v>
      </c>
      <c r="BB607">
        <v>171</v>
      </c>
      <c r="BC607">
        <v>197</v>
      </c>
      <c r="BD607" t="s">
        <v>74</v>
      </c>
      <c r="BE607" t="s">
        <v>11944</v>
      </c>
      <c r="BF607" t="str">
        <f>HYPERLINK("http://dx.doi.org/10.11646/zootaxa.3920.1.9","http://dx.doi.org/10.11646/zootaxa.3920.1.9")</f>
        <v>http://dx.doi.org/10.11646/zootaxa.3920.1.9</v>
      </c>
      <c r="BG607" t="s">
        <v>74</v>
      </c>
      <c r="BH607" t="s">
        <v>74</v>
      </c>
      <c r="BI607">
        <v>27</v>
      </c>
      <c r="BJ607" t="s">
        <v>509</v>
      </c>
      <c r="BK607" t="s">
        <v>100</v>
      </c>
      <c r="BL607" t="s">
        <v>509</v>
      </c>
      <c r="BM607" t="s">
        <v>11928</v>
      </c>
      <c r="BN607">
        <v>25781245</v>
      </c>
      <c r="BO607" t="s">
        <v>74</v>
      </c>
      <c r="BP607" t="s">
        <v>74</v>
      </c>
      <c r="BQ607" t="s">
        <v>74</v>
      </c>
      <c r="BR607" t="s">
        <v>104</v>
      </c>
      <c r="BS607" t="s">
        <v>11945</v>
      </c>
      <c r="BT607" t="str">
        <f>HYPERLINK("https%3A%2F%2Fwww.webofscience.com%2Fwos%2Fwoscc%2Ffull-record%2FWOS:000349697100009","View Full Record in Web of Science")</f>
        <v>View Full Record in Web of Science</v>
      </c>
    </row>
    <row r="608" spans="1:72" x14ac:dyDescent="0.15">
      <c r="A608" t="s">
        <v>72</v>
      </c>
      <c r="B608" t="s">
        <v>11946</v>
      </c>
      <c r="C608" t="s">
        <v>74</v>
      </c>
      <c r="D608" t="s">
        <v>74</v>
      </c>
      <c r="E608" t="s">
        <v>74</v>
      </c>
      <c r="F608" t="s">
        <v>11947</v>
      </c>
      <c r="G608" t="s">
        <v>74</v>
      </c>
      <c r="H608" t="s">
        <v>74</v>
      </c>
      <c r="I608" t="s">
        <v>11948</v>
      </c>
      <c r="J608" t="s">
        <v>936</v>
      </c>
      <c r="K608" t="s">
        <v>74</v>
      </c>
      <c r="L608" t="s">
        <v>74</v>
      </c>
      <c r="M608" t="s">
        <v>78</v>
      </c>
      <c r="N608" t="s">
        <v>79</v>
      </c>
      <c r="O608" t="s">
        <v>74</v>
      </c>
      <c r="P608" t="s">
        <v>74</v>
      </c>
      <c r="Q608" t="s">
        <v>74</v>
      </c>
      <c r="R608" t="s">
        <v>74</v>
      </c>
      <c r="S608" t="s">
        <v>74</v>
      </c>
      <c r="T608" t="s">
        <v>74</v>
      </c>
      <c r="U608" t="s">
        <v>11949</v>
      </c>
      <c r="V608" t="s">
        <v>11950</v>
      </c>
      <c r="W608" t="s">
        <v>11951</v>
      </c>
      <c r="X608" t="s">
        <v>11952</v>
      </c>
      <c r="Y608" t="s">
        <v>11953</v>
      </c>
      <c r="Z608" t="s">
        <v>11954</v>
      </c>
      <c r="AA608" t="s">
        <v>11955</v>
      </c>
      <c r="AB608" t="s">
        <v>11956</v>
      </c>
      <c r="AC608" t="s">
        <v>11957</v>
      </c>
      <c r="AD608" t="s">
        <v>11958</v>
      </c>
      <c r="AE608" t="s">
        <v>11959</v>
      </c>
      <c r="AF608" t="s">
        <v>74</v>
      </c>
      <c r="AG608">
        <v>64</v>
      </c>
      <c r="AH608">
        <v>63</v>
      </c>
      <c r="AI608">
        <v>63</v>
      </c>
      <c r="AJ608">
        <v>0</v>
      </c>
      <c r="AK608">
        <v>50</v>
      </c>
      <c r="AL608" t="s">
        <v>946</v>
      </c>
      <c r="AM608" t="s">
        <v>947</v>
      </c>
      <c r="AN608" t="s">
        <v>948</v>
      </c>
      <c r="AO608" t="s">
        <v>949</v>
      </c>
      <c r="AP608" t="s">
        <v>74</v>
      </c>
      <c r="AQ608" t="s">
        <v>74</v>
      </c>
      <c r="AR608" t="s">
        <v>936</v>
      </c>
      <c r="AS608" t="s">
        <v>950</v>
      </c>
      <c r="AT608" t="s">
        <v>11960</v>
      </c>
      <c r="AU608">
        <v>2015</v>
      </c>
      <c r="AV608">
        <v>10</v>
      </c>
      <c r="AW608">
        <v>2</v>
      </c>
      <c r="AX608" t="s">
        <v>74</v>
      </c>
      <c r="AY608" t="s">
        <v>74</v>
      </c>
      <c r="AZ608" t="s">
        <v>74</v>
      </c>
      <c r="BA608" t="s">
        <v>74</v>
      </c>
      <c r="BB608" t="s">
        <v>74</v>
      </c>
      <c r="BC608" t="s">
        <v>74</v>
      </c>
      <c r="BD608" t="s">
        <v>11961</v>
      </c>
      <c r="BE608" t="s">
        <v>11962</v>
      </c>
      <c r="BF608" t="str">
        <f>HYPERLINK("http://dx.doi.org/10.1371/journal.pone.0118390","http://dx.doi.org/10.1371/journal.pone.0118390")</f>
        <v>http://dx.doi.org/10.1371/journal.pone.0118390</v>
      </c>
      <c r="BG608" t="s">
        <v>74</v>
      </c>
      <c r="BH608" t="s">
        <v>74</v>
      </c>
      <c r="BI608">
        <v>21</v>
      </c>
      <c r="BJ608" t="s">
        <v>429</v>
      </c>
      <c r="BK608" t="s">
        <v>100</v>
      </c>
      <c r="BL608" t="s">
        <v>430</v>
      </c>
      <c r="BM608" t="s">
        <v>11963</v>
      </c>
      <c r="BN608">
        <v>25693066</v>
      </c>
      <c r="BO608" t="s">
        <v>8380</v>
      </c>
      <c r="BP608" t="s">
        <v>74</v>
      </c>
      <c r="BQ608" t="s">
        <v>74</v>
      </c>
      <c r="BR608" t="s">
        <v>104</v>
      </c>
      <c r="BS608" t="s">
        <v>11964</v>
      </c>
      <c r="BT608" t="str">
        <f>HYPERLINK("https%3A%2F%2Fwww.webofscience.com%2Fwos%2Fwoscc%2Ffull-record%2FWOS:000350061500121","View Full Record in Web of Science")</f>
        <v>View Full Record in Web of Science</v>
      </c>
    </row>
    <row r="609" spans="1:72" x14ac:dyDescent="0.15">
      <c r="A609" t="s">
        <v>72</v>
      </c>
      <c r="B609" t="s">
        <v>11965</v>
      </c>
      <c r="C609" t="s">
        <v>74</v>
      </c>
      <c r="D609" t="s">
        <v>74</v>
      </c>
      <c r="E609" t="s">
        <v>74</v>
      </c>
      <c r="F609" t="s">
        <v>11966</v>
      </c>
      <c r="G609" t="s">
        <v>74</v>
      </c>
      <c r="H609" t="s">
        <v>74</v>
      </c>
      <c r="I609" t="s">
        <v>11967</v>
      </c>
      <c r="J609" t="s">
        <v>936</v>
      </c>
      <c r="K609" t="s">
        <v>74</v>
      </c>
      <c r="L609" t="s">
        <v>74</v>
      </c>
      <c r="M609" t="s">
        <v>78</v>
      </c>
      <c r="N609" t="s">
        <v>79</v>
      </c>
      <c r="O609" t="s">
        <v>74</v>
      </c>
      <c r="P609" t="s">
        <v>74</v>
      </c>
      <c r="Q609" t="s">
        <v>74</v>
      </c>
      <c r="R609" t="s">
        <v>74</v>
      </c>
      <c r="S609" t="s">
        <v>74</v>
      </c>
      <c r="T609" t="s">
        <v>74</v>
      </c>
      <c r="U609" t="s">
        <v>11968</v>
      </c>
      <c r="V609" t="s">
        <v>11969</v>
      </c>
      <c r="W609" t="s">
        <v>11970</v>
      </c>
      <c r="X609" t="s">
        <v>11971</v>
      </c>
      <c r="Y609" t="s">
        <v>11972</v>
      </c>
      <c r="Z609" t="s">
        <v>11973</v>
      </c>
      <c r="AA609" t="s">
        <v>11974</v>
      </c>
      <c r="AB609" t="s">
        <v>11975</v>
      </c>
      <c r="AC609" t="s">
        <v>11976</v>
      </c>
      <c r="AD609" t="s">
        <v>11977</v>
      </c>
      <c r="AE609" t="s">
        <v>11978</v>
      </c>
      <c r="AF609" t="s">
        <v>74</v>
      </c>
      <c r="AG609">
        <v>65</v>
      </c>
      <c r="AH609">
        <v>12</v>
      </c>
      <c r="AI609">
        <v>12</v>
      </c>
      <c r="AJ609">
        <v>1</v>
      </c>
      <c r="AK609">
        <v>23</v>
      </c>
      <c r="AL609" t="s">
        <v>946</v>
      </c>
      <c r="AM609" t="s">
        <v>947</v>
      </c>
      <c r="AN609" t="s">
        <v>948</v>
      </c>
      <c r="AO609" t="s">
        <v>949</v>
      </c>
      <c r="AP609" t="s">
        <v>74</v>
      </c>
      <c r="AQ609" t="s">
        <v>74</v>
      </c>
      <c r="AR609" t="s">
        <v>936</v>
      </c>
      <c r="AS609" t="s">
        <v>950</v>
      </c>
      <c r="AT609" t="s">
        <v>11979</v>
      </c>
      <c r="AU609">
        <v>2015</v>
      </c>
      <c r="AV609">
        <v>10</v>
      </c>
      <c r="AW609">
        <v>2</v>
      </c>
      <c r="AX609" t="s">
        <v>74</v>
      </c>
      <c r="AY609" t="s">
        <v>74</v>
      </c>
      <c r="AZ609" t="s">
        <v>74</v>
      </c>
      <c r="BA609" t="s">
        <v>74</v>
      </c>
      <c r="BB609" t="s">
        <v>74</v>
      </c>
      <c r="BC609" t="s">
        <v>74</v>
      </c>
      <c r="BD609" t="s">
        <v>11980</v>
      </c>
      <c r="BE609" t="s">
        <v>11981</v>
      </c>
      <c r="BF609" t="str">
        <f>HYPERLINK("http://dx.doi.org/10.1371/journal.pone.0115825","http://dx.doi.org/10.1371/journal.pone.0115825")</f>
        <v>http://dx.doi.org/10.1371/journal.pone.0115825</v>
      </c>
      <c r="BG609" t="s">
        <v>74</v>
      </c>
      <c r="BH609" t="s">
        <v>74</v>
      </c>
      <c r="BI609">
        <v>16</v>
      </c>
      <c r="BJ609" t="s">
        <v>429</v>
      </c>
      <c r="BK609" t="s">
        <v>100</v>
      </c>
      <c r="BL609" t="s">
        <v>430</v>
      </c>
      <c r="BM609" t="s">
        <v>11982</v>
      </c>
      <c r="BN609">
        <v>25688560</v>
      </c>
      <c r="BO609" t="s">
        <v>432</v>
      </c>
      <c r="BP609" t="s">
        <v>74</v>
      </c>
      <c r="BQ609" t="s">
        <v>74</v>
      </c>
      <c r="BR609" t="s">
        <v>104</v>
      </c>
      <c r="BS609" t="s">
        <v>11983</v>
      </c>
      <c r="BT609" t="str">
        <f>HYPERLINK("https%3A%2F%2Fwww.webofscience.com%2Fwos%2Fwoscc%2Ffull-record%2FWOS:000350322700005","View Full Record in Web of Science")</f>
        <v>View Full Record in Web of Science</v>
      </c>
    </row>
    <row r="610" spans="1:72" x14ac:dyDescent="0.15">
      <c r="A610" t="s">
        <v>72</v>
      </c>
      <c r="B610" t="s">
        <v>11984</v>
      </c>
      <c r="C610" t="s">
        <v>74</v>
      </c>
      <c r="D610" t="s">
        <v>74</v>
      </c>
      <c r="E610" t="s">
        <v>74</v>
      </c>
      <c r="F610" t="s">
        <v>11985</v>
      </c>
      <c r="G610" t="s">
        <v>74</v>
      </c>
      <c r="H610" t="s">
        <v>74</v>
      </c>
      <c r="I610" t="s">
        <v>11986</v>
      </c>
      <c r="J610" t="s">
        <v>1072</v>
      </c>
      <c r="K610" t="s">
        <v>74</v>
      </c>
      <c r="L610" t="s">
        <v>74</v>
      </c>
      <c r="M610" t="s">
        <v>78</v>
      </c>
      <c r="N610" t="s">
        <v>79</v>
      </c>
      <c r="O610" t="s">
        <v>74</v>
      </c>
      <c r="P610" t="s">
        <v>74</v>
      </c>
      <c r="Q610" t="s">
        <v>74</v>
      </c>
      <c r="R610" t="s">
        <v>74</v>
      </c>
      <c r="S610" t="s">
        <v>74</v>
      </c>
      <c r="T610" t="s">
        <v>11987</v>
      </c>
      <c r="U610" t="s">
        <v>11988</v>
      </c>
      <c r="V610" t="s">
        <v>11989</v>
      </c>
      <c r="W610" t="s">
        <v>11990</v>
      </c>
      <c r="X610" t="s">
        <v>11991</v>
      </c>
      <c r="Y610" t="s">
        <v>11992</v>
      </c>
      <c r="Z610" t="s">
        <v>11993</v>
      </c>
      <c r="AA610" t="s">
        <v>11994</v>
      </c>
      <c r="AB610" t="s">
        <v>11995</v>
      </c>
      <c r="AC610" t="s">
        <v>11996</v>
      </c>
      <c r="AD610" t="s">
        <v>11997</v>
      </c>
      <c r="AE610" t="s">
        <v>11998</v>
      </c>
      <c r="AF610" t="s">
        <v>74</v>
      </c>
      <c r="AG610">
        <v>65</v>
      </c>
      <c r="AH610">
        <v>22</v>
      </c>
      <c r="AI610">
        <v>26</v>
      </c>
      <c r="AJ610">
        <v>3</v>
      </c>
      <c r="AK610">
        <v>326</v>
      </c>
      <c r="AL610" t="s">
        <v>1085</v>
      </c>
      <c r="AM610" t="s">
        <v>1086</v>
      </c>
      <c r="AN610" t="s">
        <v>1087</v>
      </c>
      <c r="AO610" t="s">
        <v>1088</v>
      </c>
      <c r="AP610" t="s">
        <v>1089</v>
      </c>
      <c r="AQ610" t="s">
        <v>74</v>
      </c>
      <c r="AR610" t="s">
        <v>1090</v>
      </c>
      <c r="AS610" t="s">
        <v>1091</v>
      </c>
      <c r="AT610" t="s">
        <v>11979</v>
      </c>
      <c r="AU610">
        <v>2015</v>
      </c>
      <c r="AV610">
        <v>521</v>
      </c>
      <c r="AW610" t="s">
        <v>74</v>
      </c>
      <c r="AX610" t="s">
        <v>74</v>
      </c>
      <c r="AY610" t="s">
        <v>74</v>
      </c>
      <c r="AZ610" t="s">
        <v>74</v>
      </c>
      <c r="BA610" t="s">
        <v>74</v>
      </c>
      <c r="BB610">
        <v>265</v>
      </c>
      <c r="BC610">
        <v>275</v>
      </c>
      <c r="BD610" t="s">
        <v>74</v>
      </c>
      <c r="BE610" t="s">
        <v>11999</v>
      </c>
      <c r="BF610" t="str">
        <f>HYPERLINK("http://dx.doi.org/10.3354/meps11120","http://dx.doi.org/10.3354/meps11120")</f>
        <v>http://dx.doi.org/10.3354/meps11120</v>
      </c>
      <c r="BG610" t="s">
        <v>74</v>
      </c>
      <c r="BH610" t="s">
        <v>74</v>
      </c>
      <c r="BI610">
        <v>11</v>
      </c>
      <c r="BJ610" t="s">
        <v>1094</v>
      </c>
      <c r="BK610" t="s">
        <v>100</v>
      </c>
      <c r="BL610" t="s">
        <v>1095</v>
      </c>
      <c r="BM610" t="s">
        <v>12000</v>
      </c>
      <c r="BN610" t="s">
        <v>74</v>
      </c>
      <c r="BO610" t="s">
        <v>156</v>
      </c>
      <c r="BP610" t="s">
        <v>74</v>
      </c>
      <c r="BQ610" t="s">
        <v>74</v>
      </c>
      <c r="BR610" t="s">
        <v>104</v>
      </c>
      <c r="BS610" t="s">
        <v>12001</v>
      </c>
      <c r="BT610" t="str">
        <f>HYPERLINK("https%3A%2F%2Fwww.webofscience.com%2Fwos%2Fwoscc%2Ffull-record%2FWOS:000349996200019","View Full Record in Web of Science")</f>
        <v>View Full Record in Web of Science</v>
      </c>
    </row>
    <row r="611" spans="1:72" x14ac:dyDescent="0.15">
      <c r="A611" t="s">
        <v>72</v>
      </c>
      <c r="B611" t="s">
        <v>12002</v>
      </c>
      <c r="C611" t="s">
        <v>74</v>
      </c>
      <c r="D611" t="s">
        <v>74</v>
      </c>
      <c r="E611" t="s">
        <v>74</v>
      </c>
      <c r="F611" t="s">
        <v>12003</v>
      </c>
      <c r="G611" t="s">
        <v>74</v>
      </c>
      <c r="H611" t="s">
        <v>74</v>
      </c>
      <c r="I611" t="s">
        <v>12004</v>
      </c>
      <c r="J611" t="s">
        <v>1072</v>
      </c>
      <c r="K611" t="s">
        <v>74</v>
      </c>
      <c r="L611" t="s">
        <v>74</v>
      </c>
      <c r="M611" t="s">
        <v>78</v>
      </c>
      <c r="N611" t="s">
        <v>79</v>
      </c>
      <c r="O611" t="s">
        <v>74</v>
      </c>
      <c r="P611" t="s">
        <v>74</v>
      </c>
      <c r="Q611" t="s">
        <v>74</v>
      </c>
      <c r="R611" t="s">
        <v>74</v>
      </c>
      <c r="S611" t="s">
        <v>74</v>
      </c>
      <c r="T611" t="s">
        <v>12005</v>
      </c>
      <c r="U611" t="s">
        <v>12006</v>
      </c>
      <c r="V611" t="s">
        <v>12007</v>
      </c>
      <c r="W611" t="s">
        <v>12008</v>
      </c>
      <c r="X611" t="s">
        <v>12009</v>
      </c>
      <c r="Y611" t="s">
        <v>12010</v>
      </c>
      <c r="Z611" t="s">
        <v>12011</v>
      </c>
      <c r="AA611" t="s">
        <v>12012</v>
      </c>
      <c r="AB611" t="s">
        <v>12013</v>
      </c>
      <c r="AC611" t="s">
        <v>12014</v>
      </c>
      <c r="AD611" t="s">
        <v>12015</v>
      </c>
      <c r="AE611" t="s">
        <v>12016</v>
      </c>
      <c r="AF611" t="s">
        <v>74</v>
      </c>
      <c r="AG611">
        <v>32</v>
      </c>
      <c r="AH611">
        <v>7</v>
      </c>
      <c r="AI611">
        <v>8</v>
      </c>
      <c r="AJ611">
        <v>0</v>
      </c>
      <c r="AK611">
        <v>38</v>
      </c>
      <c r="AL611" t="s">
        <v>1085</v>
      </c>
      <c r="AM611" t="s">
        <v>1086</v>
      </c>
      <c r="AN611" t="s">
        <v>1087</v>
      </c>
      <c r="AO611" t="s">
        <v>1088</v>
      </c>
      <c r="AP611" t="s">
        <v>1089</v>
      </c>
      <c r="AQ611" t="s">
        <v>74</v>
      </c>
      <c r="AR611" t="s">
        <v>1090</v>
      </c>
      <c r="AS611" t="s">
        <v>1091</v>
      </c>
      <c r="AT611" t="s">
        <v>11979</v>
      </c>
      <c r="AU611">
        <v>2015</v>
      </c>
      <c r="AV611">
        <v>521</v>
      </c>
      <c r="AW611" t="s">
        <v>74</v>
      </c>
      <c r="AX611" t="s">
        <v>74</v>
      </c>
      <c r="AY611" t="s">
        <v>74</v>
      </c>
      <c r="AZ611" t="s">
        <v>74</v>
      </c>
      <c r="BA611" t="s">
        <v>74</v>
      </c>
      <c r="BB611">
        <v>277</v>
      </c>
      <c r="BC611">
        <v>282</v>
      </c>
      <c r="BD611" t="s">
        <v>74</v>
      </c>
      <c r="BE611" t="s">
        <v>12017</v>
      </c>
      <c r="BF611" t="str">
        <f>HYPERLINK("http://dx.doi.org/10.3354/meps11128","http://dx.doi.org/10.3354/meps11128")</f>
        <v>http://dx.doi.org/10.3354/meps11128</v>
      </c>
      <c r="BG611" t="s">
        <v>74</v>
      </c>
      <c r="BH611" t="s">
        <v>74</v>
      </c>
      <c r="BI611">
        <v>6</v>
      </c>
      <c r="BJ611" t="s">
        <v>1094</v>
      </c>
      <c r="BK611" t="s">
        <v>100</v>
      </c>
      <c r="BL611" t="s">
        <v>1095</v>
      </c>
      <c r="BM611" t="s">
        <v>12000</v>
      </c>
      <c r="BN611" t="s">
        <v>74</v>
      </c>
      <c r="BO611" t="s">
        <v>12018</v>
      </c>
      <c r="BP611" t="s">
        <v>74</v>
      </c>
      <c r="BQ611" t="s">
        <v>74</v>
      </c>
      <c r="BR611" t="s">
        <v>104</v>
      </c>
      <c r="BS611" t="s">
        <v>12019</v>
      </c>
      <c r="BT611" t="str">
        <f>HYPERLINK("https%3A%2F%2Fwww.webofscience.com%2Fwos%2Fwoscc%2Ffull-record%2FWOS:000349996200020","View Full Record in Web of Science")</f>
        <v>View Full Record in Web of Science</v>
      </c>
    </row>
    <row r="612" spans="1:72" x14ac:dyDescent="0.15">
      <c r="A612" t="s">
        <v>72</v>
      </c>
      <c r="B612" t="s">
        <v>12020</v>
      </c>
      <c r="C612" t="s">
        <v>74</v>
      </c>
      <c r="D612" t="s">
        <v>74</v>
      </c>
      <c r="E612" t="s">
        <v>74</v>
      </c>
      <c r="F612" t="s">
        <v>12021</v>
      </c>
      <c r="G612" t="s">
        <v>74</v>
      </c>
      <c r="H612" t="s">
        <v>74</v>
      </c>
      <c r="I612" t="s">
        <v>12022</v>
      </c>
      <c r="J612" t="s">
        <v>253</v>
      </c>
      <c r="K612" t="s">
        <v>74</v>
      </c>
      <c r="L612" t="s">
        <v>74</v>
      </c>
      <c r="M612" t="s">
        <v>78</v>
      </c>
      <c r="N612" t="s">
        <v>79</v>
      </c>
      <c r="O612" t="s">
        <v>74</v>
      </c>
      <c r="P612" t="s">
        <v>74</v>
      </c>
      <c r="Q612" t="s">
        <v>74</v>
      </c>
      <c r="R612" t="s">
        <v>74</v>
      </c>
      <c r="S612" t="s">
        <v>74</v>
      </c>
      <c r="T612" t="s">
        <v>12023</v>
      </c>
      <c r="U612" t="s">
        <v>12024</v>
      </c>
      <c r="V612" t="s">
        <v>12025</v>
      </c>
      <c r="W612" t="s">
        <v>12026</v>
      </c>
      <c r="X612" t="s">
        <v>12027</v>
      </c>
      <c r="Y612" t="s">
        <v>12028</v>
      </c>
      <c r="Z612" t="s">
        <v>12029</v>
      </c>
      <c r="AA612" t="s">
        <v>12030</v>
      </c>
      <c r="AB612" t="s">
        <v>12031</v>
      </c>
      <c r="AC612" t="s">
        <v>12032</v>
      </c>
      <c r="AD612" t="s">
        <v>12033</v>
      </c>
      <c r="AE612" t="s">
        <v>12034</v>
      </c>
      <c r="AF612" t="s">
        <v>74</v>
      </c>
      <c r="AG612">
        <v>22</v>
      </c>
      <c r="AH612">
        <v>8</v>
      </c>
      <c r="AI612">
        <v>9</v>
      </c>
      <c r="AJ612">
        <v>0</v>
      </c>
      <c r="AK612">
        <v>4</v>
      </c>
      <c r="AL612" t="s">
        <v>266</v>
      </c>
      <c r="AM612" t="s">
        <v>267</v>
      </c>
      <c r="AN612" t="s">
        <v>268</v>
      </c>
      <c r="AO612" t="s">
        <v>269</v>
      </c>
      <c r="AP612" t="s">
        <v>270</v>
      </c>
      <c r="AQ612" t="s">
        <v>74</v>
      </c>
      <c r="AR612" t="s">
        <v>271</v>
      </c>
      <c r="AS612" t="s">
        <v>272</v>
      </c>
      <c r="AT612" t="s">
        <v>12035</v>
      </c>
      <c r="AU612">
        <v>2015</v>
      </c>
      <c r="AV612">
        <v>42</v>
      </c>
      <c r="AW612">
        <v>3</v>
      </c>
      <c r="AX612" t="s">
        <v>74</v>
      </c>
      <c r="AY612" t="s">
        <v>74</v>
      </c>
      <c r="AZ612" t="s">
        <v>74</v>
      </c>
      <c r="BA612" t="s">
        <v>74</v>
      </c>
      <c r="BB612">
        <v>697</v>
      </c>
      <c r="BC612">
        <v>704</v>
      </c>
      <c r="BD612" t="s">
        <v>74</v>
      </c>
      <c r="BE612" t="s">
        <v>12036</v>
      </c>
      <c r="BF612" t="str">
        <f>HYPERLINK("http://dx.doi.org/10.1002/2014GL062784","http://dx.doi.org/10.1002/2014GL062784")</f>
        <v>http://dx.doi.org/10.1002/2014GL062784</v>
      </c>
      <c r="BG612" t="s">
        <v>74</v>
      </c>
      <c r="BH612" t="s">
        <v>74</v>
      </c>
      <c r="BI612">
        <v>8</v>
      </c>
      <c r="BJ612" t="s">
        <v>219</v>
      </c>
      <c r="BK612" t="s">
        <v>100</v>
      </c>
      <c r="BL612" t="s">
        <v>220</v>
      </c>
      <c r="BM612" t="s">
        <v>12037</v>
      </c>
      <c r="BN612" t="s">
        <v>74</v>
      </c>
      <c r="BO612" t="s">
        <v>74</v>
      </c>
      <c r="BP612" t="s">
        <v>74</v>
      </c>
      <c r="BQ612" t="s">
        <v>74</v>
      </c>
      <c r="BR612" t="s">
        <v>104</v>
      </c>
      <c r="BS612" t="s">
        <v>12038</v>
      </c>
      <c r="BT612" t="str">
        <f>HYPERLINK("https%3A%2F%2Fwww.webofscience.com%2Fwos%2Fwoscc%2Ffull-record%2FWOS:000351355600004","View Full Record in Web of Science")</f>
        <v>View Full Record in Web of Science</v>
      </c>
    </row>
    <row r="613" spans="1:72" x14ac:dyDescent="0.15">
      <c r="A613" t="s">
        <v>72</v>
      </c>
      <c r="B613" t="s">
        <v>12039</v>
      </c>
      <c r="C613" t="s">
        <v>74</v>
      </c>
      <c r="D613" t="s">
        <v>74</v>
      </c>
      <c r="E613" t="s">
        <v>74</v>
      </c>
      <c r="F613" t="s">
        <v>12040</v>
      </c>
      <c r="G613" t="s">
        <v>74</v>
      </c>
      <c r="H613" t="s">
        <v>74</v>
      </c>
      <c r="I613" t="s">
        <v>12041</v>
      </c>
      <c r="J613" t="s">
        <v>390</v>
      </c>
      <c r="K613" t="s">
        <v>74</v>
      </c>
      <c r="L613" t="s">
        <v>74</v>
      </c>
      <c r="M613" t="s">
        <v>78</v>
      </c>
      <c r="N613" t="s">
        <v>79</v>
      </c>
      <c r="O613" t="s">
        <v>74</v>
      </c>
      <c r="P613" t="s">
        <v>74</v>
      </c>
      <c r="Q613" t="s">
        <v>74</v>
      </c>
      <c r="R613" t="s">
        <v>74</v>
      </c>
      <c r="S613" t="s">
        <v>74</v>
      </c>
      <c r="T613" t="s">
        <v>12042</v>
      </c>
      <c r="U613" t="s">
        <v>12043</v>
      </c>
      <c r="V613" t="s">
        <v>12044</v>
      </c>
      <c r="W613" t="s">
        <v>12045</v>
      </c>
      <c r="X613" t="s">
        <v>12046</v>
      </c>
      <c r="Y613" t="s">
        <v>12047</v>
      </c>
      <c r="Z613" t="s">
        <v>12048</v>
      </c>
      <c r="AA613" t="s">
        <v>12049</v>
      </c>
      <c r="AB613" t="s">
        <v>12050</v>
      </c>
      <c r="AC613" t="s">
        <v>12051</v>
      </c>
      <c r="AD613" t="s">
        <v>12052</v>
      </c>
      <c r="AE613" t="s">
        <v>12053</v>
      </c>
      <c r="AF613" t="s">
        <v>74</v>
      </c>
      <c r="AG613">
        <v>54</v>
      </c>
      <c r="AH613">
        <v>25</v>
      </c>
      <c r="AI613">
        <v>26</v>
      </c>
      <c r="AJ613">
        <v>0</v>
      </c>
      <c r="AK613">
        <v>20</v>
      </c>
      <c r="AL613" t="s">
        <v>266</v>
      </c>
      <c r="AM613" t="s">
        <v>267</v>
      </c>
      <c r="AN613" t="s">
        <v>268</v>
      </c>
      <c r="AO613" t="s">
        <v>400</v>
      </c>
      <c r="AP613" t="s">
        <v>401</v>
      </c>
      <c r="AQ613" t="s">
        <v>74</v>
      </c>
      <c r="AR613" t="s">
        <v>402</v>
      </c>
      <c r="AS613" t="s">
        <v>403</v>
      </c>
      <c r="AT613" t="s">
        <v>12035</v>
      </c>
      <c r="AU613">
        <v>2015</v>
      </c>
      <c r="AV613">
        <v>120</v>
      </c>
      <c r="AW613">
        <v>3</v>
      </c>
      <c r="AX613" t="s">
        <v>74</v>
      </c>
      <c r="AY613" t="s">
        <v>74</v>
      </c>
      <c r="AZ613" t="s">
        <v>74</v>
      </c>
      <c r="BA613" t="s">
        <v>74</v>
      </c>
      <c r="BB613">
        <v>992</v>
      </c>
      <c r="BC613">
        <v>1007</v>
      </c>
      <c r="BD613" t="s">
        <v>74</v>
      </c>
      <c r="BE613" t="s">
        <v>12054</v>
      </c>
      <c r="BF613" t="str">
        <f>HYPERLINK("http://dx.doi.org/10.1002/2014JD022551","http://dx.doi.org/10.1002/2014JD022551")</f>
        <v>http://dx.doi.org/10.1002/2014JD022551</v>
      </c>
      <c r="BG613" t="s">
        <v>74</v>
      </c>
      <c r="BH613" t="s">
        <v>74</v>
      </c>
      <c r="BI613">
        <v>16</v>
      </c>
      <c r="BJ613" t="s">
        <v>406</v>
      </c>
      <c r="BK613" t="s">
        <v>100</v>
      </c>
      <c r="BL613" t="s">
        <v>406</v>
      </c>
      <c r="BM613" t="s">
        <v>12055</v>
      </c>
      <c r="BN613" t="s">
        <v>74</v>
      </c>
      <c r="BO613" t="s">
        <v>156</v>
      </c>
      <c r="BP613" t="s">
        <v>74</v>
      </c>
      <c r="BQ613" t="s">
        <v>74</v>
      </c>
      <c r="BR613" t="s">
        <v>104</v>
      </c>
      <c r="BS613" t="s">
        <v>12056</v>
      </c>
      <c r="BT613" t="str">
        <f>HYPERLINK("https%3A%2F%2Fwww.webofscience.com%2Fwos%2Fwoscc%2Ffull-record%2FWOS:000350547000008","View Full Record in Web of Science")</f>
        <v>View Full Record in Web of Science</v>
      </c>
    </row>
    <row r="614" spans="1:72" x14ac:dyDescent="0.15">
      <c r="A614" t="s">
        <v>72</v>
      </c>
      <c r="B614" t="s">
        <v>12057</v>
      </c>
      <c r="C614" t="s">
        <v>74</v>
      </c>
      <c r="D614" t="s">
        <v>74</v>
      </c>
      <c r="E614" t="s">
        <v>74</v>
      </c>
      <c r="F614" t="s">
        <v>12058</v>
      </c>
      <c r="G614" t="s">
        <v>74</v>
      </c>
      <c r="H614" t="s">
        <v>74</v>
      </c>
      <c r="I614" t="s">
        <v>12059</v>
      </c>
      <c r="J614" t="s">
        <v>253</v>
      </c>
      <c r="K614" t="s">
        <v>74</v>
      </c>
      <c r="L614" t="s">
        <v>74</v>
      </c>
      <c r="M614" t="s">
        <v>78</v>
      </c>
      <c r="N614" t="s">
        <v>79</v>
      </c>
      <c r="O614" t="s">
        <v>74</v>
      </c>
      <c r="P614" t="s">
        <v>74</v>
      </c>
      <c r="Q614" t="s">
        <v>74</v>
      </c>
      <c r="R614" t="s">
        <v>74</v>
      </c>
      <c r="S614" t="s">
        <v>74</v>
      </c>
      <c r="T614" t="s">
        <v>12060</v>
      </c>
      <c r="U614" t="s">
        <v>12061</v>
      </c>
      <c r="V614" t="s">
        <v>12062</v>
      </c>
      <c r="W614" t="s">
        <v>12063</v>
      </c>
      <c r="X614" t="s">
        <v>12064</v>
      </c>
      <c r="Y614" t="s">
        <v>12065</v>
      </c>
      <c r="Z614" t="s">
        <v>12066</v>
      </c>
      <c r="AA614" t="s">
        <v>12067</v>
      </c>
      <c r="AB614" t="s">
        <v>12068</v>
      </c>
      <c r="AC614" t="s">
        <v>12069</v>
      </c>
      <c r="AD614" t="s">
        <v>12070</v>
      </c>
      <c r="AE614" t="s">
        <v>12071</v>
      </c>
      <c r="AF614" t="s">
        <v>74</v>
      </c>
      <c r="AG614">
        <v>58</v>
      </c>
      <c r="AH614">
        <v>93</v>
      </c>
      <c r="AI614">
        <v>99</v>
      </c>
      <c r="AJ614">
        <v>1</v>
      </c>
      <c r="AK614">
        <v>46</v>
      </c>
      <c r="AL614" t="s">
        <v>266</v>
      </c>
      <c r="AM614" t="s">
        <v>267</v>
      </c>
      <c r="AN614" t="s">
        <v>268</v>
      </c>
      <c r="AO614" t="s">
        <v>269</v>
      </c>
      <c r="AP614" t="s">
        <v>270</v>
      </c>
      <c r="AQ614" t="s">
        <v>74</v>
      </c>
      <c r="AR614" t="s">
        <v>271</v>
      </c>
      <c r="AS614" t="s">
        <v>272</v>
      </c>
      <c r="AT614" t="s">
        <v>12035</v>
      </c>
      <c r="AU614">
        <v>2015</v>
      </c>
      <c r="AV614">
        <v>42</v>
      </c>
      <c r="AW614">
        <v>3</v>
      </c>
      <c r="AX614" t="s">
        <v>74</v>
      </c>
      <c r="AY614" t="s">
        <v>74</v>
      </c>
      <c r="AZ614" t="s">
        <v>74</v>
      </c>
      <c r="BA614" t="s">
        <v>74</v>
      </c>
      <c r="BB614">
        <v>821</v>
      </c>
      <c r="BC614">
        <v>830</v>
      </c>
      <c r="BD614" t="s">
        <v>74</v>
      </c>
      <c r="BE614" t="s">
        <v>12072</v>
      </c>
      <c r="BF614" t="str">
        <f>HYPERLINK("http://dx.doi.org/10.1002/2014GL062744","http://dx.doi.org/10.1002/2014GL062744")</f>
        <v>http://dx.doi.org/10.1002/2014GL062744</v>
      </c>
      <c r="BG614" t="s">
        <v>74</v>
      </c>
      <c r="BH614" t="s">
        <v>74</v>
      </c>
      <c r="BI614">
        <v>10</v>
      </c>
      <c r="BJ614" t="s">
        <v>219</v>
      </c>
      <c r="BK614" t="s">
        <v>100</v>
      </c>
      <c r="BL614" t="s">
        <v>220</v>
      </c>
      <c r="BM614" t="s">
        <v>12037</v>
      </c>
      <c r="BN614" t="s">
        <v>74</v>
      </c>
      <c r="BO614" t="s">
        <v>3070</v>
      </c>
      <c r="BP614" t="s">
        <v>74</v>
      </c>
      <c r="BQ614" t="s">
        <v>74</v>
      </c>
      <c r="BR614" t="s">
        <v>104</v>
      </c>
      <c r="BS614" t="s">
        <v>12073</v>
      </c>
      <c r="BT614" t="str">
        <f>HYPERLINK("https%3A%2F%2Fwww.webofscience.com%2Fwos%2Fwoscc%2Ffull-record%2FWOS:000351355600020","View Full Record in Web of Science")</f>
        <v>View Full Record in Web of Science</v>
      </c>
    </row>
    <row r="615" spans="1:72" x14ac:dyDescent="0.15">
      <c r="A615" t="s">
        <v>72</v>
      </c>
      <c r="B615" t="s">
        <v>12074</v>
      </c>
      <c r="C615" t="s">
        <v>74</v>
      </c>
      <c r="D615" t="s">
        <v>74</v>
      </c>
      <c r="E615" t="s">
        <v>74</v>
      </c>
      <c r="F615" t="s">
        <v>12075</v>
      </c>
      <c r="G615" t="s">
        <v>74</v>
      </c>
      <c r="H615" t="s">
        <v>74</v>
      </c>
      <c r="I615" t="s">
        <v>12076</v>
      </c>
      <c r="J615" t="s">
        <v>12077</v>
      </c>
      <c r="K615" t="s">
        <v>74</v>
      </c>
      <c r="L615" t="s">
        <v>74</v>
      </c>
      <c r="M615" t="s">
        <v>78</v>
      </c>
      <c r="N615" t="s">
        <v>79</v>
      </c>
      <c r="O615" t="s">
        <v>74</v>
      </c>
      <c r="P615" t="s">
        <v>74</v>
      </c>
      <c r="Q615" t="s">
        <v>74</v>
      </c>
      <c r="R615" t="s">
        <v>74</v>
      </c>
      <c r="S615" t="s">
        <v>74</v>
      </c>
      <c r="T615" t="s">
        <v>12078</v>
      </c>
      <c r="U615" t="s">
        <v>12079</v>
      </c>
      <c r="V615" t="s">
        <v>12080</v>
      </c>
      <c r="W615" t="s">
        <v>12081</v>
      </c>
      <c r="X615" t="s">
        <v>12082</v>
      </c>
      <c r="Y615" t="s">
        <v>12083</v>
      </c>
      <c r="Z615" t="s">
        <v>12084</v>
      </c>
      <c r="AA615" t="s">
        <v>12085</v>
      </c>
      <c r="AB615" t="s">
        <v>12086</v>
      </c>
      <c r="AC615" t="s">
        <v>74</v>
      </c>
      <c r="AD615" t="s">
        <v>74</v>
      </c>
      <c r="AE615" t="s">
        <v>74</v>
      </c>
      <c r="AF615" t="s">
        <v>74</v>
      </c>
      <c r="AG615">
        <v>40</v>
      </c>
      <c r="AH615">
        <v>27</v>
      </c>
      <c r="AI615">
        <v>29</v>
      </c>
      <c r="AJ615">
        <v>1</v>
      </c>
      <c r="AK615">
        <v>25</v>
      </c>
      <c r="AL615" t="s">
        <v>2242</v>
      </c>
      <c r="AM615" t="s">
        <v>2243</v>
      </c>
      <c r="AN615" t="s">
        <v>2244</v>
      </c>
      <c r="AO615" t="s">
        <v>12087</v>
      </c>
      <c r="AP615" t="s">
        <v>74</v>
      </c>
      <c r="AQ615" t="s">
        <v>74</v>
      </c>
      <c r="AR615" t="s">
        <v>12077</v>
      </c>
      <c r="AS615" t="s">
        <v>12088</v>
      </c>
      <c r="AT615" t="s">
        <v>12089</v>
      </c>
      <c r="AU615">
        <v>2015</v>
      </c>
      <c r="AV615">
        <v>22</v>
      </c>
      <c r="AW615">
        <v>2</v>
      </c>
      <c r="AX615" t="s">
        <v>74</v>
      </c>
      <c r="AY615" t="s">
        <v>74</v>
      </c>
      <c r="AZ615" t="s">
        <v>74</v>
      </c>
      <c r="BA615" t="s">
        <v>74</v>
      </c>
      <c r="BB615">
        <v>223</v>
      </c>
      <c r="BC615">
        <v>230</v>
      </c>
      <c r="BD615" t="s">
        <v>74</v>
      </c>
      <c r="BE615" t="s">
        <v>12090</v>
      </c>
      <c r="BF615" t="str">
        <f>HYPERLINK("http://dx.doi.org/10.1016/j.phymed.2014.12.005","http://dx.doi.org/10.1016/j.phymed.2014.12.005")</f>
        <v>http://dx.doi.org/10.1016/j.phymed.2014.12.005</v>
      </c>
      <c r="BG615" t="s">
        <v>74</v>
      </c>
      <c r="BH615" t="s">
        <v>74</v>
      </c>
      <c r="BI615">
        <v>8</v>
      </c>
      <c r="BJ615" t="s">
        <v>12091</v>
      </c>
      <c r="BK615" t="s">
        <v>100</v>
      </c>
      <c r="BL615" t="s">
        <v>12092</v>
      </c>
      <c r="BM615" t="s">
        <v>12093</v>
      </c>
      <c r="BN615">
        <v>25765826</v>
      </c>
      <c r="BO615" t="s">
        <v>74</v>
      </c>
      <c r="BP615" t="s">
        <v>74</v>
      </c>
      <c r="BQ615" t="s">
        <v>74</v>
      </c>
      <c r="BR615" t="s">
        <v>104</v>
      </c>
      <c r="BS615" t="s">
        <v>12094</v>
      </c>
      <c r="BT615" t="str">
        <f>HYPERLINK("https%3A%2F%2Fwww.webofscience.com%2Fwos%2Fwoscc%2Ffull-record%2FWOS:000350981400001","View Full Record in Web of Science")</f>
        <v>View Full Record in Web of Science</v>
      </c>
    </row>
    <row r="616" spans="1:72" x14ac:dyDescent="0.15">
      <c r="A616" t="s">
        <v>72</v>
      </c>
      <c r="B616" t="s">
        <v>12095</v>
      </c>
      <c r="C616" t="s">
        <v>74</v>
      </c>
      <c r="D616" t="s">
        <v>74</v>
      </c>
      <c r="E616" t="s">
        <v>74</v>
      </c>
      <c r="F616" t="s">
        <v>12096</v>
      </c>
      <c r="G616" t="s">
        <v>74</v>
      </c>
      <c r="H616" t="s">
        <v>74</v>
      </c>
      <c r="I616" t="s">
        <v>12097</v>
      </c>
      <c r="J616" t="s">
        <v>10907</v>
      </c>
      <c r="K616" t="s">
        <v>74</v>
      </c>
      <c r="L616" t="s">
        <v>74</v>
      </c>
      <c r="M616" t="s">
        <v>78</v>
      </c>
      <c r="N616" t="s">
        <v>79</v>
      </c>
      <c r="O616" t="s">
        <v>74</v>
      </c>
      <c r="P616" t="s">
        <v>74</v>
      </c>
      <c r="Q616" t="s">
        <v>74</v>
      </c>
      <c r="R616" t="s">
        <v>74</v>
      </c>
      <c r="S616" t="s">
        <v>74</v>
      </c>
      <c r="T616" t="s">
        <v>12098</v>
      </c>
      <c r="U616" t="s">
        <v>12099</v>
      </c>
      <c r="V616" t="s">
        <v>12100</v>
      </c>
      <c r="W616" t="s">
        <v>12101</v>
      </c>
      <c r="X616" t="s">
        <v>12102</v>
      </c>
      <c r="Y616" t="s">
        <v>12103</v>
      </c>
      <c r="Z616" t="s">
        <v>12104</v>
      </c>
      <c r="AA616" t="s">
        <v>12105</v>
      </c>
      <c r="AB616" t="s">
        <v>12106</v>
      </c>
      <c r="AC616" t="s">
        <v>12107</v>
      </c>
      <c r="AD616" t="s">
        <v>12107</v>
      </c>
      <c r="AE616" t="s">
        <v>12108</v>
      </c>
      <c r="AF616" t="s">
        <v>74</v>
      </c>
      <c r="AG616">
        <v>54</v>
      </c>
      <c r="AH616">
        <v>18</v>
      </c>
      <c r="AI616">
        <v>19</v>
      </c>
      <c r="AJ616">
        <v>1</v>
      </c>
      <c r="AK616">
        <v>19</v>
      </c>
      <c r="AL616" t="s">
        <v>815</v>
      </c>
      <c r="AM616" t="s">
        <v>816</v>
      </c>
      <c r="AN616" t="s">
        <v>817</v>
      </c>
      <c r="AO616" t="s">
        <v>10920</v>
      </c>
      <c r="AP616" t="s">
        <v>10921</v>
      </c>
      <c r="AQ616" t="s">
        <v>74</v>
      </c>
      <c r="AR616" t="s">
        <v>10907</v>
      </c>
      <c r="AS616" t="s">
        <v>10922</v>
      </c>
      <c r="AT616" t="s">
        <v>12089</v>
      </c>
      <c r="AU616">
        <v>2015</v>
      </c>
      <c r="AV616">
        <v>231</v>
      </c>
      <c r="AW616" t="s">
        <v>74</v>
      </c>
      <c r="AX616" t="s">
        <v>74</v>
      </c>
      <c r="AY616" t="s">
        <v>74</v>
      </c>
      <c r="AZ616" t="s">
        <v>74</v>
      </c>
      <c r="BA616" t="s">
        <v>74</v>
      </c>
      <c r="BB616">
        <v>301</v>
      </c>
      <c r="BC616">
        <v>313</v>
      </c>
      <c r="BD616" t="s">
        <v>74</v>
      </c>
      <c r="BE616" t="s">
        <v>12109</v>
      </c>
      <c r="BF616" t="str">
        <f>HYPERLINK("http://dx.doi.org/10.1016/j.geomorph.2014.12.019","http://dx.doi.org/10.1016/j.geomorph.2014.12.019")</f>
        <v>http://dx.doi.org/10.1016/j.geomorph.2014.12.019</v>
      </c>
      <c r="BG616" t="s">
        <v>74</v>
      </c>
      <c r="BH616" t="s">
        <v>74</v>
      </c>
      <c r="BI616">
        <v>13</v>
      </c>
      <c r="BJ616" t="s">
        <v>795</v>
      </c>
      <c r="BK616" t="s">
        <v>100</v>
      </c>
      <c r="BL616" t="s">
        <v>796</v>
      </c>
      <c r="BM616" t="s">
        <v>12110</v>
      </c>
      <c r="BN616" t="s">
        <v>74</v>
      </c>
      <c r="BO616" t="s">
        <v>4666</v>
      </c>
      <c r="BP616" t="s">
        <v>74</v>
      </c>
      <c r="BQ616" t="s">
        <v>74</v>
      </c>
      <c r="BR616" t="s">
        <v>104</v>
      </c>
      <c r="BS616" t="s">
        <v>12111</v>
      </c>
      <c r="BT616" t="str">
        <f>HYPERLINK("https%3A%2F%2Fwww.webofscience.com%2Fwos%2Fwoscc%2Ffull-record%2FWOS:000348957100026","View Full Record in Web of Science")</f>
        <v>View Full Record in Web of Science</v>
      </c>
    </row>
    <row r="617" spans="1:72" x14ac:dyDescent="0.15">
      <c r="A617" t="s">
        <v>72</v>
      </c>
      <c r="B617" t="s">
        <v>12112</v>
      </c>
      <c r="C617" t="s">
        <v>74</v>
      </c>
      <c r="D617" t="s">
        <v>74</v>
      </c>
      <c r="E617" t="s">
        <v>74</v>
      </c>
      <c r="F617" t="s">
        <v>12113</v>
      </c>
      <c r="G617" t="s">
        <v>74</v>
      </c>
      <c r="H617" t="s">
        <v>74</v>
      </c>
      <c r="I617" t="s">
        <v>12114</v>
      </c>
      <c r="J617" t="s">
        <v>848</v>
      </c>
      <c r="K617" t="s">
        <v>74</v>
      </c>
      <c r="L617" t="s">
        <v>74</v>
      </c>
      <c r="M617" t="s">
        <v>78</v>
      </c>
      <c r="N617" t="s">
        <v>79</v>
      </c>
      <c r="O617" t="s">
        <v>74</v>
      </c>
      <c r="P617" t="s">
        <v>74</v>
      </c>
      <c r="Q617" t="s">
        <v>74</v>
      </c>
      <c r="R617" t="s">
        <v>74</v>
      </c>
      <c r="S617" t="s">
        <v>74</v>
      </c>
      <c r="T617" t="s">
        <v>12115</v>
      </c>
      <c r="U617" t="s">
        <v>12116</v>
      </c>
      <c r="V617" t="s">
        <v>12117</v>
      </c>
      <c r="W617" t="s">
        <v>12118</v>
      </c>
      <c r="X617" t="s">
        <v>12119</v>
      </c>
      <c r="Y617" t="s">
        <v>12120</v>
      </c>
      <c r="Z617" t="s">
        <v>12121</v>
      </c>
      <c r="AA617" t="s">
        <v>12122</v>
      </c>
      <c r="AB617" t="s">
        <v>12123</v>
      </c>
      <c r="AC617" t="s">
        <v>12124</v>
      </c>
      <c r="AD617" t="s">
        <v>12125</v>
      </c>
      <c r="AE617" t="s">
        <v>12126</v>
      </c>
      <c r="AF617" t="s">
        <v>74</v>
      </c>
      <c r="AG617">
        <v>35</v>
      </c>
      <c r="AH617">
        <v>9</v>
      </c>
      <c r="AI617">
        <v>10</v>
      </c>
      <c r="AJ617">
        <v>2</v>
      </c>
      <c r="AK617">
        <v>25</v>
      </c>
      <c r="AL617" t="s">
        <v>815</v>
      </c>
      <c r="AM617" t="s">
        <v>816</v>
      </c>
      <c r="AN617" t="s">
        <v>817</v>
      </c>
      <c r="AO617" t="s">
        <v>858</v>
      </c>
      <c r="AP617" t="s">
        <v>859</v>
      </c>
      <c r="AQ617" t="s">
        <v>74</v>
      </c>
      <c r="AR617" t="s">
        <v>860</v>
      </c>
      <c r="AS617" t="s">
        <v>861</v>
      </c>
      <c r="AT617" t="s">
        <v>12089</v>
      </c>
      <c r="AU617">
        <v>2015</v>
      </c>
      <c r="AV617">
        <v>412</v>
      </c>
      <c r="AW617" t="s">
        <v>74</v>
      </c>
      <c r="AX617" t="s">
        <v>74</v>
      </c>
      <c r="AY617" t="s">
        <v>74</v>
      </c>
      <c r="AZ617" t="s">
        <v>74</v>
      </c>
      <c r="BA617" t="s">
        <v>74</v>
      </c>
      <c r="BB617">
        <v>61</v>
      </c>
      <c r="BC617">
        <v>69</v>
      </c>
      <c r="BD617" t="s">
        <v>74</v>
      </c>
      <c r="BE617" t="s">
        <v>12127</v>
      </c>
      <c r="BF617" t="str">
        <f>HYPERLINK("http://dx.doi.org/10.1016/j.epsl.2014.12.034","http://dx.doi.org/10.1016/j.epsl.2014.12.034")</f>
        <v>http://dx.doi.org/10.1016/j.epsl.2014.12.034</v>
      </c>
      <c r="BG617" t="s">
        <v>74</v>
      </c>
      <c r="BH617" t="s">
        <v>74</v>
      </c>
      <c r="BI617">
        <v>9</v>
      </c>
      <c r="BJ617" t="s">
        <v>863</v>
      </c>
      <c r="BK617" t="s">
        <v>100</v>
      </c>
      <c r="BL617" t="s">
        <v>863</v>
      </c>
      <c r="BM617" t="s">
        <v>12128</v>
      </c>
      <c r="BN617" t="s">
        <v>74</v>
      </c>
      <c r="BO617" t="s">
        <v>248</v>
      </c>
      <c r="BP617" t="s">
        <v>74</v>
      </c>
      <c r="BQ617" t="s">
        <v>74</v>
      </c>
      <c r="BR617" t="s">
        <v>104</v>
      </c>
      <c r="BS617" t="s">
        <v>12129</v>
      </c>
      <c r="BT617" t="str">
        <f>HYPERLINK("https%3A%2F%2Fwww.webofscience.com%2Fwos%2Fwoscc%2Ffull-record%2FWOS:000349424900008","View Full Record in Web of Science")</f>
        <v>View Full Record in Web of Science</v>
      </c>
    </row>
    <row r="618" spans="1:72" x14ac:dyDescent="0.15">
      <c r="A618" t="s">
        <v>72</v>
      </c>
      <c r="B618" t="s">
        <v>12130</v>
      </c>
      <c r="C618" t="s">
        <v>74</v>
      </c>
      <c r="D618" t="s">
        <v>74</v>
      </c>
      <c r="E618" t="s">
        <v>74</v>
      </c>
      <c r="F618" t="s">
        <v>12131</v>
      </c>
      <c r="G618" t="s">
        <v>74</v>
      </c>
      <c r="H618" t="s">
        <v>74</v>
      </c>
      <c r="I618" t="s">
        <v>12132</v>
      </c>
      <c r="J618" t="s">
        <v>848</v>
      </c>
      <c r="K618" t="s">
        <v>74</v>
      </c>
      <c r="L618" t="s">
        <v>74</v>
      </c>
      <c r="M618" t="s">
        <v>78</v>
      </c>
      <c r="N618" t="s">
        <v>79</v>
      </c>
      <c r="O618" t="s">
        <v>74</v>
      </c>
      <c r="P618" t="s">
        <v>74</v>
      </c>
      <c r="Q618" t="s">
        <v>74</v>
      </c>
      <c r="R618" t="s">
        <v>74</v>
      </c>
      <c r="S618" t="s">
        <v>74</v>
      </c>
      <c r="T618" t="s">
        <v>12133</v>
      </c>
      <c r="U618" t="s">
        <v>12134</v>
      </c>
      <c r="V618" t="s">
        <v>12135</v>
      </c>
      <c r="W618" t="s">
        <v>12136</v>
      </c>
      <c r="X618" t="s">
        <v>12137</v>
      </c>
      <c r="Y618" t="s">
        <v>12138</v>
      </c>
      <c r="Z618" t="s">
        <v>12139</v>
      </c>
      <c r="AA618" t="s">
        <v>74</v>
      </c>
      <c r="AB618" t="s">
        <v>74</v>
      </c>
      <c r="AC618" t="s">
        <v>12140</v>
      </c>
      <c r="AD618" t="s">
        <v>12141</v>
      </c>
      <c r="AE618" t="s">
        <v>12142</v>
      </c>
      <c r="AF618" t="s">
        <v>74</v>
      </c>
      <c r="AG618">
        <v>75</v>
      </c>
      <c r="AH618">
        <v>317</v>
      </c>
      <c r="AI618">
        <v>372</v>
      </c>
      <c r="AJ618">
        <v>5</v>
      </c>
      <c r="AK618">
        <v>165</v>
      </c>
      <c r="AL618" t="s">
        <v>815</v>
      </c>
      <c r="AM618" t="s">
        <v>816</v>
      </c>
      <c r="AN618" t="s">
        <v>817</v>
      </c>
      <c r="AO618" t="s">
        <v>858</v>
      </c>
      <c r="AP618" t="s">
        <v>859</v>
      </c>
      <c r="AQ618" t="s">
        <v>74</v>
      </c>
      <c r="AR618" t="s">
        <v>860</v>
      </c>
      <c r="AS618" t="s">
        <v>861</v>
      </c>
      <c r="AT618" t="s">
        <v>12089</v>
      </c>
      <c r="AU618">
        <v>2015</v>
      </c>
      <c r="AV618">
        <v>412</v>
      </c>
      <c r="AW618" t="s">
        <v>74</v>
      </c>
      <c r="AX618" t="s">
        <v>74</v>
      </c>
      <c r="AY618" t="s">
        <v>74</v>
      </c>
      <c r="AZ618" t="s">
        <v>74</v>
      </c>
      <c r="BA618" t="s">
        <v>74</v>
      </c>
      <c r="BB618">
        <v>112</v>
      </c>
      <c r="BC618">
        <v>121</v>
      </c>
      <c r="BD618" t="s">
        <v>74</v>
      </c>
      <c r="BE618" t="s">
        <v>12143</v>
      </c>
      <c r="BF618" t="str">
        <f>HYPERLINK("http://dx.doi.org/10.1016/j.epsl.2014.12.035","http://dx.doi.org/10.1016/j.epsl.2014.12.035")</f>
        <v>http://dx.doi.org/10.1016/j.epsl.2014.12.035</v>
      </c>
      <c r="BG618" t="s">
        <v>74</v>
      </c>
      <c r="BH618" t="s">
        <v>74</v>
      </c>
      <c r="BI618">
        <v>10</v>
      </c>
      <c r="BJ618" t="s">
        <v>863</v>
      </c>
      <c r="BK618" t="s">
        <v>100</v>
      </c>
      <c r="BL618" t="s">
        <v>863</v>
      </c>
      <c r="BM618" t="s">
        <v>12128</v>
      </c>
      <c r="BN618" t="s">
        <v>74</v>
      </c>
      <c r="BO618" t="s">
        <v>2481</v>
      </c>
      <c r="BP618" t="s">
        <v>4339</v>
      </c>
      <c r="BQ618" t="s">
        <v>4340</v>
      </c>
      <c r="BR618" t="s">
        <v>104</v>
      </c>
      <c r="BS618" t="s">
        <v>12144</v>
      </c>
      <c r="BT618" t="str">
        <f>HYPERLINK("https%3A%2F%2Fwww.webofscience.com%2Fwos%2Fwoscc%2Ffull-record%2FWOS:000349424900013","View Full Record in Web of Science")</f>
        <v>View Full Record in Web of Science</v>
      </c>
    </row>
    <row r="619" spans="1:72" x14ac:dyDescent="0.15">
      <c r="A619" t="s">
        <v>72</v>
      </c>
      <c r="B619" t="s">
        <v>12145</v>
      </c>
      <c r="C619" t="s">
        <v>74</v>
      </c>
      <c r="D619" t="s">
        <v>74</v>
      </c>
      <c r="E619" t="s">
        <v>74</v>
      </c>
      <c r="F619" t="s">
        <v>12146</v>
      </c>
      <c r="G619" t="s">
        <v>74</v>
      </c>
      <c r="H619" t="s">
        <v>74</v>
      </c>
      <c r="I619" t="s">
        <v>12147</v>
      </c>
      <c r="J619" t="s">
        <v>774</v>
      </c>
      <c r="K619" t="s">
        <v>74</v>
      </c>
      <c r="L619" t="s">
        <v>74</v>
      </c>
      <c r="M619" t="s">
        <v>78</v>
      </c>
      <c r="N619" t="s">
        <v>79</v>
      </c>
      <c r="O619" t="s">
        <v>74</v>
      </c>
      <c r="P619" t="s">
        <v>74</v>
      </c>
      <c r="Q619" t="s">
        <v>74</v>
      </c>
      <c r="R619" t="s">
        <v>74</v>
      </c>
      <c r="S619" t="s">
        <v>74</v>
      </c>
      <c r="T619" t="s">
        <v>12148</v>
      </c>
      <c r="U619" t="s">
        <v>12149</v>
      </c>
      <c r="V619" t="s">
        <v>12150</v>
      </c>
      <c r="W619" t="s">
        <v>12151</v>
      </c>
      <c r="X619" t="s">
        <v>12152</v>
      </c>
      <c r="Y619" t="s">
        <v>12153</v>
      </c>
      <c r="Z619" t="s">
        <v>12154</v>
      </c>
      <c r="AA619" t="s">
        <v>12155</v>
      </c>
      <c r="AB619" t="s">
        <v>12156</v>
      </c>
      <c r="AC619" t="s">
        <v>12157</v>
      </c>
      <c r="AD619" t="s">
        <v>12158</v>
      </c>
      <c r="AE619" t="s">
        <v>12159</v>
      </c>
      <c r="AF619" t="s">
        <v>74</v>
      </c>
      <c r="AG619">
        <v>94</v>
      </c>
      <c r="AH619">
        <v>15</v>
      </c>
      <c r="AI619">
        <v>16</v>
      </c>
      <c r="AJ619">
        <v>2</v>
      </c>
      <c r="AK619">
        <v>42</v>
      </c>
      <c r="AL619" t="s">
        <v>786</v>
      </c>
      <c r="AM619" t="s">
        <v>787</v>
      </c>
      <c r="AN619" t="s">
        <v>788</v>
      </c>
      <c r="AO619" t="s">
        <v>789</v>
      </c>
      <c r="AP619" t="s">
        <v>74</v>
      </c>
      <c r="AQ619" t="s">
        <v>74</v>
      </c>
      <c r="AR619" t="s">
        <v>791</v>
      </c>
      <c r="AS619" t="s">
        <v>792</v>
      </c>
      <c r="AT619" t="s">
        <v>12089</v>
      </c>
      <c r="AU619">
        <v>2015</v>
      </c>
      <c r="AV619">
        <v>110</v>
      </c>
      <c r="AW619" t="s">
        <v>74</v>
      </c>
      <c r="AX619" t="s">
        <v>74</v>
      </c>
      <c r="AY619" t="s">
        <v>74</v>
      </c>
      <c r="AZ619" t="s">
        <v>74</v>
      </c>
      <c r="BA619" t="s">
        <v>74</v>
      </c>
      <c r="BB619">
        <v>114</v>
      </c>
      <c r="BC619">
        <v>130</v>
      </c>
      <c r="BD619" t="s">
        <v>74</v>
      </c>
      <c r="BE619" t="s">
        <v>12160</v>
      </c>
      <c r="BF619" t="str">
        <f>HYPERLINK("http://dx.doi.org/10.1016/j.quascirev.2014.11.016","http://dx.doi.org/10.1016/j.quascirev.2014.11.016")</f>
        <v>http://dx.doi.org/10.1016/j.quascirev.2014.11.016</v>
      </c>
      <c r="BG619" t="s">
        <v>74</v>
      </c>
      <c r="BH619" t="s">
        <v>74</v>
      </c>
      <c r="BI619">
        <v>17</v>
      </c>
      <c r="BJ619" t="s">
        <v>795</v>
      </c>
      <c r="BK619" t="s">
        <v>100</v>
      </c>
      <c r="BL619" t="s">
        <v>796</v>
      </c>
      <c r="BM619" t="s">
        <v>12161</v>
      </c>
      <c r="BN619" t="s">
        <v>74</v>
      </c>
      <c r="BO619" t="s">
        <v>74</v>
      </c>
      <c r="BP619" t="s">
        <v>74</v>
      </c>
      <c r="BQ619" t="s">
        <v>74</v>
      </c>
      <c r="BR619" t="s">
        <v>104</v>
      </c>
      <c r="BS619" t="s">
        <v>12162</v>
      </c>
      <c r="BT619" t="str">
        <f>HYPERLINK("https%3A%2F%2Fwww.webofscience.com%2Fwos%2Fwoscc%2Ffull-record%2FWOS:000349730400009","View Full Record in Web of Science")</f>
        <v>View Full Record in Web of Science</v>
      </c>
    </row>
    <row r="620" spans="1:72" x14ac:dyDescent="0.15">
      <c r="A620" t="s">
        <v>72</v>
      </c>
      <c r="B620" t="s">
        <v>12163</v>
      </c>
      <c r="C620" t="s">
        <v>74</v>
      </c>
      <c r="D620" t="s">
        <v>74</v>
      </c>
      <c r="E620" t="s">
        <v>74</v>
      </c>
      <c r="F620" t="s">
        <v>12164</v>
      </c>
      <c r="G620" t="s">
        <v>74</v>
      </c>
      <c r="H620" t="s">
        <v>74</v>
      </c>
      <c r="I620" t="s">
        <v>12165</v>
      </c>
      <c r="J620" t="s">
        <v>12166</v>
      </c>
      <c r="K620" t="s">
        <v>74</v>
      </c>
      <c r="L620" t="s">
        <v>74</v>
      </c>
      <c r="M620" t="s">
        <v>78</v>
      </c>
      <c r="N620" t="s">
        <v>79</v>
      </c>
      <c r="O620" t="s">
        <v>74</v>
      </c>
      <c r="P620" t="s">
        <v>74</v>
      </c>
      <c r="Q620" t="s">
        <v>74</v>
      </c>
      <c r="R620" t="s">
        <v>74</v>
      </c>
      <c r="S620" t="s">
        <v>74</v>
      </c>
      <c r="T620" t="s">
        <v>12167</v>
      </c>
      <c r="U620" t="s">
        <v>12168</v>
      </c>
      <c r="V620" t="s">
        <v>12169</v>
      </c>
      <c r="W620" t="s">
        <v>12170</v>
      </c>
      <c r="X620" t="s">
        <v>12171</v>
      </c>
      <c r="Y620" t="s">
        <v>12172</v>
      </c>
      <c r="Z620" t="s">
        <v>12173</v>
      </c>
      <c r="AA620" t="s">
        <v>12174</v>
      </c>
      <c r="AB620" t="s">
        <v>12175</v>
      </c>
      <c r="AC620" t="s">
        <v>12176</v>
      </c>
      <c r="AD620" t="s">
        <v>12177</v>
      </c>
      <c r="AE620" t="s">
        <v>12178</v>
      </c>
      <c r="AF620" t="s">
        <v>74</v>
      </c>
      <c r="AG620">
        <v>37</v>
      </c>
      <c r="AH620">
        <v>22</v>
      </c>
      <c r="AI620">
        <v>22</v>
      </c>
      <c r="AJ620">
        <v>1</v>
      </c>
      <c r="AK620">
        <v>16</v>
      </c>
      <c r="AL620" t="s">
        <v>786</v>
      </c>
      <c r="AM620" t="s">
        <v>787</v>
      </c>
      <c r="AN620" t="s">
        <v>788</v>
      </c>
      <c r="AO620" t="s">
        <v>12179</v>
      </c>
      <c r="AP620" t="s">
        <v>12180</v>
      </c>
      <c r="AQ620" t="s">
        <v>74</v>
      </c>
      <c r="AR620" t="s">
        <v>12181</v>
      </c>
      <c r="AS620" t="s">
        <v>12182</v>
      </c>
      <c r="AT620" t="s">
        <v>12089</v>
      </c>
      <c r="AU620">
        <v>2015</v>
      </c>
      <c r="AV620">
        <v>42</v>
      </c>
      <c r="AW620">
        <v>3</v>
      </c>
      <c r="AX620" t="s">
        <v>74</v>
      </c>
      <c r="AY620" t="s">
        <v>74</v>
      </c>
      <c r="AZ620" t="s">
        <v>74</v>
      </c>
      <c r="BA620" t="s">
        <v>74</v>
      </c>
      <c r="BB620">
        <v>1050</v>
      </c>
      <c r="BC620">
        <v>1064</v>
      </c>
      <c r="BD620" t="s">
        <v>74</v>
      </c>
      <c r="BE620" t="s">
        <v>12183</v>
      </c>
      <c r="BF620" t="str">
        <f>HYPERLINK("http://dx.doi.org/10.1016/j.eswa.2014.09.029","http://dx.doi.org/10.1016/j.eswa.2014.09.029")</f>
        <v>http://dx.doi.org/10.1016/j.eswa.2014.09.029</v>
      </c>
      <c r="BG620" t="s">
        <v>74</v>
      </c>
      <c r="BH620" t="s">
        <v>74</v>
      </c>
      <c r="BI620">
        <v>15</v>
      </c>
      <c r="BJ620" t="s">
        <v>12184</v>
      </c>
      <c r="BK620" t="s">
        <v>100</v>
      </c>
      <c r="BL620" t="s">
        <v>12185</v>
      </c>
      <c r="BM620" t="s">
        <v>12186</v>
      </c>
      <c r="BN620" t="s">
        <v>74</v>
      </c>
      <c r="BO620" t="s">
        <v>74</v>
      </c>
      <c r="BP620" t="s">
        <v>74</v>
      </c>
      <c r="BQ620" t="s">
        <v>74</v>
      </c>
      <c r="BR620" t="s">
        <v>104</v>
      </c>
      <c r="BS620" t="s">
        <v>12187</v>
      </c>
      <c r="BT620" t="str">
        <f>HYPERLINK("https%3A%2F%2Fwww.webofscience.com%2Fwos%2Fwoscc%2Ffull-record%2FWOS:000345734700008","View Full Record in Web of Science")</f>
        <v>View Full Record in Web of Science</v>
      </c>
    </row>
    <row r="621" spans="1:72" x14ac:dyDescent="0.15">
      <c r="A621" t="s">
        <v>72</v>
      </c>
      <c r="B621" t="s">
        <v>12188</v>
      </c>
      <c r="C621" t="s">
        <v>74</v>
      </c>
      <c r="D621" t="s">
        <v>74</v>
      </c>
      <c r="E621" t="s">
        <v>74</v>
      </c>
      <c r="F621" t="s">
        <v>12189</v>
      </c>
      <c r="G621" t="s">
        <v>74</v>
      </c>
      <c r="H621" t="s">
        <v>74</v>
      </c>
      <c r="I621" t="s">
        <v>12190</v>
      </c>
      <c r="J621" t="s">
        <v>4306</v>
      </c>
      <c r="K621" t="s">
        <v>74</v>
      </c>
      <c r="L621" t="s">
        <v>74</v>
      </c>
      <c r="M621" t="s">
        <v>78</v>
      </c>
      <c r="N621" t="s">
        <v>79</v>
      </c>
      <c r="O621" t="s">
        <v>74</v>
      </c>
      <c r="P621" t="s">
        <v>74</v>
      </c>
      <c r="Q621" t="s">
        <v>74</v>
      </c>
      <c r="R621" t="s">
        <v>74</v>
      </c>
      <c r="S621" t="s">
        <v>74</v>
      </c>
      <c r="T621" t="s">
        <v>74</v>
      </c>
      <c r="U621" t="s">
        <v>12191</v>
      </c>
      <c r="V621" t="s">
        <v>12192</v>
      </c>
      <c r="W621" t="s">
        <v>12193</v>
      </c>
      <c r="X621" t="s">
        <v>12194</v>
      </c>
      <c r="Y621" t="s">
        <v>12195</v>
      </c>
      <c r="Z621" t="s">
        <v>12196</v>
      </c>
      <c r="AA621" t="s">
        <v>12197</v>
      </c>
      <c r="AB621" t="s">
        <v>12198</v>
      </c>
      <c r="AC621" t="s">
        <v>12199</v>
      </c>
      <c r="AD621" t="s">
        <v>12200</v>
      </c>
      <c r="AE621" t="s">
        <v>12201</v>
      </c>
      <c r="AF621" t="s">
        <v>74</v>
      </c>
      <c r="AG621">
        <v>101</v>
      </c>
      <c r="AH621">
        <v>146</v>
      </c>
      <c r="AI621">
        <v>158</v>
      </c>
      <c r="AJ621">
        <v>9</v>
      </c>
      <c r="AK621">
        <v>170</v>
      </c>
      <c r="AL621" t="s">
        <v>2539</v>
      </c>
      <c r="AM621" t="s">
        <v>378</v>
      </c>
      <c r="AN621" t="s">
        <v>4315</v>
      </c>
      <c r="AO621" t="s">
        <v>4316</v>
      </c>
      <c r="AP621" t="s">
        <v>4317</v>
      </c>
      <c r="AQ621" t="s">
        <v>74</v>
      </c>
      <c r="AR621" t="s">
        <v>4306</v>
      </c>
      <c r="AS621" t="s">
        <v>4318</v>
      </c>
      <c r="AT621" t="s">
        <v>12202</v>
      </c>
      <c r="AU621">
        <v>2015</v>
      </c>
      <c r="AV621">
        <v>518</v>
      </c>
      <c r="AW621">
        <v>7538</v>
      </c>
      <c r="AX621" t="s">
        <v>74</v>
      </c>
      <c r="AY621" t="s">
        <v>74</v>
      </c>
      <c r="AZ621" t="s">
        <v>74</v>
      </c>
      <c r="BA621" t="s">
        <v>74</v>
      </c>
      <c r="BB621">
        <v>219</v>
      </c>
      <c r="BC621" t="s">
        <v>12203</v>
      </c>
      <c r="BD621" t="s">
        <v>74</v>
      </c>
      <c r="BE621" t="s">
        <v>12204</v>
      </c>
      <c r="BF621" t="str">
        <f>HYPERLINK("http://dx.doi.org/10.1038/nature14155","http://dx.doi.org/10.1038/nature14155")</f>
        <v>http://dx.doi.org/10.1038/nature14155</v>
      </c>
      <c r="BG621" t="s">
        <v>74</v>
      </c>
      <c r="BH621" t="s">
        <v>74</v>
      </c>
      <c r="BI621">
        <v>18</v>
      </c>
      <c r="BJ621" t="s">
        <v>429</v>
      </c>
      <c r="BK621" t="s">
        <v>100</v>
      </c>
      <c r="BL621" t="s">
        <v>430</v>
      </c>
      <c r="BM621" t="s">
        <v>12205</v>
      </c>
      <c r="BN621">
        <v>25673416</v>
      </c>
      <c r="BO621" t="s">
        <v>408</v>
      </c>
      <c r="BP621" t="s">
        <v>74</v>
      </c>
      <c r="BQ621" t="s">
        <v>74</v>
      </c>
      <c r="BR621" t="s">
        <v>104</v>
      </c>
      <c r="BS621" t="s">
        <v>12206</v>
      </c>
      <c r="BT621" t="str">
        <f>HYPERLINK("https%3A%2F%2Fwww.webofscience.com%2Fwos%2Fwoscc%2Ffull-record%2FWOS:000349190300035","View Full Record in Web of Science")</f>
        <v>View Full Record in Web of Science</v>
      </c>
    </row>
    <row r="622" spans="1:72" x14ac:dyDescent="0.15">
      <c r="A622" t="s">
        <v>72</v>
      </c>
      <c r="B622" t="s">
        <v>2590</v>
      </c>
      <c r="C622" t="s">
        <v>74</v>
      </c>
      <c r="D622" t="s">
        <v>74</v>
      </c>
      <c r="E622" t="s">
        <v>74</v>
      </c>
      <c r="F622" t="s">
        <v>2591</v>
      </c>
      <c r="G622" t="s">
        <v>74</v>
      </c>
      <c r="H622" t="s">
        <v>74</v>
      </c>
      <c r="I622" t="s">
        <v>12207</v>
      </c>
      <c r="J622" t="s">
        <v>2065</v>
      </c>
      <c r="K622" t="s">
        <v>74</v>
      </c>
      <c r="L622" t="s">
        <v>74</v>
      </c>
      <c r="M622" t="s">
        <v>78</v>
      </c>
      <c r="N622" t="s">
        <v>79</v>
      </c>
      <c r="O622" t="s">
        <v>74</v>
      </c>
      <c r="P622" t="s">
        <v>74</v>
      </c>
      <c r="Q622" t="s">
        <v>74</v>
      </c>
      <c r="R622" t="s">
        <v>74</v>
      </c>
      <c r="S622" t="s">
        <v>74</v>
      </c>
      <c r="T622" t="s">
        <v>12208</v>
      </c>
      <c r="U622" t="s">
        <v>12209</v>
      </c>
      <c r="V622" t="s">
        <v>12210</v>
      </c>
      <c r="W622" t="s">
        <v>2596</v>
      </c>
      <c r="X622" t="s">
        <v>12211</v>
      </c>
      <c r="Y622" t="s">
        <v>2598</v>
      </c>
      <c r="Z622" t="s">
        <v>2599</v>
      </c>
      <c r="AA622" t="s">
        <v>74</v>
      </c>
      <c r="AB622" t="s">
        <v>74</v>
      </c>
      <c r="AC622" t="s">
        <v>12212</v>
      </c>
      <c r="AD622" t="s">
        <v>12213</v>
      </c>
      <c r="AE622" t="s">
        <v>12214</v>
      </c>
      <c r="AF622" t="s">
        <v>74</v>
      </c>
      <c r="AG622">
        <v>28</v>
      </c>
      <c r="AH622">
        <v>3</v>
      </c>
      <c r="AI622">
        <v>3</v>
      </c>
      <c r="AJ622">
        <v>1</v>
      </c>
      <c r="AK622">
        <v>6</v>
      </c>
      <c r="AL622" t="s">
        <v>1621</v>
      </c>
      <c r="AM622" t="s">
        <v>787</v>
      </c>
      <c r="AN622" t="s">
        <v>1622</v>
      </c>
      <c r="AO622" t="s">
        <v>2075</v>
      </c>
      <c r="AP622" t="s">
        <v>2076</v>
      </c>
      <c r="AQ622" t="s">
        <v>74</v>
      </c>
      <c r="AR622" t="s">
        <v>2077</v>
      </c>
      <c r="AS622" t="s">
        <v>2078</v>
      </c>
      <c r="AT622" t="s">
        <v>12215</v>
      </c>
      <c r="AU622">
        <v>2015</v>
      </c>
      <c r="AV622">
        <v>447</v>
      </c>
      <c r="AW622">
        <v>1</v>
      </c>
      <c r="AX622" t="s">
        <v>74</v>
      </c>
      <c r="AY622" t="s">
        <v>74</v>
      </c>
      <c r="AZ622" t="s">
        <v>74</v>
      </c>
      <c r="BA622" t="s">
        <v>74</v>
      </c>
      <c r="BB622" t="s">
        <v>2603</v>
      </c>
      <c r="BC622" t="s">
        <v>12216</v>
      </c>
      <c r="BD622" t="s">
        <v>74</v>
      </c>
      <c r="BE622" t="s">
        <v>12217</v>
      </c>
      <c r="BF622" t="str">
        <f>HYPERLINK("http://dx.doi.org/10.1093/mnrasl/slu172","http://dx.doi.org/10.1093/mnrasl/slu172")</f>
        <v>http://dx.doi.org/10.1093/mnrasl/slu172</v>
      </c>
      <c r="BG622" t="s">
        <v>74</v>
      </c>
      <c r="BH622" t="s">
        <v>74</v>
      </c>
      <c r="BI622">
        <v>5</v>
      </c>
      <c r="BJ622" t="s">
        <v>246</v>
      </c>
      <c r="BK622" t="s">
        <v>100</v>
      </c>
      <c r="BL622" t="s">
        <v>246</v>
      </c>
      <c r="BM622" t="s">
        <v>12218</v>
      </c>
      <c r="BN622" t="s">
        <v>74</v>
      </c>
      <c r="BO622" t="s">
        <v>2201</v>
      </c>
      <c r="BP622" t="s">
        <v>74</v>
      </c>
      <c r="BQ622" t="s">
        <v>74</v>
      </c>
      <c r="BR622" t="s">
        <v>104</v>
      </c>
      <c r="BS622" t="s">
        <v>12219</v>
      </c>
      <c r="BT622" t="str">
        <f>HYPERLINK("https%3A%2F%2Fwww.webofscience.com%2Fwos%2Fwoscc%2Ffull-record%2FWOS:000360552300008","View Full Record in Web of Science")</f>
        <v>View Full Record in Web of Science</v>
      </c>
    </row>
    <row r="623" spans="1:72" x14ac:dyDescent="0.15">
      <c r="A623" t="s">
        <v>72</v>
      </c>
      <c r="B623" t="s">
        <v>2285</v>
      </c>
      <c r="C623" t="s">
        <v>74</v>
      </c>
      <c r="D623" t="s">
        <v>74</v>
      </c>
      <c r="E623" t="s">
        <v>74</v>
      </c>
      <c r="F623" t="s">
        <v>2286</v>
      </c>
      <c r="G623" t="s">
        <v>74</v>
      </c>
      <c r="H623" t="s">
        <v>74</v>
      </c>
      <c r="I623" t="s">
        <v>12220</v>
      </c>
      <c r="J623" t="s">
        <v>2065</v>
      </c>
      <c r="K623" t="s">
        <v>74</v>
      </c>
      <c r="L623" t="s">
        <v>74</v>
      </c>
      <c r="M623" t="s">
        <v>78</v>
      </c>
      <c r="N623" t="s">
        <v>79</v>
      </c>
      <c r="O623" t="s">
        <v>74</v>
      </c>
      <c r="P623" t="s">
        <v>74</v>
      </c>
      <c r="Q623" t="s">
        <v>74</v>
      </c>
      <c r="R623" t="s">
        <v>74</v>
      </c>
      <c r="S623" t="s">
        <v>74</v>
      </c>
      <c r="T623" t="s">
        <v>12221</v>
      </c>
      <c r="U623" t="s">
        <v>12222</v>
      </c>
      <c r="V623" t="s">
        <v>12223</v>
      </c>
      <c r="W623" t="s">
        <v>12224</v>
      </c>
      <c r="X623" t="s">
        <v>12225</v>
      </c>
      <c r="Y623" t="s">
        <v>12226</v>
      </c>
      <c r="Z623" t="s">
        <v>12227</v>
      </c>
      <c r="AA623" t="s">
        <v>2296</v>
      </c>
      <c r="AB623" t="s">
        <v>2297</v>
      </c>
      <c r="AC623" t="s">
        <v>12228</v>
      </c>
      <c r="AD623" t="s">
        <v>12229</v>
      </c>
      <c r="AE623" t="s">
        <v>12230</v>
      </c>
      <c r="AF623" t="s">
        <v>74</v>
      </c>
      <c r="AG623">
        <v>67</v>
      </c>
      <c r="AH623">
        <v>22</v>
      </c>
      <c r="AI623">
        <v>24</v>
      </c>
      <c r="AJ623">
        <v>0</v>
      </c>
      <c r="AK623">
        <v>8</v>
      </c>
      <c r="AL623" t="s">
        <v>1621</v>
      </c>
      <c r="AM623" t="s">
        <v>787</v>
      </c>
      <c r="AN623" t="s">
        <v>1622</v>
      </c>
      <c r="AO623" t="s">
        <v>2075</v>
      </c>
      <c r="AP623" t="s">
        <v>2076</v>
      </c>
      <c r="AQ623" t="s">
        <v>74</v>
      </c>
      <c r="AR623" t="s">
        <v>2077</v>
      </c>
      <c r="AS623" t="s">
        <v>2078</v>
      </c>
      <c r="AT623" t="s">
        <v>12215</v>
      </c>
      <c r="AU623">
        <v>2015</v>
      </c>
      <c r="AV623">
        <v>447</v>
      </c>
      <c r="AW623">
        <v>1</v>
      </c>
      <c r="AX623" t="s">
        <v>74</v>
      </c>
      <c r="AY623" t="s">
        <v>74</v>
      </c>
      <c r="AZ623" t="s">
        <v>74</v>
      </c>
      <c r="BA623" t="s">
        <v>74</v>
      </c>
      <c r="BB623">
        <v>479</v>
      </c>
      <c r="BC623">
        <v>485</v>
      </c>
      <c r="BD623" t="s">
        <v>74</v>
      </c>
      <c r="BE623" t="s">
        <v>12231</v>
      </c>
      <c r="BF623" t="str">
        <f>HYPERLINK("http://dx.doi.org/10.1093/mnras/stu2470","http://dx.doi.org/10.1093/mnras/stu2470")</f>
        <v>http://dx.doi.org/10.1093/mnras/stu2470</v>
      </c>
      <c r="BG623" t="s">
        <v>74</v>
      </c>
      <c r="BH623" t="s">
        <v>74</v>
      </c>
      <c r="BI623">
        <v>7</v>
      </c>
      <c r="BJ623" t="s">
        <v>246</v>
      </c>
      <c r="BK623" t="s">
        <v>100</v>
      </c>
      <c r="BL623" t="s">
        <v>246</v>
      </c>
      <c r="BM623" t="s">
        <v>12232</v>
      </c>
      <c r="BN623" t="s">
        <v>74</v>
      </c>
      <c r="BO623" t="s">
        <v>12233</v>
      </c>
      <c r="BP623" t="s">
        <v>74</v>
      </c>
      <c r="BQ623" t="s">
        <v>74</v>
      </c>
      <c r="BR623" t="s">
        <v>104</v>
      </c>
      <c r="BS623" t="s">
        <v>12234</v>
      </c>
      <c r="BT623" t="str">
        <f>HYPERLINK("https%3A%2F%2Fwww.webofscience.com%2Fwos%2Fwoscc%2Ffull-record%2FWOS:000350272700037","View Full Record in Web of Science")</f>
        <v>View Full Record in Web of Science</v>
      </c>
    </row>
    <row r="624" spans="1:72" x14ac:dyDescent="0.15">
      <c r="A624" t="s">
        <v>72</v>
      </c>
      <c r="B624" t="s">
        <v>12235</v>
      </c>
      <c r="C624" t="s">
        <v>74</v>
      </c>
      <c r="D624" t="s">
        <v>74</v>
      </c>
      <c r="E624" t="s">
        <v>74</v>
      </c>
      <c r="F624" t="s">
        <v>12236</v>
      </c>
      <c r="G624" t="s">
        <v>74</v>
      </c>
      <c r="H624" t="s">
        <v>12237</v>
      </c>
      <c r="I624" t="s">
        <v>12238</v>
      </c>
      <c r="J624" t="s">
        <v>515</v>
      </c>
      <c r="K624" t="s">
        <v>74</v>
      </c>
      <c r="L624" t="s">
        <v>74</v>
      </c>
      <c r="M624" t="s">
        <v>78</v>
      </c>
      <c r="N624" t="s">
        <v>79</v>
      </c>
      <c r="O624" t="s">
        <v>74</v>
      </c>
      <c r="P624" t="s">
        <v>74</v>
      </c>
      <c r="Q624" t="s">
        <v>74</v>
      </c>
      <c r="R624" t="s">
        <v>74</v>
      </c>
      <c r="S624" t="s">
        <v>74</v>
      </c>
      <c r="T624" t="s">
        <v>12239</v>
      </c>
      <c r="U624" t="s">
        <v>12240</v>
      </c>
      <c r="V624" t="s">
        <v>12241</v>
      </c>
      <c r="W624" t="s">
        <v>12242</v>
      </c>
      <c r="X624" t="s">
        <v>12243</v>
      </c>
      <c r="Y624" t="s">
        <v>12244</v>
      </c>
      <c r="Z624" t="s">
        <v>12245</v>
      </c>
      <c r="AA624" t="s">
        <v>12246</v>
      </c>
      <c r="AB624" t="s">
        <v>12247</v>
      </c>
      <c r="AC624" t="s">
        <v>74</v>
      </c>
      <c r="AD624" t="s">
        <v>74</v>
      </c>
      <c r="AE624" t="s">
        <v>74</v>
      </c>
      <c r="AF624" t="s">
        <v>74</v>
      </c>
      <c r="AG624">
        <v>17</v>
      </c>
      <c r="AH624">
        <v>7</v>
      </c>
      <c r="AI624">
        <v>11</v>
      </c>
      <c r="AJ624">
        <v>0</v>
      </c>
      <c r="AK624">
        <v>10</v>
      </c>
      <c r="AL624" t="s">
        <v>527</v>
      </c>
      <c r="AM624" t="s">
        <v>528</v>
      </c>
      <c r="AN624" t="s">
        <v>529</v>
      </c>
      <c r="AO624" t="s">
        <v>530</v>
      </c>
      <c r="AP624" t="s">
        <v>74</v>
      </c>
      <c r="AQ624" t="s">
        <v>74</v>
      </c>
      <c r="AR624" t="s">
        <v>531</v>
      </c>
      <c r="AS624" t="s">
        <v>532</v>
      </c>
      <c r="AT624" t="s">
        <v>12248</v>
      </c>
      <c r="AU624">
        <v>2015</v>
      </c>
      <c r="AV624">
        <v>108</v>
      </c>
      <c r="AW624">
        <v>3</v>
      </c>
      <c r="AX624" t="s">
        <v>74</v>
      </c>
      <c r="AY624" t="s">
        <v>74</v>
      </c>
      <c r="AZ624" t="s">
        <v>74</v>
      </c>
      <c r="BA624" t="s">
        <v>74</v>
      </c>
      <c r="BB624">
        <v>409</v>
      </c>
      <c r="BC624">
        <v>412</v>
      </c>
      <c r="BD624" t="s">
        <v>74</v>
      </c>
      <c r="BE624" t="s">
        <v>74</v>
      </c>
      <c r="BF624" t="s">
        <v>74</v>
      </c>
      <c r="BG624" t="s">
        <v>74</v>
      </c>
      <c r="BH624" t="s">
        <v>74</v>
      </c>
      <c r="BI624">
        <v>4</v>
      </c>
      <c r="BJ624" t="s">
        <v>429</v>
      </c>
      <c r="BK624" t="s">
        <v>100</v>
      </c>
      <c r="BL624" t="s">
        <v>430</v>
      </c>
      <c r="BM624" t="s">
        <v>12249</v>
      </c>
      <c r="BN624" t="s">
        <v>74</v>
      </c>
      <c r="BO624" t="s">
        <v>74</v>
      </c>
      <c r="BP624" t="s">
        <v>74</v>
      </c>
      <c r="BQ624" t="s">
        <v>74</v>
      </c>
      <c r="BR624" t="s">
        <v>104</v>
      </c>
      <c r="BS624" t="s">
        <v>12250</v>
      </c>
      <c r="BT624" t="str">
        <f>HYPERLINK("https%3A%2F%2Fwww.webofscience.com%2Fwos%2Fwoscc%2Ffull-record%2FWOS:000350265900017","View Full Record in Web of Science")</f>
        <v>View Full Record in Web of Science</v>
      </c>
    </row>
    <row r="625" spans="1:72" x14ac:dyDescent="0.15">
      <c r="A625" t="s">
        <v>72</v>
      </c>
      <c r="B625" t="s">
        <v>12251</v>
      </c>
      <c r="C625" t="s">
        <v>74</v>
      </c>
      <c r="D625" t="s">
        <v>74</v>
      </c>
      <c r="E625" t="s">
        <v>74</v>
      </c>
      <c r="F625" t="s">
        <v>12252</v>
      </c>
      <c r="G625" t="s">
        <v>74</v>
      </c>
      <c r="H625" t="s">
        <v>74</v>
      </c>
      <c r="I625" t="s">
        <v>12253</v>
      </c>
      <c r="J625" t="s">
        <v>365</v>
      </c>
      <c r="K625" t="s">
        <v>74</v>
      </c>
      <c r="L625" t="s">
        <v>74</v>
      </c>
      <c r="M625" t="s">
        <v>78</v>
      </c>
      <c r="N625" t="s">
        <v>79</v>
      </c>
      <c r="O625" t="s">
        <v>74</v>
      </c>
      <c r="P625" t="s">
        <v>74</v>
      </c>
      <c r="Q625" t="s">
        <v>74</v>
      </c>
      <c r="R625" t="s">
        <v>74</v>
      </c>
      <c r="S625" t="s">
        <v>74</v>
      </c>
      <c r="T625" t="s">
        <v>12254</v>
      </c>
      <c r="U625" t="s">
        <v>12255</v>
      </c>
      <c r="V625" t="s">
        <v>12256</v>
      </c>
      <c r="W625" t="s">
        <v>12257</v>
      </c>
      <c r="X625" t="s">
        <v>12258</v>
      </c>
      <c r="Y625" t="s">
        <v>12259</v>
      </c>
      <c r="Z625" t="s">
        <v>12260</v>
      </c>
      <c r="AA625" t="s">
        <v>74</v>
      </c>
      <c r="AB625" t="s">
        <v>12261</v>
      </c>
      <c r="AC625" t="s">
        <v>12262</v>
      </c>
      <c r="AD625" t="s">
        <v>12263</v>
      </c>
      <c r="AE625" t="s">
        <v>12264</v>
      </c>
      <c r="AF625" t="s">
        <v>74</v>
      </c>
      <c r="AG625">
        <v>90</v>
      </c>
      <c r="AH625">
        <v>67</v>
      </c>
      <c r="AI625">
        <v>74</v>
      </c>
      <c r="AJ625">
        <v>2</v>
      </c>
      <c r="AK625">
        <v>54</v>
      </c>
      <c r="AL625" t="s">
        <v>377</v>
      </c>
      <c r="AM625" t="s">
        <v>378</v>
      </c>
      <c r="AN625" t="s">
        <v>379</v>
      </c>
      <c r="AO625" t="s">
        <v>380</v>
      </c>
      <c r="AP625" t="s">
        <v>74</v>
      </c>
      <c r="AQ625" t="s">
        <v>74</v>
      </c>
      <c r="AR625" t="s">
        <v>365</v>
      </c>
      <c r="AS625" t="s">
        <v>381</v>
      </c>
      <c r="AT625" t="s">
        <v>12265</v>
      </c>
      <c r="AU625">
        <v>2015</v>
      </c>
      <c r="AV625">
        <v>16</v>
      </c>
      <c r="AW625" t="s">
        <v>74</v>
      </c>
      <c r="AX625" t="s">
        <v>74</v>
      </c>
      <c r="AY625" t="s">
        <v>74</v>
      </c>
      <c r="AZ625" t="s">
        <v>74</v>
      </c>
      <c r="BA625" t="s">
        <v>74</v>
      </c>
      <c r="BB625" t="s">
        <v>74</v>
      </c>
      <c r="BC625" t="s">
        <v>74</v>
      </c>
      <c r="BD625">
        <v>36</v>
      </c>
      <c r="BE625" t="s">
        <v>12266</v>
      </c>
      <c r="BF625" t="str">
        <f>HYPERLINK("http://dx.doi.org/10.1186/s12864-015-1220-2","http://dx.doi.org/10.1186/s12864-015-1220-2")</f>
        <v>http://dx.doi.org/10.1186/s12864-015-1220-2</v>
      </c>
      <c r="BG625" t="s">
        <v>74</v>
      </c>
      <c r="BH625" t="s">
        <v>74</v>
      </c>
      <c r="BI625">
        <v>18</v>
      </c>
      <c r="BJ625" t="s">
        <v>383</v>
      </c>
      <c r="BK625" t="s">
        <v>100</v>
      </c>
      <c r="BL625" t="s">
        <v>383</v>
      </c>
      <c r="BM625" t="s">
        <v>12267</v>
      </c>
      <c r="BN625">
        <v>25649291</v>
      </c>
      <c r="BO625" t="s">
        <v>485</v>
      </c>
      <c r="BP625" t="s">
        <v>74</v>
      </c>
      <c r="BQ625" t="s">
        <v>74</v>
      </c>
      <c r="BR625" t="s">
        <v>104</v>
      </c>
      <c r="BS625" t="s">
        <v>12268</v>
      </c>
      <c r="BT625" t="str">
        <f>HYPERLINK("https%3A%2F%2Fwww.webofscience.com%2Fwos%2Fwoscc%2Ffull-record%2FWOS:000349254300001","View Full Record in Web of Science")</f>
        <v>View Full Record in Web of Science</v>
      </c>
    </row>
    <row r="626" spans="1:72" x14ac:dyDescent="0.15">
      <c r="A626" t="s">
        <v>72</v>
      </c>
      <c r="B626" t="s">
        <v>12269</v>
      </c>
      <c r="C626" t="s">
        <v>74</v>
      </c>
      <c r="D626" t="s">
        <v>74</v>
      </c>
      <c r="E626" t="s">
        <v>74</v>
      </c>
      <c r="F626" t="s">
        <v>12270</v>
      </c>
      <c r="G626" t="s">
        <v>74</v>
      </c>
      <c r="H626" t="s">
        <v>74</v>
      </c>
      <c r="I626" t="s">
        <v>12271</v>
      </c>
      <c r="J626" t="s">
        <v>12272</v>
      </c>
      <c r="K626" t="s">
        <v>74</v>
      </c>
      <c r="L626" t="s">
        <v>74</v>
      </c>
      <c r="M626" t="s">
        <v>78</v>
      </c>
      <c r="N626" t="s">
        <v>2805</v>
      </c>
      <c r="O626" t="s">
        <v>74</v>
      </c>
      <c r="P626" t="s">
        <v>74</v>
      </c>
      <c r="Q626" t="s">
        <v>74</v>
      </c>
      <c r="R626" t="s">
        <v>74</v>
      </c>
      <c r="S626" t="s">
        <v>74</v>
      </c>
      <c r="T626" t="s">
        <v>12273</v>
      </c>
      <c r="U626" t="s">
        <v>12274</v>
      </c>
      <c r="V626" t="s">
        <v>74</v>
      </c>
      <c r="W626" t="s">
        <v>12275</v>
      </c>
      <c r="X626" t="s">
        <v>12276</v>
      </c>
      <c r="Y626" t="s">
        <v>12277</v>
      </c>
      <c r="Z626" t="s">
        <v>12278</v>
      </c>
      <c r="AA626" t="s">
        <v>74</v>
      </c>
      <c r="AB626" t="s">
        <v>74</v>
      </c>
      <c r="AC626" t="s">
        <v>74</v>
      </c>
      <c r="AD626" t="s">
        <v>74</v>
      </c>
      <c r="AE626" t="s">
        <v>74</v>
      </c>
      <c r="AF626" t="s">
        <v>74</v>
      </c>
      <c r="AG626">
        <v>9</v>
      </c>
      <c r="AH626">
        <v>4</v>
      </c>
      <c r="AI626">
        <v>4</v>
      </c>
      <c r="AJ626">
        <v>0</v>
      </c>
      <c r="AK626">
        <v>1</v>
      </c>
      <c r="AL626" t="s">
        <v>12279</v>
      </c>
      <c r="AM626" t="s">
        <v>2029</v>
      </c>
      <c r="AN626" t="s">
        <v>12280</v>
      </c>
      <c r="AO626" t="s">
        <v>12281</v>
      </c>
      <c r="AP626" t="s">
        <v>74</v>
      </c>
      <c r="AQ626" t="s">
        <v>74</v>
      </c>
      <c r="AR626" t="s">
        <v>12282</v>
      </c>
      <c r="AS626" t="s">
        <v>12283</v>
      </c>
      <c r="AT626" t="s">
        <v>12265</v>
      </c>
      <c r="AU626">
        <v>2015</v>
      </c>
      <c r="AV626">
        <v>128</v>
      </c>
      <c r="AW626">
        <v>3</v>
      </c>
      <c r="AX626" t="s">
        <v>74</v>
      </c>
      <c r="AY626" t="s">
        <v>74</v>
      </c>
      <c r="AZ626" t="s">
        <v>74</v>
      </c>
      <c r="BA626" t="s">
        <v>74</v>
      </c>
      <c r="BB626">
        <v>398</v>
      </c>
      <c r="BC626">
        <v>400</v>
      </c>
      <c r="BD626" t="s">
        <v>74</v>
      </c>
      <c r="BE626" t="s">
        <v>12284</v>
      </c>
      <c r="BF626" t="str">
        <f>HYPERLINK("http://dx.doi.org/10.4103/0366-6999.150116","http://dx.doi.org/10.4103/0366-6999.150116")</f>
        <v>http://dx.doi.org/10.4103/0366-6999.150116</v>
      </c>
      <c r="BG626" t="s">
        <v>74</v>
      </c>
      <c r="BH626" t="s">
        <v>74</v>
      </c>
      <c r="BI626">
        <v>3</v>
      </c>
      <c r="BJ626" t="s">
        <v>12285</v>
      </c>
      <c r="BK626" t="s">
        <v>100</v>
      </c>
      <c r="BL626" t="s">
        <v>12286</v>
      </c>
      <c r="BM626" t="s">
        <v>12287</v>
      </c>
      <c r="BN626">
        <v>25635438</v>
      </c>
      <c r="BO626" t="s">
        <v>432</v>
      </c>
      <c r="BP626" t="s">
        <v>74</v>
      </c>
      <c r="BQ626" t="s">
        <v>74</v>
      </c>
      <c r="BR626" t="s">
        <v>104</v>
      </c>
      <c r="BS626" t="s">
        <v>12288</v>
      </c>
      <c r="BT626" t="str">
        <f>HYPERLINK("https%3A%2F%2Fwww.webofscience.com%2Fwos%2Fwoscc%2Ffull-record%2FWOS:000349523200019","View Full Record in Web of Science")</f>
        <v>View Full Record in Web of Science</v>
      </c>
    </row>
    <row r="627" spans="1:72" x14ac:dyDescent="0.15">
      <c r="A627" t="s">
        <v>72</v>
      </c>
      <c r="B627" t="s">
        <v>12289</v>
      </c>
      <c r="C627" t="s">
        <v>74</v>
      </c>
      <c r="D627" t="s">
        <v>74</v>
      </c>
      <c r="E627" t="s">
        <v>74</v>
      </c>
      <c r="F627" t="s">
        <v>12290</v>
      </c>
      <c r="G627" t="s">
        <v>74</v>
      </c>
      <c r="H627" t="s">
        <v>74</v>
      </c>
      <c r="I627" t="s">
        <v>12291</v>
      </c>
      <c r="J627" t="s">
        <v>1072</v>
      </c>
      <c r="K627" t="s">
        <v>74</v>
      </c>
      <c r="L627" t="s">
        <v>74</v>
      </c>
      <c r="M627" t="s">
        <v>78</v>
      </c>
      <c r="N627" t="s">
        <v>79</v>
      </c>
      <c r="O627" t="s">
        <v>74</v>
      </c>
      <c r="P627" t="s">
        <v>74</v>
      </c>
      <c r="Q627" t="s">
        <v>74</v>
      </c>
      <c r="R627" t="s">
        <v>74</v>
      </c>
      <c r="S627" t="s">
        <v>74</v>
      </c>
      <c r="T627" t="s">
        <v>12292</v>
      </c>
      <c r="U627" t="s">
        <v>12293</v>
      </c>
      <c r="V627" t="s">
        <v>12294</v>
      </c>
      <c r="W627" t="s">
        <v>12295</v>
      </c>
      <c r="X627" t="s">
        <v>12296</v>
      </c>
      <c r="Y627" t="s">
        <v>12297</v>
      </c>
      <c r="Z627" t="s">
        <v>12298</v>
      </c>
      <c r="AA627" t="s">
        <v>12299</v>
      </c>
      <c r="AB627" t="s">
        <v>12300</v>
      </c>
      <c r="AC627" t="s">
        <v>12301</v>
      </c>
      <c r="AD627" t="s">
        <v>12302</v>
      </c>
      <c r="AE627" t="s">
        <v>12303</v>
      </c>
      <c r="AF627" t="s">
        <v>74</v>
      </c>
      <c r="AG627">
        <v>104</v>
      </c>
      <c r="AH627">
        <v>44</v>
      </c>
      <c r="AI627">
        <v>49</v>
      </c>
      <c r="AJ627">
        <v>2</v>
      </c>
      <c r="AK627">
        <v>77</v>
      </c>
      <c r="AL627" t="s">
        <v>1085</v>
      </c>
      <c r="AM627" t="s">
        <v>1086</v>
      </c>
      <c r="AN627" t="s">
        <v>1087</v>
      </c>
      <c r="AO627" t="s">
        <v>1088</v>
      </c>
      <c r="AP627" t="s">
        <v>1089</v>
      </c>
      <c r="AQ627" t="s">
        <v>74</v>
      </c>
      <c r="AR627" t="s">
        <v>1090</v>
      </c>
      <c r="AS627" t="s">
        <v>1091</v>
      </c>
      <c r="AT627" t="s">
        <v>12304</v>
      </c>
      <c r="AU627">
        <v>2015</v>
      </c>
      <c r="AV627">
        <v>520</v>
      </c>
      <c r="AW627" t="s">
        <v>74</v>
      </c>
      <c r="AX627" t="s">
        <v>74</v>
      </c>
      <c r="AY627" t="s">
        <v>74</v>
      </c>
      <c r="AZ627" t="s">
        <v>74</v>
      </c>
      <c r="BA627" t="s">
        <v>74</v>
      </c>
      <c r="BB627">
        <v>35</v>
      </c>
      <c r="BC627">
        <v>56</v>
      </c>
      <c r="BD627" t="s">
        <v>74</v>
      </c>
      <c r="BE627" t="s">
        <v>12305</v>
      </c>
      <c r="BF627" t="str">
        <f>HYPERLINK("http://dx.doi.org/10.3354/meps11116","http://dx.doi.org/10.3354/meps11116")</f>
        <v>http://dx.doi.org/10.3354/meps11116</v>
      </c>
      <c r="BG627" t="s">
        <v>74</v>
      </c>
      <c r="BH627" t="s">
        <v>74</v>
      </c>
      <c r="BI627">
        <v>22</v>
      </c>
      <c r="BJ627" t="s">
        <v>1094</v>
      </c>
      <c r="BK627" t="s">
        <v>100</v>
      </c>
      <c r="BL627" t="s">
        <v>1095</v>
      </c>
      <c r="BM627" t="s">
        <v>12306</v>
      </c>
      <c r="BN627" t="s">
        <v>74</v>
      </c>
      <c r="BO627" t="s">
        <v>3228</v>
      </c>
      <c r="BP627" t="s">
        <v>74</v>
      </c>
      <c r="BQ627" t="s">
        <v>74</v>
      </c>
      <c r="BR627" t="s">
        <v>104</v>
      </c>
      <c r="BS627" t="s">
        <v>12307</v>
      </c>
      <c r="BT627" t="str">
        <f>HYPERLINK("https%3A%2F%2Fwww.webofscience.com%2Fwos%2Fwoscc%2Ffull-record%2FWOS:000349302600003","View Full Record in Web of Science")</f>
        <v>View Full Record in Web of Science</v>
      </c>
    </row>
    <row r="628" spans="1:72" x14ac:dyDescent="0.15">
      <c r="A628" t="s">
        <v>72</v>
      </c>
      <c r="B628" t="s">
        <v>12308</v>
      </c>
      <c r="C628" t="s">
        <v>74</v>
      </c>
      <c r="D628" t="s">
        <v>74</v>
      </c>
      <c r="E628" t="s">
        <v>74</v>
      </c>
      <c r="F628" t="s">
        <v>12309</v>
      </c>
      <c r="G628" t="s">
        <v>74</v>
      </c>
      <c r="H628" t="s">
        <v>74</v>
      </c>
      <c r="I628" t="s">
        <v>12310</v>
      </c>
      <c r="J628" t="s">
        <v>413</v>
      </c>
      <c r="K628" t="s">
        <v>74</v>
      </c>
      <c r="L628" t="s">
        <v>74</v>
      </c>
      <c r="M628" t="s">
        <v>78</v>
      </c>
      <c r="N628" t="s">
        <v>79</v>
      </c>
      <c r="O628" t="s">
        <v>74</v>
      </c>
      <c r="P628" t="s">
        <v>74</v>
      </c>
      <c r="Q628" t="s">
        <v>74</v>
      </c>
      <c r="R628" t="s">
        <v>74</v>
      </c>
      <c r="S628" t="s">
        <v>74</v>
      </c>
      <c r="T628" t="s">
        <v>74</v>
      </c>
      <c r="U628" t="s">
        <v>12311</v>
      </c>
      <c r="V628" t="s">
        <v>12312</v>
      </c>
      <c r="W628" t="s">
        <v>12313</v>
      </c>
      <c r="X628" t="s">
        <v>12314</v>
      </c>
      <c r="Y628" t="s">
        <v>12315</v>
      </c>
      <c r="Z628" t="s">
        <v>12316</v>
      </c>
      <c r="AA628" t="s">
        <v>12317</v>
      </c>
      <c r="AB628" t="s">
        <v>12318</v>
      </c>
      <c r="AC628" t="s">
        <v>12319</v>
      </c>
      <c r="AD628" t="s">
        <v>12320</v>
      </c>
      <c r="AE628" t="s">
        <v>12321</v>
      </c>
      <c r="AF628" t="s">
        <v>74</v>
      </c>
      <c r="AG628">
        <v>27</v>
      </c>
      <c r="AH628">
        <v>12</v>
      </c>
      <c r="AI628">
        <v>16</v>
      </c>
      <c r="AJ628">
        <v>0</v>
      </c>
      <c r="AK628">
        <v>2</v>
      </c>
      <c r="AL628" t="s">
        <v>422</v>
      </c>
      <c r="AM628" t="s">
        <v>423</v>
      </c>
      <c r="AN628" t="s">
        <v>424</v>
      </c>
      <c r="AO628" t="s">
        <v>425</v>
      </c>
      <c r="AP628" t="s">
        <v>74</v>
      </c>
      <c r="AQ628" t="s">
        <v>74</v>
      </c>
      <c r="AR628" t="s">
        <v>426</v>
      </c>
      <c r="AS628" t="s">
        <v>427</v>
      </c>
      <c r="AT628" t="s">
        <v>12304</v>
      </c>
      <c r="AU628">
        <v>2015</v>
      </c>
      <c r="AV628">
        <v>5</v>
      </c>
      <c r="AW628" t="s">
        <v>74</v>
      </c>
      <c r="AX628" t="s">
        <v>74</v>
      </c>
      <c r="AY628" t="s">
        <v>74</v>
      </c>
      <c r="AZ628" t="s">
        <v>74</v>
      </c>
      <c r="BA628" t="s">
        <v>74</v>
      </c>
      <c r="BB628" t="s">
        <v>74</v>
      </c>
      <c r="BC628" t="s">
        <v>74</v>
      </c>
      <c r="BD628">
        <v>8196</v>
      </c>
      <c r="BE628" t="s">
        <v>12322</v>
      </c>
      <c r="BF628" t="str">
        <f>HYPERLINK("http://dx.doi.org/10.1038/srep08196","http://dx.doi.org/10.1038/srep08196")</f>
        <v>http://dx.doi.org/10.1038/srep08196</v>
      </c>
      <c r="BG628" t="s">
        <v>74</v>
      </c>
      <c r="BH628" t="s">
        <v>74</v>
      </c>
      <c r="BI628">
        <v>9</v>
      </c>
      <c r="BJ628" t="s">
        <v>429</v>
      </c>
      <c r="BK628" t="s">
        <v>100</v>
      </c>
      <c r="BL628" t="s">
        <v>430</v>
      </c>
      <c r="BM628" t="s">
        <v>12323</v>
      </c>
      <c r="BN628">
        <v>25645665</v>
      </c>
      <c r="BO628" t="s">
        <v>485</v>
      </c>
      <c r="BP628" t="s">
        <v>74</v>
      </c>
      <c r="BQ628" t="s">
        <v>74</v>
      </c>
      <c r="BR628" t="s">
        <v>104</v>
      </c>
      <c r="BS628" t="s">
        <v>12324</v>
      </c>
      <c r="BT628" t="str">
        <f>HYPERLINK("https%3A%2F%2Fwww.webofscience.com%2Fwos%2Fwoscc%2Ffull-record%2FWOS:000348703200007","View Full Record in Web of Science")</f>
        <v>View Full Record in Web of Science</v>
      </c>
    </row>
    <row r="629" spans="1:72" x14ac:dyDescent="0.15">
      <c r="A629" t="s">
        <v>72</v>
      </c>
      <c r="B629" t="s">
        <v>12325</v>
      </c>
      <c r="C629" t="s">
        <v>74</v>
      </c>
      <c r="D629" t="s">
        <v>74</v>
      </c>
      <c r="E629" t="s">
        <v>74</v>
      </c>
      <c r="F629" t="s">
        <v>12326</v>
      </c>
      <c r="G629" t="s">
        <v>74</v>
      </c>
      <c r="H629" t="s">
        <v>74</v>
      </c>
      <c r="I629" t="s">
        <v>12327</v>
      </c>
      <c r="J629" t="s">
        <v>413</v>
      </c>
      <c r="K629" t="s">
        <v>74</v>
      </c>
      <c r="L629" t="s">
        <v>74</v>
      </c>
      <c r="M629" t="s">
        <v>78</v>
      </c>
      <c r="N629" t="s">
        <v>79</v>
      </c>
      <c r="O629" t="s">
        <v>74</v>
      </c>
      <c r="P629" t="s">
        <v>74</v>
      </c>
      <c r="Q629" t="s">
        <v>74</v>
      </c>
      <c r="R629" t="s">
        <v>74</v>
      </c>
      <c r="S629" t="s">
        <v>74</v>
      </c>
      <c r="T629" t="s">
        <v>74</v>
      </c>
      <c r="U629" t="s">
        <v>12328</v>
      </c>
      <c r="V629" t="s">
        <v>12329</v>
      </c>
      <c r="W629" t="s">
        <v>12330</v>
      </c>
      <c r="X629" t="s">
        <v>12331</v>
      </c>
      <c r="Y629" t="s">
        <v>12332</v>
      </c>
      <c r="Z629" t="s">
        <v>12333</v>
      </c>
      <c r="AA629" t="s">
        <v>12334</v>
      </c>
      <c r="AB629" t="s">
        <v>12335</v>
      </c>
      <c r="AC629" t="s">
        <v>12336</v>
      </c>
      <c r="AD629" t="s">
        <v>12337</v>
      </c>
      <c r="AE629" t="s">
        <v>12338</v>
      </c>
      <c r="AF629" t="s">
        <v>74</v>
      </c>
      <c r="AG629">
        <v>38</v>
      </c>
      <c r="AH629">
        <v>29</v>
      </c>
      <c r="AI629">
        <v>29</v>
      </c>
      <c r="AJ629">
        <v>0</v>
      </c>
      <c r="AK629">
        <v>54</v>
      </c>
      <c r="AL629" t="s">
        <v>422</v>
      </c>
      <c r="AM629" t="s">
        <v>423</v>
      </c>
      <c r="AN629" t="s">
        <v>424</v>
      </c>
      <c r="AO629" t="s">
        <v>425</v>
      </c>
      <c r="AP629" t="s">
        <v>74</v>
      </c>
      <c r="AQ629" t="s">
        <v>74</v>
      </c>
      <c r="AR629" t="s">
        <v>426</v>
      </c>
      <c r="AS629" t="s">
        <v>427</v>
      </c>
      <c r="AT629" t="s">
        <v>12304</v>
      </c>
      <c r="AU629">
        <v>2015</v>
      </c>
      <c r="AV629">
        <v>5</v>
      </c>
      <c r="AW629" t="s">
        <v>74</v>
      </c>
      <c r="AX629" t="s">
        <v>74</v>
      </c>
      <c r="AY629" t="s">
        <v>74</v>
      </c>
      <c r="AZ629" t="s">
        <v>74</v>
      </c>
      <c r="BA629" t="s">
        <v>74</v>
      </c>
      <c r="BB629" t="s">
        <v>74</v>
      </c>
      <c r="BC629" t="s">
        <v>74</v>
      </c>
      <c r="BD629">
        <v>8218</v>
      </c>
      <c r="BE629" t="s">
        <v>12339</v>
      </c>
      <c r="BF629" t="str">
        <f>HYPERLINK("http://dx.doi.org/10.1038/srep08218","http://dx.doi.org/10.1038/srep08218")</f>
        <v>http://dx.doi.org/10.1038/srep08218</v>
      </c>
      <c r="BG629" t="s">
        <v>74</v>
      </c>
      <c r="BH629" t="s">
        <v>74</v>
      </c>
      <c r="BI629">
        <v>6</v>
      </c>
      <c r="BJ629" t="s">
        <v>429</v>
      </c>
      <c r="BK629" t="s">
        <v>100</v>
      </c>
      <c r="BL629" t="s">
        <v>430</v>
      </c>
      <c r="BM629" t="s">
        <v>12323</v>
      </c>
      <c r="BN629">
        <v>25645934</v>
      </c>
      <c r="BO629" t="s">
        <v>12340</v>
      </c>
      <c r="BP629" t="s">
        <v>74</v>
      </c>
      <c r="BQ629" t="s">
        <v>74</v>
      </c>
      <c r="BR629" t="s">
        <v>104</v>
      </c>
      <c r="BS629" t="s">
        <v>12341</v>
      </c>
      <c r="BT629" t="str">
        <f>HYPERLINK("https%3A%2F%2Fwww.webofscience.com%2Fwos%2Fwoscc%2Ffull-record%2FWOS:000348703200029","View Full Record in Web of Science")</f>
        <v>View Full Record in Web of Science</v>
      </c>
    </row>
    <row r="630" spans="1:72" x14ac:dyDescent="0.15">
      <c r="A630" t="s">
        <v>72</v>
      </c>
      <c r="B630" t="s">
        <v>12342</v>
      </c>
      <c r="C630" t="s">
        <v>74</v>
      </c>
      <c r="D630" t="s">
        <v>74</v>
      </c>
      <c r="E630" t="s">
        <v>74</v>
      </c>
      <c r="F630" t="s">
        <v>12343</v>
      </c>
      <c r="G630" t="s">
        <v>74</v>
      </c>
      <c r="H630" t="s">
        <v>74</v>
      </c>
      <c r="I630" t="s">
        <v>12344</v>
      </c>
      <c r="J630" t="s">
        <v>12345</v>
      </c>
      <c r="K630" t="s">
        <v>74</v>
      </c>
      <c r="L630" t="s">
        <v>74</v>
      </c>
      <c r="M630" t="s">
        <v>78</v>
      </c>
      <c r="N630" t="s">
        <v>79</v>
      </c>
      <c r="O630" t="s">
        <v>74</v>
      </c>
      <c r="P630" t="s">
        <v>74</v>
      </c>
      <c r="Q630" t="s">
        <v>74</v>
      </c>
      <c r="R630" t="s">
        <v>74</v>
      </c>
      <c r="S630" t="s">
        <v>74</v>
      </c>
      <c r="T630" t="s">
        <v>12346</v>
      </c>
      <c r="U630" t="s">
        <v>12347</v>
      </c>
      <c r="V630" t="s">
        <v>12348</v>
      </c>
      <c r="W630" t="s">
        <v>12349</v>
      </c>
      <c r="X630" t="s">
        <v>12350</v>
      </c>
      <c r="Y630" t="s">
        <v>12351</v>
      </c>
      <c r="Z630" t="s">
        <v>12352</v>
      </c>
      <c r="AA630" t="s">
        <v>12353</v>
      </c>
      <c r="AB630" t="s">
        <v>12354</v>
      </c>
      <c r="AC630" t="s">
        <v>12355</v>
      </c>
      <c r="AD630" t="s">
        <v>12356</v>
      </c>
      <c r="AE630" t="s">
        <v>12357</v>
      </c>
      <c r="AF630" t="s">
        <v>74</v>
      </c>
      <c r="AG630">
        <v>22</v>
      </c>
      <c r="AH630">
        <v>21</v>
      </c>
      <c r="AI630">
        <v>23</v>
      </c>
      <c r="AJ630">
        <v>0</v>
      </c>
      <c r="AK630">
        <v>11</v>
      </c>
      <c r="AL630" t="s">
        <v>476</v>
      </c>
      <c r="AM630" t="s">
        <v>477</v>
      </c>
      <c r="AN630" t="s">
        <v>8377</v>
      </c>
      <c r="AO630" t="s">
        <v>12358</v>
      </c>
      <c r="AP630" t="s">
        <v>74</v>
      </c>
      <c r="AQ630" t="s">
        <v>74</v>
      </c>
      <c r="AR630" t="s">
        <v>12359</v>
      </c>
      <c r="AS630" t="s">
        <v>12360</v>
      </c>
      <c r="AT630" t="s">
        <v>12361</v>
      </c>
      <c r="AU630">
        <v>2015</v>
      </c>
      <c r="AV630">
        <v>6</v>
      </c>
      <c r="AW630" t="s">
        <v>74</v>
      </c>
      <c r="AX630" t="s">
        <v>74</v>
      </c>
      <c r="AY630" t="s">
        <v>74</v>
      </c>
      <c r="AZ630" t="s">
        <v>74</v>
      </c>
      <c r="BA630" t="s">
        <v>74</v>
      </c>
      <c r="BB630" t="s">
        <v>74</v>
      </c>
      <c r="BC630" t="s">
        <v>74</v>
      </c>
      <c r="BD630">
        <v>2</v>
      </c>
      <c r="BE630" t="s">
        <v>12362</v>
      </c>
      <c r="BF630" t="str">
        <f>HYPERLINK("http://dx.doi.org/10.3389/fendo.2015.00002","http://dx.doi.org/10.3389/fendo.2015.00002")</f>
        <v>http://dx.doi.org/10.3389/fendo.2015.00002</v>
      </c>
      <c r="BG630" t="s">
        <v>74</v>
      </c>
      <c r="BH630" t="s">
        <v>74</v>
      </c>
      <c r="BI630">
        <v>10</v>
      </c>
      <c r="BJ630" t="s">
        <v>7323</v>
      </c>
      <c r="BK630" t="s">
        <v>100</v>
      </c>
      <c r="BL630" t="s">
        <v>7323</v>
      </c>
      <c r="BM630" t="s">
        <v>12363</v>
      </c>
      <c r="BN630">
        <v>25699014</v>
      </c>
      <c r="BO630" t="s">
        <v>385</v>
      </c>
      <c r="BP630" t="s">
        <v>74</v>
      </c>
      <c r="BQ630" t="s">
        <v>74</v>
      </c>
      <c r="BR630" t="s">
        <v>104</v>
      </c>
      <c r="BS630" t="s">
        <v>12364</v>
      </c>
      <c r="BT630" t="str">
        <f>HYPERLINK("https%3A%2F%2Fwww.webofscience.com%2Fwos%2Fwoscc%2Ffull-record%2FWOS:000378394600001","View Full Record in Web of Science")</f>
        <v>View Full Record in Web of Science</v>
      </c>
    </row>
    <row r="631" spans="1:72" x14ac:dyDescent="0.15">
      <c r="A631" t="s">
        <v>72</v>
      </c>
      <c r="B631" t="s">
        <v>12365</v>
      </c>
      <c r="C631" t="s">
        <v>74</v>
      </c>
      <c r="D631" t="s">
        <v>74</v>
      </c>
      <c r="E631" t="s">
        <v>74</v>
      </c>
      <c r="F631" t="s">
        <v>12366</v>
      </c>
      <c r="G631" t="s">
        <v>74</v>
      </c>
      <c r="H631" t="s">
        <v>74</v>
      </c>
      <c r="I631" t="s">
        <v>12367</v>
      </c>
      <c r="J631" t="s">
        <v>5379</v>
      </c>
      <c r="K631" t="s">
        <v>74</v>
      </c>
      <c r="L631" t="s">
        <v>74</v>
      </c>
      <c r="M631" t="s">
        <v>78</v>
      </c>
      <c r="N631" t="s">
        <v>79</v>
      </c>
      <c r="O631" t="s">
        <v>74</v>
      </c>
      <c r="P631" t="s">
        <v>74</v>
      </c>
      <c r="Q631" t="s">
        <v>74</v>
      </c>
      <c r="R631" t="s">
        <v>74</v>
      </c>
      <c r="S631" t="s">
        <v>74</v>
      </c>
      <c r="T631" t="s">
        <v>12368</v>
      </c>
      <c r="U631" t="s">
        <v>12369</v>
      </c>
      <c r="V631" t="s">
        <v>12370</v>
      </c>
      <c r="W631" t="s">
        <v>12371</v>
      </c>
      <c r="X631" t="s">
        <v>12372</v>
      </c>
      <c r="Y631" t="s">
        <v>12373</v>
      </c>
      <c r="Z631" t="s">
        <v>12374</v>
      </c>
      <c r="AA631" t="s">
        <v>12375</v>
      </c>
      <c r="AB631" t="s">
        <v>74</v>
      </c>
      <c r="AC631" t="s">
        <v>12376</v>
      </c>
      <c r="AD631" t="s">
        <v>12377</v>
      </c>
      <c r="AE631" t="s">
        <v>12378</v>
      </c>
      <c r="AF631" t="s">
        <v>74</v>
      </c>
      <c r="AG631">
        <v>39</v>
      </c>
      <c r="AH631">
        <v>2</v>
      </c>
      <c r="AI631">
        <v>2</v>
      </c>
      <c r="AJ631">
        <v>0</v>
      </c>
      <c r="AK631">
        <v>1</v>
      </c>
      <c r="AL631" t="s">
        <v>5391</v>
      </c>
      <c r="AM631" t="s">
        <v>5392</v>
      </c>
      <c r="AN631" t="s">
        <v>5393</v>
      </c>
      <c r="AO631" t="s">
        <v>5394</v>
      </c>
      <c r="AP631" t="s">
        <v>5395</v>
      </c>
      <c r="AQ631" t="s">
        <v>74</v>
      </c>
      <c r="AR631" t="s">
        <v>5396</v>
      </c>
      <c r="AS631" t="s">
        <v>5397</v>
      </c>
      <c r="AT631" t="s">
        <v>12379</v>
      </c>
      <c r="AU631">
        <v>2015</v>
      </c>
      <c r="AV631">
        <v>86</v>
      </c>
      <c r="AW631">
        <v>2</v>
      </c>
      <c r="AX631" t="s">
        <v>74</v>
      </c>
      <c r="AY631" t="s">
        <v>74</v>
      </c>
      <c r="AZ631" t="s">
        <v>74</v>
      </c>
      <c r="BA631" t="s">
        <v>74</v>
      </c>
      <c r="BB631">
        <v>97</v>
      </c>
      <c r="BC631">
        <v>102</v>
      </c>
      <c r="BD631" t="s">
        <v>74</v>
      </c>
      <c r="BE631" t="s">
        <v>12380</v>
      </c>
      <c r="BF631" t="str">
        <f>HYPERLINK("http://dx.doi.org/10.3357/AMHP.4029.2015","http://dx.doi.org/10.3357/AMHP.4029.2015")</f>
        <v>http://dx.doi.org/10.3357/AMHP.4029.2015</v>
      </c>
      <c r="BG631" t="s">
        <v>74</v>
      </c>
      <c r="BH631" t="s">
        <v>74</v>
      </c>
      <c r="BI631">
        <v>6</v>
      </c>
      <c r="BJ631" t="s">
        <v>5399</v>
      </c>
      <c r="BK631" t="s">
        <v>100</v>
      </c>
      <c r="BL631" t="s">
        <v>5400</v>
      </c>
      <c r="BM631" t="s">
        <v>12381</v>
      </c>
      <c r="BN631">
        <v>25946733</v>
      </c>
      <c r="BO631" t="s">
        <v>74</v>
      </c>
      <c r="BP631" t="s">
        <v>74</v>
      </c>
      <c r="BQ631" t="s">
        <v>74</v>
      </c>
      <c r="BR631" t="s">
        <v>104</v>
      </c>
      <c r="BS631" t="s">
        <v>12382</v>
      </c>
      <c r="BT631" t="str">
        <f>HYPERLINK("https%3A%2F%2Fwww.webofscience.com%2Fwos%2Fwoscc%2Ffull-record%2FWOS:000357340000005","View Full Record in Web of Science")</f>
        <v>View Full Record in Web of Science</v>
      </c>
    </row>
    <row r="632" spans="1:72" x14ac:dyDescent="0.15">
      <c r="A632" t="s">
        <v>72</v>
      </c>
      <c r="B632" t="s">
        <v>12383</v>
      </c>
      <c r="C632" t="s">
        <v>74</v>
      </c>
      <c r="D632" t="s">
        <v>74</v>
      </c>
      <c r="E632" t="s">
        <v>74</v>
      </c>
      <c r="F632" t="s">
        <v>12384</v>
      </c>
      <c r="G632" t="s">
        <v>74</v>
      </c>
      <c r="H632" t="s">
        <v>74</v>
      </c>
      <c r="I632" t="s">
        <v>12385</v>
      </c>
      <c r="J632" t="s">
        <v>5517</v>
      </c>
      <c r="K632" t="s">
        <v>74</v>
      </c>
      <c r="L632" t="s">
        <v>74</v>
      </c>
      <c r="M632" t="s">
        <v>78</v>
      </c>
      <c r="N632" t="s">
        <v>79</v>
      </c>
      <c r="O632" t="s">
        <v>74</v>
      </c>
      <c r="P632" t="s">
        <v>74</v>
      </c>
      <c r="Q632" t="s">
        <v>74</v>
      </c>
      <c r="R632" t="s">
        <v>74</v>
      </c>
      <c r="S632" t="s">
        <v>74</v>
      </c>
      <c r="T632" t="s">
        <v>12386</v>
      </c>
      <c r="U632" t="s">
        <v>12387</v>
      </c>
      <c r="V632" t="s">
        <v>12388</v>
      </c>
      <c r="W632" t="s">
        <v>12389</v>
      </c>
      <c r="X632" t="s">
        <v>12243</v>
      </c>
      <c r="Y632" t="s">
        <v>12390</v>
      </c>
      <c r="Z632" t="s">
        <v>12391</v>
      </c>
      <c r="AA632" t="s">
        <v>12392</v>
      </c>
      <c r="AB632" t="s">
        <v>12393</v>
      </c>
      <c r="AC632" t="s">
        <v>12394</v>
      </c>
      <c r="AD632" t="s">
        <v>12395</v>
      </c>
      <c r="AE632" t="s">
        <v>12396</v>
      </c>
      <c r="AF632" t="s">
        <v>74</v>
      </c>
      <c r="AG632">
        <v>116</v>
      </c>
      <c r="AH632">
        <v>6</v>
      </c>
      <c r="AI632">
        <v>6</v>
      </c>
      <c r="AJ632">
        <v>0</v>
      </c>
      <c r="AK632">
        <v>13</v>
      </c>
      <c r="AL632" t="s">
        <v>5529</v>
      </c>
      <c r="AM632" t="s">
        <v>5323</v>
      </c>
      <c r="AN632" t="s">
        <v>5530</v>
      </c>
      <c r="AO632" t="s">
        <v>5531</v>
      </c>
      <c r="AP632" t="s">
        <v>5532</v>
      </c>
      <c r="AQ632" t="s">
        <v>74</v>
      </c>
      <c r="AR632" t="s">
        <v>5533</v>
      </c>
      <c r="AS632" t="s">
        <v>5534</v>
      </c>
      <c r="AT632" t="s">
        <v>12379</v>
      </c>
      <c r="AU632">
        <v>2015</v>
      </c>
      <c r="AV632">
        <v>85</v>
      </c>
      <c r="AW632">
        <v>2</v>
      </c>
      <c r="AX632" t="s">
        <v>74</v>
      </c>
      <c r="AY632" t="s">
        <v>74</v>
      </c>
      <c r="AZ632" t="s">
        <v>74</v>
      </c>
      <c r="BA632" t="s">
        <v>74</v>
      </c>
      <c r="BB632">
        <v>163</v>
      </c>
      <c r="BC632">
        <v>182</v>
      </c>
      <c r="BD632" t="s">
        <v>74</v>
      </c>
      <c r="BE632" t="s">
        <v>12397</v>
      </c>
      <c r="BF632" t="str">
        <f>HYPERLINK("http://dx.doi.org/10.1007/s12594-015-0204-9","http://dx.doi.org/10.1007/s12594-015-0204-9")</f>
        <v>http://dx.doi.org/10.1007/s12594-015-0204-9</v>
      </c>
      <c r="BG632" t="s">
        <v>74</v>
      </c>
      <c r="BH632" t="s">
        <v>74</v>
      </c>
      <c r="BI632">
        <v>20</v>
      </c>
      <c r="BJ632" t="s">
        <v>219</v>
      </c>
      <c r="BK632" t="s">
        <v>100</v>
      </c>
      <c r="BL632" t="s">
        <v>220</v>
      </c>
      <c r="BM632" t="s">
        <v>12398</v>
      </c>
      <c r="BN632" t="s">
        <v>74</v>
      </c>
      <c r="BO632" t="s">
        <v>74</v>
      </c>
      <c r="BP632" t="s">
        <v>74</v>
      </c>
      <c r="BQ632" t="s">
        <v>74</v>
      </c>
      <c r="BR632" t="s">
        <v>104</v>
      </c>
      <c r="BS632" t="s">
        <v>12399</v>
      </c>
      <c r="BT632" t="str">
        <f>HYPERLINK("https%3A%2F%2Fwww.webofscience.com%2Fwos%2Fwoscc%2Ffull-record%2FWOS:000355255200004","View Full Record in Web of Science")</f>
        <v>View Full Record in Web of Science</v>
      </c>
    </row>
    <row r="633" spans="1:72" x14ac:dyDescent="0.15">
      <c r="A633" t="s">
        <v>72</v>
      </c>
      <c r="B633" t="s">
        <v>12400</v>
      </c>
      <c r="C633" t="s">
        <v>74</v>
      </c>
      <c r="D633" t="s">
        <v>74</v>
      </c>
      <c r="E633" t="s">
        <v>74</v>
      </c>
      <c r="F633" t="s">
        <v>12401</v>
      </c>
      <c r="G633" t="s">
        <v>74</v>
      </c>
      <c r="H633" t="s">
        <v>74</v>
      </c>
      <c r="I633" t="s">
        <v>12402</v>
      </c>
      <c r="J633" t="s">
        <v>5429</v>
      </c>
      <c r="K633" t="s">
        <v>74</v>
      </c>
      <c r="L633" t="s">
        <v>74</v>
      </c>
      <c r="M633" t="s">
        <v>78</v>
      </c>
      <c r="N633" t="s">
        <v>79</v>
      </c>
      <c r="O633" t="s">
        <v>74</v>
      </c>
      <c r="P633" t="s">
        <v>74</v>
      </c>
      <c r="Q633" t="s">
        <v>74</v>
      </c>
      <c r="R633" t="s">
        <v>74</v>
      </c>
      <c r="S633" t="s">
        <v>74</v>
      </c>
      <c r="T633" t="s">
        <v>74</v>
      </c>
      <c r="U633" t="s">
        <v>12403</v>
      </c>
      <c r="V633" t="s">
        <v>12404</v>
      </c>
      <c r="W633" t="s">
        <v>12405</v>
      </c>
      <c r="X633" t="s">
        <v>12406</v>
      </c>
      <c r="Y633" t="s">
        <v>12407</v>
      </c>
      <c r="Z633" t="s">
        <v>12408</v>
      </c>
      <c r="AA633" t="s">
        <v>12409</v>
      </c>
      <c r="AB633" t="s">
        <v>12410</v>
      </c>
      <c r="AC633" t="s">
        <v>12411</v>
      </c>
      <c r="AD633" t="s">
        <v>12412</v>
      </c>
      <c r="AE633" t="s">
        <v>12413</v>
      </c>
      <c r="AF633" t="s">
        <v>74</v>
      </c>
      <c r="AG633">
        <v>94</v>
      </c>
      <c r="AH633">
        <v>61</v>
      </c>
      <c r="AI633">
        <v>73</v>
      </c>
      <c r="AJ633">
        <v>1</v>
      </c>
      <c r="AK633">
        <v>63</v>
      </c>
      <c r="AL633" t="s">
        <v>266</v>
      </c>
      <c r="AM633" t="s">
        <v>267</v>
      </c>
      <c r="AN633" t="s">
        <v>268</v>
      </c>
      <c r="AO633" t="s">
        <v>5441</v>
      </c>
      <c r="AP633" t="s">
        <v>5442</v>
      </c>
      <c r="AQ633" t="s">
        <v>74</v>
      </c>
      <c r="AR633" t="s">
        <v>5443</v>
      </c>
      <c r="AS633" t="s">
        <v>5444</v>
      </c>
      <c r="AT633" t="s">
        <v>12379</v>
      </c>
      <c r="AU633">
        <v>2015</v>
      </c>
      <c r="AV633">
        <v>29</v>
      </c>
      <c r="AW633">
        <v>2</v>
      </c>
      <c r="AX633" t="s">
        <v>74</v>
      </c>
      <c r="AY633" t="s">
        <v>74</v>
      </c>
      <c r="AZ633" t="s">
        <v>74</v>
      </c>
      <c r="BA633" t="s">
        <v>74</v>
      </c>
      <c r="BB633">
        <v>175</v>
      </c>
      <c r="BC633">
        <v>193</v>
      </c>
      <c r="BD633" t="s">
        <v>74</v>
      </c>
      <c r="BE633" t="s">
        <v>12414</v>
      </c>
      <c r="BF633" t="str">
        <f>HYPERLINK("http://dx.doi.org/10.1002/2014GB004935","http://dx.doi.org/10.1002/2014GB004935")</f>
        <v>http://dx.doi.org/10.1002/2014GB004935</v>
      </c>
      <c r="BG633" t="s">
        <v>74</v>
      </c>
      <c r="BH633" t="s">
        <v>74</v>
      </c>
      <c r="BI633">
        <v>19</v>
      </c>
      <c r="BJ633" t="s">
        <v>1439</v>
      </c>
      <c r="BK633" t="s">
        <v>100</v>
      </c>
      <c r="BL633" t="s">
        <v>1440</v>
      </c>
      <c r="BM633" t="s">
        <v>12415</v>
      </c>
      <c r="BN633" t="s">
        <v>74</v>
      </c>
      <c r="BO633" t="s">
        <v>8248</v>
      </c>
      <c r="BP633" t="s">
        <v>74</v>
      </c>
      <c r="BQ633" t="s">
        <v>74</v>
      </c>
      <c r="BR633" t="s">
        <v>104</v>
      </c>
      <c r="BS633" t="s">
        <v>12416</v>
      </c>
      <c r="BT633" t="str">
        <f>HYPERLINK("https%3A%2F%2Fwww.webofscience.com%2Fwos%2Fwoscc%2Ffull-record%2FWOS:000354381200005","View Full Record in Web of Science")</f>
        <v>View Full Record in Web of Science</v>
      </c>
    </row>
    <row r="634" spans="1:72" x14ac:dyDescent="0.15">
      <c r="A634" t="s">
        <v>72</v>
      </c>
      <c r="B634" t="s">
        <v>12417</v>
      </c>
      <c r="C634" t="s">
        <v>74</v>
      </c>
      <c r="D634" t="s">
        <v>74</v>
      </c>
      <c r="E634" t="s">
        <v>74</v>
      </c>
      <c r="F634" t="s">
        <v>12418</v>
      </c>
      <c r="G634" t="s">
        <v>74</v>
      </c>
      <c r="H634" t="s">
        <v>74</v>
      </c>
      <c r="I634" t="s">
        <v>12419</v>
      </c>
      <c r="J634" t="s">
        <v>12420</v>
      </c>
      <c r="K634" t="s">
        <v>74</v>
      </c>
      <c r="L634" t="s">
        <v>74</v>
      </c>
      <c r="M634" t="s">
        <v>78</v>
      </c>
      <c r="N634" t="s">
        <v>79</v>
      </c>
      <c r="O634" t="s">
        <v>74</v>
      </c>
      <c r="P634" t="s">
        <v>74</v>
      </c>
      <c r="Q634" t="s">
        <v>74</v>
      </c>
      <c r="R634" t="s">
        <v>74</v>
      </c>
      <c r="S634" t="s">
        <v>74</v>
      </c>
      <c r="T634" t="s">
        <v>74</v>
      </c>
      <c r="U634" t="s">
        <v>12421</v>
      </c>
      <c r="V634" t="s">
        <v>12422</v>
      </c>
      <c r="W634" t="s">
        <v>12423</v>
      </c>
      <c r="X634" t="s">
        <v>12424</v>
      </c>
      <c r="Y634" t="s">
        <v>12425</v>
      </c>
      <c r="Z634" t="s">
        <v>12426</v>
      </c>
      <c r="AA634" t="s">
        <v>12427</v>
      </c>
      <c r="AB634" t="s">
        <v>12428</v>
      </c>
      <c r="AC634" t="s">
        <v>12429</v>
      </c>
      <c r="AD634" t="s">
        <v>12430</v>
      </c>
      <c r="AE634" t="s">
        <v>12431</v>
      </c>
      <c r="AF634" t="s">
        <v>74</v>
      </c>
      <c r="AG634">
        <v>57</v>
      </c>
      <c r="AH634">
        <v>35</v>
      </c>
      <c r="AI634">
        <v>40</v>
      </c>
      <c r="AJ634">
        <v>1</v>
      </c>
      <c r="AK634">
        <v>26</v>
      </c>
      <c r="AL634" t="s">
        <v>1678</v>
      </c>
      <c r="AM634" t="s">
        <v>1481</v>
      </c>
      <c r="AN634" t="s">
        <v>1679</v>
      </c>
      <c r="AO634" t="s">
        <v>12432</v>
      </c>
      <c r="AP634" t="s">
        <v>74</v>
      </c>
      <c r="AQ634" t="s">
        <v>74</v>
      </c>
      <c r="AR634" t="s">
        <v>12420</v>
      </c>
      <c r="AS634" t="s">
        <v>12433</v>
      </c>
      <c r="AT634" t="s">
        <v>12379</v>
      </c>
      <c r="AU634">
        <v>2015</v>
      </c>
      <c r="AV634">
        <v>7</v>
      </c>
      <c r="AW634">
        <v>2</v>
      </c>
      <c r="AX634" t="s">
        <v>74</v>
      </c>
      <c r="AY634" t="s">
        <v>74</v>
      </c>
      <c r="AZ634" t="s">
        <v>74</v>
      </c>
      <c r="BA634" t="s">
        <v>74</v>
      </c>
      <c r="BB634">
        <v>493</v>
      </c>
      <c r="BC634">
        <v>515</v>
      </c>
      <c r="BD634" t="s">
        <v>74</v>
      </c>
      <c r="BE634" t="s">
        <v>12434</v>
      </c>
      <c r="BF634" t="str">
        <f>HYPERLINK("http://dx.doi.org/10.3390/toxins7020493","http://dx.doi.org/10.3390/toxins7020493")</f>
        <v>http://dx.doi.org/10.3390/toxins7020493</v>
      </c>
      <c r="BG634" t="s">
        <v>74</v>
      </c>
      <c r="BH634" t="s">
        <v>74</v>
      </c>
      <c r="BI634">
        <v>23</v>
      </c>
      <c r="BJ634" t="s">
        <v>12435</v>
      </c>
      <c r="BK634" t="s">
        <v>100</v>
      </c>
      <c r="BL634" t="s">
        <v>12435</v>
      </c>
      <c r="BM634" t="s">
        <v>12436</v>
      </c>
      <c r="BN634">
        <v>25675414</v>
      </c>
      <c r="BO634" t="s">
        <v>955</v>
      </c>
      <c r="BP634" t="s">
        <v>74</v>
      </c>
      <c r="BQ634" t="s">
        <v>74</v>
      </c>
      <c r="BR634" t="s">
        <v>104</v>
      </c>
      <c r="BS634" t="s">
        <v>12437</v>
      </c>
      <c r="BT634" t="str">
        <f>HYPERLINK("https%3A%2F%2Fwww.webofscience.com%2Fwos%2Fwoscc%2Ffull-record%2FWOS:000353967500017","View Full Record in Web of Science")</f>
        <v>View Full Record in Web of Science</v>
      </c>
    </row>
    <row r="635" spans="1:72" x14ac:dyDescent="0.15">
      <c r="A635" t="s">
        <v>72</v>
      </c>
      <c r="B635" t="s">
        <v>12438</v>
      </c>
      <c r="C635" t="s">
        <v>74</v>
      </c>
      <c r="D635" t="s">
        <v>74</v>
      </c>
      <c r="E635" t="s">
        <v>74</v>
      </c>
      <c r="F635" t="s">
        <v>12439</v>
      </c>
      <c r="G635" t="s">
        <v>74</v>
      </c>
      <c r="H635" t="s">
        <v>74</v>
      </c>
      <c r="I635" t="s">
        <v>12440</v>
      </c>
      <c r="J635" t="s">
        <v>12441</v>
      </c>
      <c r="K635" t="s">
        <v>74</v>
      </c>
      <c r="L635" t="s">
        <v>74</v>
      </c>
      <c r="M635" t="s">
        <v>78</v>
      </c>
      <c r="N635" t="s">
        <v>79</v>
      </c>
      <c r="O635" t="s">
        <v>74</v>
      </c>
      <c r="P635" t="s">
        <v>74</v>
      </c>
      <c r="Q635" t="s">
        <v>74</v>
      </c>
      <c r="R635" t="s">
        <v>74</v>
      </c>
      <c r="S635" t="s">
        <v>74</v>
      </c>
      <c r="T635" t="s">
        <v>12442</v>
      </c>
      <c r="U635" t="s">
        <v>12443</v>
      </c>
      <c r="V635" t="s">
        <v>12444</v>
      </c>
      <c r="W635" t="s">
        <v>12445</v>
      </c>
      <c r="X635" t="s">
        <v>12446</v>
      </c>
      <c r="Y635" t="s">
        <v>12447</v>
      </c>
      <c r="Z635" t="s">
        <v>12448</v>
      </c>
      <c r="AA635" t="s">
        <v>74</v>
      </c>
      <c r="AB635" t="s">
        <v>12449</v>
      </c>
      <c r="AC635" t="s">
        <v>74</v>
      </c>
      <c r="AD635" t="s">
        <v>74</v>
      </c>
      <c r="AE635" t="s">
        <v>74</v>
      </c>
      <c r="AF635" t="s">
        <v>74</v>
      </c>
      <c r="AG635">
        <v>65</v>
      </c>
      <c r="AH635">
        <v>11</v>
      </c>
      <c r="AI635">
        <v>12</v>
      </c>
      <c r="AJ635">
        <v>1</v>
      </c>
      <c r="AK635">
        <v>16</v>
      </c>
      <c r="AL635" t="s">
        <v>91</v>
      </c>
      <c r="AM635" t="s">
        <v>92</v>
      </c>
      <c r="AN635" t="s">
        <v>93</v>
      </c>
      <c r="AO635" t="s">
        <v>12450</v>
      </c>
      <c r="AP635" t="s">
        <v>12451</v>
      </c>
      <c r="AQ635" t="s">
        <v>74</v>
      </c>
      <c r="AR635" t="s">
        <v>12452</v>
      </c>
      <c r="AS635" t="s">
        <v>12453</v>
      </c>
      <c r="AT635" t="s">
        <v>12379</v>
      </c>
      <c r="AU635">
        <v>2015</v>
      </c>
      <c r="AV635">
        <v>89</v>
      </c>
      <c r="AW635">
        <v>1</v>
      </c>
      <c r="AX635" t="s">
        <v>74</v>
      </c>
      <c r="AY635" t="s">
        <v>74</v>
      </c>
      <c r="AZ635" t="s">
        <v>74</v>
      </c>
      <c r="BA635" t="s">
        <v>74</v>
      </c>
      <c r="BB635">
        <v>27</v>
      </c>
      <c r="BC635">
        <v>37</v>
      </c>
      <c r="BD635" t="s">
        <v>74</v>
      </c>
      <c r="BE635" t="s">
        <v>74</v>
      </c>
      <c r="BF635" t="s">
        <v>74</v>
      </c>
      <c r="BG635" t="s">
        <v>74</v>
      </c>
      <c r="BH635" t="s">
        <v>74</v>
      </c>
      <c r="BI635">
        <v>11</v>
      </c>
      <c r="BJ635" t="s">
        <v>219</v>
      </c>
      <c r="BK635" t="s">
        <v>100</v>
      </c>
      <c r="BL635" t="s">
        <v>220</v>
      </c>
      <c r="BM635" t="s">
        <v>12454</v>
      </c>
      <c r="BN635" t="s">
        <v>74</v>
      </c>
      <c r="BO635" t="s">
        <v>74</v>
      </c>
      <c r="BP635" t="s">
        <v>74</v>
      </c>
      <c r="BQ635" t="s">
        <v>74</v>
      </c>
      <c r="BR635" t="s">
        <v>104</v>
      </c>
      <c r="BS635" t="s">
        <v>12455</v>
      </c>
      <c r="BT635" t="str">
        <f>HYPERLINK("https%3A%2F%2Fwww.webofscience.com%2Fwos%2Fwoscc%2Ffull-record%2FWOS:000352828700004","View Full Record in Web of Science")</f>
        <v>View Full Record in Web of Science</v>
      </c>
    </row>
    <row r="636" spans="1:72" x14ac:dyDescent="0.15">
      <c r="A636" t="s">
        <v>72</v>
      </c>
      <c r="B636" t="s">
        <v>12456</v>
      </c>
      <c r="C636" t="s">
        <v>74</v>
      </c>
      <c r="D636" t="s">
        <v>74</v>
      </c>
      <c r="E636" t="s">
        <v>74</v>
      </c>
      <c r="F636" t="s">
        <v>12457</v>
      </c>
      <c r="G636" t="s">
        <v>74</v>
      </c>
      <c r="H636" t="s">
        <v>74</v>
      </c>
      <c r="I636" t="s">
        <v>12458</v>
      </c>
      <c r="J636" t="s">
        <v>12459</v>
      </c>
      <c r="K636" t="s">
        <v>74</v>
      </c>
      <c r="L636" t="s">
        <v>74</v>
      </c>
      <c r="M636" t="s">
        <v>78</v>
      </c>
      <c r="N636" t="s">
        <v>79</v>
      </c>
      <c r="O636" t="s">
        <v>74</v>
      </c>
      <c r="P636" t="s">
        <v>74</v>
      </c>
      <c r="Q636" t="s">
        <v>74</v>
      </c>
      <c r="R636" t="s">
        <v>74</v>
      </c>
      <c r="S636" t="s">
        <v>74</v>
      </c>
      <c r="T636" t="s">
        <v>12460</v>
      </c>
      <c r="U636" t="s">
        <v>12461</v>
      </c>
      <c r="V636" t="s">
        <v>12462</v>
      </c>
      <c r="W636" t="s">
        <v>12463</v>
      </c>
      <c r="X636" t="s">
        <v>12464</v>
      </c>
      <c r="Y636" t="s">
        <v>12465</v>
      </c>
      <c r="Z636" t="s">
        <v>12466</v>
      </c>
      <c r="AA636" t="s">
        <v>12467</v>
      </c>
      <c r="AB636" t="s">
        <v>74</v>
      </c>
      <c r="AC636" t="s">
        <v>12468</v>
      </c>
      <c r="AD636" t="s">
        <v>12469</v>
      </c>
      <c r="AE636" t="s">
        <v>12470</v>
      </c>
      <c r="AF636" t="s">
        <v>74</v>
      </c>
      <c r="AG636">
        <v>27</v>
      </c>
      <c r="AH636">
        <v>11</v>
      </c>
      <c r="AI636">
        <v>11</v>
      </c>
      <c r="AJ636">
        <v>2</v>
      </c>
      <c r="AK636">
        <v>42</v>
      </c>
      <c r="AL636" t="s">
        <v>8088</v>
      </c>
      <c r="AM636" t="s">
        <v>8089</v>
      </c>
      <c r="AN636" t="s">
        <v>8090</v>
      </c>
      <c r="AO636" t="s">
        <v>12471</v>
      </c>
      <c r="AP636" t="s">
        <v>12472</v>
      </c>
      <c r="AQ636" t="s">
        <v>74</v>
      </c>
      <c r="AR636" t="s">
        <v>12473</v>
      </c>
      <c r="AS636" t="s">
        <v>12474</v>
      </c>
      <c r="AT636" t="s">
        <v>12379</v>
      </c>
      <c r="AU636">
        <v>2015</v>
      </c>
      <c r="AV636">
        <v>8</v>
      </c>
      <c r="AW636">
        <v>2</v>
      </c>
      <c r="AX636" t="s">
        <v>74</v>
      </c>
      <c r="AY636" t="s">
        <v>74</v>
      </c>
      <c r="AZ636" t="s">
        <v>74</v>
      </c>
      <c r="BA636" t="s">
        <v>74</v>
      </c>
      <c r="BB636">
        <v>471</v>
      </c>
      <c r="BC636">
        <v>479</v>
      </c>
      <c r="BD636" t="s">
        <v>74</v>
      </c>
      <c r="BE636" t="s">
        <v>12475</v>
      </c>
      <c r="BF636" t="str">
        <f>HYPERLINK("http://dx.doi.org/10.1109/JSTARS.2014.2342742","http://dx.doi.org/10.1109/JSTARS.2014.2342742")</f>
        <v>http://dx.doi.org/10.1109/JSTARS.2014.2342742</v>
      </c>
      <c r="BG636" t="s">
        <v>74</v>
      </c>
      <c r="BH636" t="s">
        <v>74</v>
      </c>
      <c r="BI636">
        <v>9</v>
      </c>
      <c r="BJ636" t="s">
        <v>12476</v>
      </c>
      <c r="BK636" t="s">
        <v>100</v>
      </c>
      <c r="BL636" t="s">
        <v>12477</v>
      </c>
      <c r="BM636" t="s">
        <v>12478</v>
      </c>
      <c r="BN636" t="s">
        <v>74</v>
      </c>
      <c r="BO636" t="s">
        <v>74</v>
      </c>
      <c r="BP636" t="s">
        <v>74</v>
      </c>
      <c r="BQ636" t="s">
        <v>74</v>
      </c>
      <c r="BR636" t="s">
        <v>104</v>
      </c>
      <c r="BS636" t="s">
        <v>12479</v>
      </c>
      <c r="BT636" t="str">
        <f>HYPERLINK("https%3A%2F%2Fwww.webofscience.com%2Fwos%2Fwoscc%2Ffull-record%2FWOS:000352277100004","View Full Record in Web of Science")</f>
        <v>View Full Record in Web of Science</v>
      </c>
    </row>
    <row r="637" spans="1:72" x14ac:dyDescent="0.15">
      <c r="A637" t="s">
        <v>72</v>
      </c>
      <c r="B637" t="s">
        <v>12480</v>
      </c>
      <c r="C637" t="s">
        <v>74</v>
      </c>
      <c r="D637" t="s">
        <v>74</v>
      </c>
      <c r="E637" t="s">
        <v>74</v>
      </c>
      <c r="F637" t="s">
        <v>12481</v>
      </c>
      <c r="G637" t="s">
        <v>74</v>
      </c>
      <c r="H637" t="s">
        <v>74</v>
      </c>
      <c r="I637" t="s">
        <v>12482</v>
      </c>
      <c r="J637" t="s">
        <v>12459</v>
      </c>
      <c r="K637" t="s">
        <v>74</v>
      </c>
      <c r="L637" t="s">
        <v>74</v>
      </c>
      <c r="M637" t="s">
        <v>78</v>
      </c>
      <c r="N637" t="s">
        <v>79</v>
      </c>
      <c r="O637" t="s">
        <v>74</v>
      </c>
      <c r="P637" t="s">
        <v>74</v>
      </c>
      <c r="Q637" t="s">
        <v>74</v>
      </c>
      <c r="R637" t="s">
        <v>74</v>
      </c>
      <c r="S637" t="s">
        <v>74</v>
      </c>
      <c r="T637" t="s">
        <v>12483</v>
      </c>
      <c r="U637" t="s">
        <v>12484</v>
      </c>
      <c r="V637" t="s">
        <v>12485</v>
      </c>
      <c r="W637" t="s">
        <v>12486</v>
      </c>
      <c r="X637" t="s">
        <v>12487</v>
      </c>
      <c r="Y637" t="s">
        <v>12488</v>
      </c>
      <c r="Z637" t="s">
        <v>12489</v>
      </c>
      <c r="AA637" t="s">
        <v>12490</v>
      </c>
      <c r="AB637" t="s">
        <v>12491</v>
      </c>
      <c r="AC637" t="s">
        <v>12492</v>
      </c>
      <c r="AD637" t="s">
        <v>12493</v>
      </c>
      <c r="AE637" t="s">
        <v>12494</v>
      </c>
      <c r="AF637" t="s">
        <v>74</v>
      </c>
      <c r="AG637">
        <v>43</v>
      </c>
      <c r="AH637">
        <v>27</v>
      </c>
      <c r="AI637">
        <v>32</v>
      </c>
      <c r="AJ637">
        <v>0</v>
      </c>
      <c r="AK637">
        <v>40</v>
      </c>
      <c r="AL637" t="s">
        <v>8088</v>
      </c>
      <c r="AM637" t="s">
        <v>8089</v>
      </c>
      <c r="AN637" t="s">
        <v>8090</v>
      </c>
      <c r="AO637" t="s">
        <v>12471</v>
      </c>
      <c r="AP637" t="s">
        <v>12472</v>
      </c>
      <c r="AQ637" t="s">
        <v>74</v>
      </c>
      <c r="AR637" t="s">
        <v>12473</v>
      </c>
      <c r="AS637" t="s">
        <v>12474</v>
      </c>
      <c r="AT637" t="s">
        <v>12379</v>
      </c>
      <c r="AU637">
        <v>2015</v>
      </c>
      <c r="AV637">
        <v>8</v>
      </c>
      <c r="AW637">
        <v>2</v>
      </c>
      <c r="AX637" t="s">
        <v>74</v>
      </c>
      <c r="AY637" t="s">
        <v>74</v>
      </c>
      <c r="AZ637" t="s">
        <v>74</v>
      </c>
      <c r="BA637" t="s">
        <v>74</v>
      </c>
      <c r="BB637">
        <v>589</v>
      </c>
      <c r="BC637">
        <v>603</v>
      </c>
      <c r="BD637" t="s">
        <v>74</v>
      </c>
      <c r="BE637" t="s">
        <v>12495</v>
      </c>
      <c r="BF637" t="str">
        <f>HYPERLINK("http://dx.doi.org/10.1109/JSTARS.2014.2336664","http://dx.doi.org/10.1109/JSTARS.2014.2336664")</f>
        <v>http://dx.doi.org/10.1109/JSTARS.2014.2336664</v>
      </c>
      <c r="BG637" t="s">
        <v>74</v>
      </c>
      <c r="BH637" t="s">
        <v>74</v>
      </c>
      <c r="BI637">
        <v>15</v>
      </c>
      <c r="BJ637" t="s">
        <v>12476</v>
      </c>
      <c r="BK637" t="s">
        <v>100</v>
      </c>
      <c r="BL637" t="s">
        <v>12477</v>
      </c>
      <c r="BM637" t="s">
        <v>12478</v>
      </c>
      <c r="BN637" t="s">
        <v>74</v>
      </c>
      <c r="BO637" t="s">
        <v>156</v>
      </c>
      <c r="BP637" t="s">
        <v>74</v>
      </c>
      <c r="BQ637" t="s">
        <v>74</v>
      </c>
      <c r="BR637" t="s">
        <v>104</v>
      </c>
      <c r="BS637" t="s">
        <v>12496</v>
      </c>
      <c r="BT637" t="str">
        <f>HYPERLINK("https%3A%2F%2Fwww.webofscience.com%2Fwos%2Fwoscc%2Ffull-record%2FWOS:000352277100014","View Full Record in Web of Science")</f>
        <v>View Full Record in Web of Science</v>
      </c>
    </row>
    <row r="638" spans="1:72" x14ac:dyDescent="0.15">
      <c r="A638" t="s">
        <v>72</v>
      </c>
      <c r="B638" t="s">
        <v>12497</v>
      </c>
      <c r="C638" t="s">
        <v>74</v>
      </c>
      <c r="D638" t="s">
        <v>74</v>
      </c>
      <c r="E638" t="s">
        <v>74</v>
      </c>
      <c r="F638" t="s">
        <v>12498</v>
      </c>
      <c r="G638" t="s">
        <v>74</v>
      </c>
      <c r="H638" t="s">
        <v>74</v>
      </c>
      <c r="I638" t="s">
        <v>12499</v>
      </c>
      <c r="J638" t="s">
        <v>9259</v>
      </c>
      <c r="K638" t="s">
        <v>74</v>
      </c>
      <c r="L638" t="s">
        <v>74</v>
      </c>
      <c r="M638" t="s">
        <v>78</v>
      </c>
      <c r="N638" t="s">
        <v>79</v>
      </c>
      <c r="O638" t="s">
        <v>74</v>
      </c>
      <c r="P638" t="s">
        <v>74</v>
      </c>
      <c r="Q638" t="s">
        <v>74</v>
      </c>
      <c r="R638" t="s">
        <v>74</v>
      </c>
      <c r="S638" t="s">
        <v>74</v>
      </c>
      <c r="T638" t="s">
        <v>74</v>
      </c>
      <c r="U638" t="s">
        <v>12500</v>
      </c>
      <c r="V638" t="s">
        <v>12501</v>
      </c>
      <c r="W638" t="s">
        <v>12502</v>
      </c>
      <c r="X638" t="s">
        <v>12503</v>
      </c>
      <c r="Y638" t="s">
        <v>12504</v>
      </c>
      <c r="Z638" t="s">
        <v>12505</v>
      </c>
      <c r="AA638" t="s">
        <v>12506</v>
      </c>
      <c r="AB638" t="s">
        <v>12507</v>
      </c>
      <c r="AC638" t="s">
        <v>12508</v>
      </c>
      <c r="AD638" t="s">
        <v>2094</v>
      </c>
      <c r="AE638" t="s">
        <v>12509</v>
      </c>
      <c r="AF638" t="s">
        <v>74</v>
      </c>
      <c r="AG638">
        <v>76</v>
      </c>
      <c r="AH638">
        <v>8</v>
      </c>
      <c r="AI638">
        <v>11</v>
      </c>
      <c r="AJ638">
        <v>1</v>
      </c>
      <c r="AK638">
        <v>11</v>
      </c>
      <c r="AL638" t="s">
        <v>2440</v>
      </c>
      <c r="AM638" t="s">
        <v>121</v>
      </c>
      <c r="AN638" t="s">
        <v>2441</v>
      </c>
      <c r="AO638" t="s">
        <v>9269</v>
      </c>
      <c r="AP638" t="s">
        <v>9270</v>
      </c>
      <c r="AQ638" t="s">
        <v>74</v>
      </c>
      <c r="AR638" t="s">
        <v>9271</v>
      </c>
      <c r="AS638" t="s">
        <v>9272</v>
      </c>
      <c r="AT638" t="s">
        <v>12379</v>
      </c>
      <c r="AU638">
        <v>2015</v>
      </c>
      <c r="AV638">
        <v>55</v>
      </c>
      <c r="AW638">
        <v>1</v>
      </c>
      <c r="AX638" t="s">
        <v>74</v>
      </c>
      <c r="AY638" t="s">
        <v>74</v>
      </c>
      <c r="AZ638" t="s">
        <v>74</v>
      </c>
      <c r="BA638" t="s">
        <v>74</v>
      </c>
      <c r="BB638">
        <v>112</v>
      </c>
      <c r="BC638">
        <v>123</v>
      </c>
      <c r="BD638" t="s">
        <v>74</v>
      </c>
      <c r="BE638" t="s">
        <v>12510</v>
      </c>
      <c r="BF638" t="str">
        <f>HYPERLINK("http://dx.doi.org/10.1134/S0001437014060101","http://dx.doi.org/10.1134/S0001437014060101")</f>
        <v>http://dx.doi.org/10.1134/S0001437014060101</v>
      </c>
      <c r="BG638" t="s">
        <v>74</v>
      </c>
      <c r="BH638" t="s">
        <v>74</v>
      </c>
      <c r="BI638">
        <v>12</v>
      </c>
      <c r="BJ638" t="s">
        <v>1540</v>
      </c>
      <c r="BK638" t="s">
        <v>100</v>
      </c>
      <c r="BL638" t="s">
        <v>1540</v>
      </c>
      <c r="BM638" t="s">
        <v>12511</v>
      </c>
      <c r="BN638" t="s">
        <v>74</v>
      </c>
      <c r="BO638" t="s">
        <v>74</v>
      </c>
      <c r="BP638" t="s">
        <v>74</v>
      </c>
      <c r="BQ638" t="s">
        <v>74</v>
      </c>
      <c r="BR638" t="s">
        <v>104</v>
      </c>
      <c r="BS638" t="s">
        <v>12512</v>
      </c>
      <c r="BT638" t="str">
        <f>HYPERLINK("https%3A%2F%2Fwww.webofscience.com%2Fwos%2Fwoscc%2Ffull-record%2FWOS:000352488700012","View Full Record in Web of Science")</f>
        <v>View Full Record in Web of Science</v>
      </c>
    </row>
    <row r="639" spans="1:72" x14ac:dyDescent="0.15">
      <c r="A639" t="s">
        <v>72</v>
      </c>
      <c r="B639" t="s">
        <v>12513</v>
      </c>
      <c r="C639" t="s">
        <v>74</v>
      </c>
      <c r="D639" t="s">
        <v>74</v>
      </c>
      <c r="E639" t="s">
        <v>74</v>
      </c>
      <c r="F639" t="s">
        <v>12514</v>
      </c>
      <c r="G639" t="s">
        <v>74</v>
      </c>
      <c r="H639" t="s">
        <v>74</v>
      </c>
      <c r="I639" t="s">
        <v>12515</v>
      </c>
      <c r="J639" t="s">
        <v>2229</v>
      </c>
      <c r="K639" t="s">
        <v>74</v>
      </c>
      <c r="L639" t="s">
        <v>74</v>
      </c>
      <c r="M639" t="s">
        <v>78</v>
      </c>
      <c r="N639" t="s">
        <v>79</v>
      </c>
      <c r="O639" t="s">
        <v>74</v>
      </c>
      <c r="P639" t="s">
        <v>74</v>
      </c>
      <c r="Q639" t="s">
        <v>74</v>
      </c>
      <c r="R639" t="s">
        <v>74</v>
      </c>
      <c r="S639" t="s">
        <v>74</v>
      </c>
      <c r="T639" t="s">
        <v>12516</v>
      </c>
      <c r="U639" t="s">
        <v>12517</v>
      </c>
      <c r="V639" t="s">
        <v>12518</v>
      </c>
      <c r="W639" t="s">
        <v>12519</v>
      </c>
      <c r="X639" t="s">
        <v>12520</v>
      </c>
      <c r="Y639" t="s">
        <v>12521</v>
      </c>
      <c r="Z639" t="s">
        <v>12522</v>
      </c>
      <c r="AA639" t="s">
        <v>12523</v>
      </c>
      <c r="AB639" t="s">
        <v>12524</v>
      </c>
      <c r="AC639" t="s">
        <v>12525</v>
      </c>
      <c r="AD639" t="s">
        <v>12526</v>
      </c>
      <c r="AE639" t="s">
        <v>12527</v>
      </c>
      <c r="AF639" t="s">
        <v>74</v>
      </c>
      <c r="AG639">
        <v>52</v>
      </c>
      <c r="AH639">
        <v>13</v>
      </c>
      <c r="AI639">
        <v>13</v>
      </c>
      <c r="AJ639">
        <v>1</v>
      </c>
      <c r="AK639">
        <v>44</v>
      </c>
      <c r="AL639" t="s">
        <v>12528</v>
      </c>
      <c r="AM639" t="s">
        <v>12529</v>
      </c>
      <c r="AN639" t="s">
        <v>12530</v>
      </c>
      <c r="AO639" t="s">
        <v>2245</v>
      </c>
      <c r="AP639" t="s">
        <v>12531</v>
      </c>
      <c r="AQ639" t="s">
        <v>74</v>
      </c>
      <c r="AR639" t="s">
        <v>2229</v>
      </c>
      <c r="AS639" t="s">
        <v>2246</v>
      </c>
      <c r="AT639" t="s">
        <v>12379</v>
      </c>
      <c r="AU639">
        <v>2015</v>
      </c>
      <c r="AV639">
        <v>166</v>
      </c>
      <c r="AW639">
        <v>1</v>
      </c>
      <c r="AX639" t="s">
        <v>74</v>
      </c>
      <c r="AY639" t="s">
        <v>74</v>
      </c>
      <c r="AZ639" t="s">
        <v>74</v>
      </c>
      <c r="BA639" t="s">
        <v>74</v>
      </c>
      <c r="BB639">
        <v>42</v>
      </c>
      <c r="BC639">
        <v>57</v>
      </c>
      <c r="BD639" t="s">
        <v>74</v>
      </c>
      <c r="BE639" t="s">
        <v>12532</v>
      </c>
      <c r="BF639" t="str">
        <f>HYPERLINK("http://dx.doi.org/10.1016/j.protis.2014.11.002","http://dx.doi.org/10.1016/j.protis.2014.11.002")</f>
        <v>http://dx.doi.org/10.1016/j.protis.2014.11.002</v>
      </c>
      <c r="BG639" t="s">
        <v>74</v>
      </c>
      <c r="BH639" t="s">
        <v>74</v>
      </c>
      <c r="BI639">
        <v>16</v>
      </c>
      <c r="BJ639" t="s">
        <v>483</v>
      </c>
      <c r="BK639" t="s">
        <v>100</v>
      </c>
      <c r="BL639" t="s">
        <v>483</v>
      </c>
      <c r="BM639" t="s">
        <v>12533</v>
      </c>
      <c r="BN639">
        <v>25555150</v>
      </c>
      <c r="BO639" t="s">
        <v>74</v>
      </c>
      <c r="BP639" t="s">
        <v>74</v>
      </c>
      <c r="BQ639" t="s">
        <v>74</v>
      </c>
      <c r="BR639" t="s">
        <v>104</v>
      </c>
      <c r="BS639" t="s">
        <v>12534</v>
      </c>
      <c r="BT639" t="str">
        <f>HYPERLINK("https%3A%2F%2Fwww.webofscience.com%2Fwos%2Fwoscc%2Ffull-record%2FWOS:000352015800003","View Full Record in Web of Science")</f>
        <v>View Full Record in Web of Science</v>
      </c>
    </row>
    <row r="640" spans="1:72" x14ac:dyDescent="0.15">
      <c r="A640" t="s">
        <v>72</v>
      </c>
      <c r="B640" t="s">
        <v>12535</v>
      </c>
      <c r="C640" t="s">
        <v>74</v>
      </c>
      <c r="D640" t="s">
        <v>74</v>
      </c>
      <c r="E640" t="s">
        <v>74</v>
      </c>
      <c r="F640" t="s">
        <v>12536</v>
      </c>
      <c r="G640" t="s">
        <v>74</v>
      </c>
      <c r="H640" t="s">
        <v>74</v>
      </c>
      <c r="I640" t="s">
        <v>12537</v>
      </c>
      <c r="J640" t="s">
        <v>12538</v>
      </c>
      <c r="K640" t="s">
        <v>74</v>
      </c>
      <c r="L640" t="s">
        <v>74</v>
      </c>
      <c r="M640" t="s">
        <v>78</v>
      </c>
      <c r="N640" t="s">
        <v>79</v>
      </c>
      <c r="O640" t="s">
        <v>74</v>
      </c>
      <c r="P640" t="s">
        <v>74</v>
      </c>
      <c r="Q640" t="s">
        <v>74</v>
      </c>
      <c r="R640" t="s">
        <v>74</v>
      </c>
      <c r="S640" t="s">
        <v>74</v>
      </c>
      <c r="T640" t="s">
        <v>74</v>
      </c>
      <c r="U640" t="s">
        <v>12539</v>
      </c>
      <c r="V640" t="s">
        <v>12540</v>
      </c>
      <c r="W640" t="s">
        <v>12541</v>
      </c>
      <c r="X640" t="s">
        <v>12542</v>
      </c>
      <c r="Y640" t="s">
        <v>12543</v>
      </c>
      <c r="Z640" t="s">
        <v>12544</v>
      </c>
      <c r="AA640" t="s">
        <v>12545</v>
      </c>
      <c r="AB640" t="s">
        <v>12546</v>
      </c>
      <c r="AC640" t="s">
        <v>12547</v>
      </c>
      <c r="AD640" t="s">
        <v>12548</v>
      </c>
      <c r="AE640" t="s">
        <v>12549</v>
      </c>
      <c r="AF640" t="s">
        <v>74</v>
      </c>
      <c r="AG640">
        <v>21</v>
      </c>
      <c r="AH640">
        <v>4</v>
      </c>
      <c r="AI640">
        <v>4</v>
      </c>
      <c r="AJ640">
        <v>0</v>
      </c>
      <c r="AK640">
        <v>2</v>
      </c>
      <c r="AL640" t="s">
        <v>1621</v>
      </c>
      <c r="AM640" t="s">
        <v>787</v>
      </c>
      <c r="AN640" t="s">
        <v>1622</v>
      </c>
      <c r="AO640" t="s">
        <v>12550</v>
      </c>
      <c r="AP640" t="s">
        <v>12551</v>
      </c>
      <c r="AQ640" t="s">
        <v>74</v>
      </c>
      <c r="AR640" t="s">
        <v>12552</v>
      </c>
      <c r="AS640" t="s">
        <v>12553</v>
      </c>
      <c r="AT640" t="s">
        <v>12379</v>
      </c>
      <c r="AU640">
        <v>2015</v>
      </c>
      <c r="AV640">
        <v>68</v>
      </c>
      <c r="AW640">
        <v>1</v>
      </c>
      <c r="AX640" t="s">
        <v>74</v>
      </c>
      <c r="AY640" t="s">
        <v>74</v>
      </c>
      <c r="AZ640" t="s">
        <v>74</v>
      </c>
      <c r="BA640" t="s">
        <v>74</v>
      </c>
      <c r="BB640">
        <v>97</v>
      </c>
      <c r="BC640">
        <v>113</v>
      </c>
      <c r="BD640" t="s">
        <v>74</v>
      </c>
      <c r="BE640" t="s">
        <v>12554</v>
      </c>
      <c r="BF640" t="str">
        <f>HYPERLINK("http://dx.doi.org/10.1093/qjmam/hbu024","http://dx.doi.org/10.1093/qjmam/hbu024")</f>
        <v>http://dx.doi.org/10.1093/qjmam/hbu024</v>
      </c>
      <c r="BG640" t="s">
        <v>74</v>
      </c>
      <c r="BH640" t="s">
        <v>74</v>
      </c>
      <c r="BI640">
        <v>17</v>
      </c>
      <c r="BJ640" t="s">
        <v>12555</v>
      </c>
      <c r="BK640" t="s">
        <v>100</v>
      </c>
      <c r="BL640" t="s">
        <v>12556</v>
      </c>
      <c r="BM640" t="s">
        <v>12557</v>
      </c>
      <c r="BN640" t="s">
        <v>74</v>
      </c>
      <c r="BO640" t="s">
        <v>2201</v>
      </c>
      <c r="BP640" t="s">
        <v>74</v>
      </c>
      <c r="BQ640" t="s">
        <v>74</v>
      </c>
      <c r="BR640" t="s">
        <v>104</v>
      </c>
      <c r="BS640" t="s">
        <v>12558</v>
      </c>
      <c r="BT640" t="str">
        <f>HYPERLINK("https%3A%2F%2Fwww.webofscience.com%2Fwos%2Fwoscc%2Ffull-record%2FWOS:000352001600005","View Full Record in Web of Science")</f>
        <v>View Full Record in Web of Science</v>
      </c>
    </row>
    <row r="641" spans="1:72" x14ac:dyDescent="0.15">
      <c r="A641" t="s">
        <v>72</v>
      </c>
      <c r="B641" t="s">
        <v>12559</v>
      </c>
      <c r="C641" t="s">
        <v>74</v>
      </c>
      <c r="D641" t="s">
        <v>74</v>
      </c>
      <c r="E641" t="s">
        <v>74</v>
      </c>
      <c r="F641" t="s">
        <v>12560</v>
      </c>
      <c r="G641" t="s">
        <v>74</v>
      </c>
      <c r="H641" t="s">
        <v>74</v>
      </c>
      <c r="I641" t="s">
        <v>12561</v>
      </c>
      <c r="J641" t="s">
        <v>6524</v>
      </c>
      <c r="K641" t="s">
        <v>74</v>
      </c>
      <c r="L641" t="s">
        <v>74</v>
      </c>
      <c r="M641" t="s">
        <v>78</v>
      </c>
      <c r="N641" t="s">
        <v>2472</v>
      </c>
      <c r="O641" t="s">
        <v>74</v>
      </c>
      <c r="P641" t="s">
        <v>74</v>
      </c>
      <c r="Q641" t="s">
        <v>74</v>
      </c>
      <c r="R641" t="s">
        <v>74</v>
      </c>
      <c r="S641" t="s">
        <v>74</v>
      </c>
      <c r="T641" t="s">
        <v>74</v>
      </c>
      <c r="U641" t="s">
        <v>74</v>
      </c>
      <c r="V641" t="s">
        <v>74</v>
      </c>
      <c r="W641" t="s">
        <v>74</v>
      </c>
      <c r="X641" t="s">
        <v>74</v>
      </c>
      <c r="Y641" t="s">
        <v>74</v>
      </c>
      <c r="Z641" t="s">
        <v>74</v>
      </c>
      <c r="AA641" t="s">
        <v>12562</v>
      </c>
      <c r="AB641" t="s">
        <v>74</v>
      </c>
      <c r="AC641" t="s">
        <v>74</v>
      </c>
      <c r="AD641" t="s">
        <v>74</v>
      </c>
      <c r="AE641" t="s">
        <v>74</v>
      </c>
      <c r="AF641" t="s">
        <v>74</v>
      </c>
      <c r="AG641">
        <v>3</v>
      </c>
      <c r="AH641">
        <v>0</v>
      </c>
      <c r="AI641">
        <v>0</v>
      </c>
      <c r="AJ641">
        <v>0</v>
      </c>
      <c r="AK641">
        <v>13</v>
      </c>
      <c r="AL641" t="s">
        <v>2167</v>
      </c>
      <c r="AM641" t="s">
        <v>121</v>
      </c>
      <c r="AN641" t="s">
        <v>5926</v>
      </c>
      <c r="AO641" t="s">
        <v>6537</v>
      </c>
      <c r="AP641" t="s">
        <v>6538</v>
      </c>
      <c r="AQ641" t="s">
        <v>74</v>
      </c>
      <c r="AR641" t="s">
        <v>6539</v>
      </c>
      <c r="AS641" t="s">
        <v>6540</v>
      </c>
      <c r="AT641" t="s">
        <v>12379</v>
      </c>
      <c r="AU641">
        <v>2015</v>
      </c>
      <c r="AV641">
        <v>27</v>
      </c>
      <c r="AW641">
        <v>1</v>
      </c>
      <c r="AX641" t="s">
        <v>74</v>
      </c>
      <c r="AY641" t="s">
        <v>74</v>
      </c>
      <c r="AZ641" t="s">
        <v>74</v>
      </c>
      <c r="BA641" t="s">
        <v>74</v>
      </c>
      <c r="BB641">
        <v>2</v>
      </c>
      <c r="BC641">
        <v>2</v>
      </c>
      <c r="BD641" t="s">
        <v>74</v>
      </c>
      <c r="BE641" t="s">
        <v>12563</v>
      </c>
      <c r="BF641" t="str">
        <f>HYPERLINK("http://dx.doi.org/10.1017/S0954102014000698","http://dx.doi.org/10.1017/S0954102014000698")</f>
        <v>http://dx.doi.org/10.1017/S0954102014000698</v>
      </c>
      <c r="BG641" t="s">
        <v>74</v>
      </c>
      <c r="BH641" t="s">
        <v>74</v>
      </c>
      <c r="BI641">
        <v>1</v>
      </c>
      <c r="BJ641" t="s">
        <v>6542</v>
      </c>
      <c r="BK641" t="s">
        <v>100</v>
      </c>
      <c r="BL641" t="s">
        <v>6543</v>
      </c>
      <c r="BM641" t="s">
        <v>12564</v>
      </c>
      <c r="BN641" t="s">
        <v>74</v>
      </c>
      <c r="BO641" t="s">
        <v>156</v>
      </c>
      <c r="BP641" t="s">
        <v>74</v>
      </c>
      <c r="BQ641" t="s">
        <v>74</v>
      </c>
      <c r="BR641" t="s">
        <v>104</v>
      </c>
      <c r="BS641" t="s">
        <v>12565</v>
      </c>
      <c r="BT641" t="str">
        <f>HYPERLINK("https%3A%2F%2Fwww.webofscience.com%2Fwos%2Fwoscc%2Ffull-record%2FWOS:000351294900002","View Full Record in Web of Science")</f>
        <v>View Full Record in Web of Science</v>
      </c>
    </row>
    <row r="642" spans="1:72" x14ac:dyDescent="0.15">
      <c r="A642" t="s">
        <v>72</v>
      </c>
      <c r="B642" t="s">
        <v>12566</v>
      </c>
      <c r="C642" t="s">
        <v>74</v>
      </c>
      <c r="D642" t="s">
        <v>74</v>
      </c>
      <c r="E642" t="s">
        <v>74</v>
      </c>
      <c r="F642" t="s">
        <v>12567</v>
      </c>
      <c r="G642" t="s">
        <v>74</v>
      </c>
      <c r="H642" t="s">
        <v>74</v>
      </c>
      <c r="I642" t="s">
        <v>12568</v>
      </c>
      <c r="J642" t="s">
        <v>6524</v>
      </c>
      <c r="K642" t="s">
        <v>74</v>
      </c>
      <c r="L642" t="s">
        <v>74</v>
      </c>
      <c r="M642" t="s">
        <v>78</v>
      </c>
      <c r="N642" t="s">
        <v>79</v>
      </c>
      <c r="O642" t="s">
        <v>74</v>
      </c>
      <c r="P642" t="s">
        <v>74</v>
      </c>
      <c r="Q642" t="s">
        <v>74</v>
      </c>
      <c r="R642" t="s">
        <v>74</v>
      </c>
      <c r="S642" t="s">
        <v>74</v>
      </c>
      <c r="T642" t="s">
        <v>12569</v>
      </c>
      <c r="U642" t="s">
        <v>12570</v>
      </c>
      <c r="V642" t="s">
        <v>12571</v>
      </c>
      <c r="W642" t="s">
        <v>12572</v>
      </c>
      <c r="X642" t="s">
        <v>12573</v>
      </c>
      <c r="Y642" t="s">
        <v>12574</v>
      </c>
      <c r="Z642" t="s">
        <v>12575</v>
      </c>
      <c r="AA642" t="s">
        <v>12576</v>
      </c>
      <c r="AB642" t="s">
        <v>12577</v>
      </c>
      <c r="AC642" t="s">
        <v>74</v>
      </c>
      <c r="AD642" t="s">
        <v>74</v>
      </c>
      <c r="AE642" t="s">
        <v>74</v>
      </c>
      <c r="AF642" t="s">
        <v>74</v>
      </c>
      <c r="AG642">
        <v>27</v>
      </c>
      <c r="AH642">
        <v>26</v>
      </c>
      <c r="AI642">
        <v>27</v>
      </c>
      <c r="AJ642">
        <v>2</v>
      </c>
      <c r="AK642">
        <v>28</v>
      </c>
      <c r="AL642" t="s">
        <v>2167</v>
      </c>
      <c r="AM642" t="s">
        <v>121</v>
      </c>
      <c r="AN642" t="s">
        <v>5926</v>
      </c>
      <c r="AO642" t="s">
        <v>6537</v>
      </c>
      <c r="AP642" t="s">
        <v>6538</v>
      </c>
      <c r="AQ642" t="s">
        <v>74</v>
      </c>
      <c r="AR642" t="s">
        <v>6539</v>
      </c>
      <c r="AS642" t="s">
        <v>6540</v>
      </c>
      <c r="AT642" t="s">
        <v>12379</v>
      </c>
      <c r="AU642">
        <v>2015</v>
      </c>
      <c r="AV642">
        <v>27</v>
      </c>
      <c r="AW642">
        <v>1</v>
      </c>
      <c r="AX642" t="s">
        <v>74</v>
      </c>
      <c r="AY642" t="s">
        <v>74</v>
      </c>
      <c r="AZ642" t="s">
        <v>74</v>
      </c>
      <c r="BA642" t="s">
        <v>74</v>
      </c>
      <c r="BB642">
        <v>31</v>
      </c>
      <c r="BC642">
        <v>43</v>
      </c>
      <c r="BD642" t="s">
        <v>74</v>
      </c>
      <c r="BE642" t="s">
        <v>12578</v>
      </c>
      <c r="BF642" t="str">
        <f>HYPERLINK("http://dx.doi.org/10.1017/S0954102014000273","http://dx.doi.org/10.1017/S0954102014000273")</f>
        <v>http://dx.doi.org/10.1017/S0954102014000273</v>
      </c>
      <c r="BG642" t="s">
        <v>74</v>
      </c>
      <c r="BH642" t="s">
        <v>74</v>
      </c>
      <c r="BI642">
        <v>13</v>
      </c>
      <c r="BJ642" t="s">
        <v>6542</v>
      </c>
      <c r="BK642" t="s">
        <v>100</v>
      </c>
      <c r="BL642" t="s">
        <v>6543</v>
      </c>
      <c r="BM642" t="s">
        <v>12564</v>
      </c>
      <c r="BN642" t="s">
        <v>74</v>
      </c>
      <c r="BO642" t="s">
        <v>74</v>
      </c>
      <c r="BP642" t="s">
        <v>74</v>
      </c>
      <c r="BQ642" t="s">
        <v>74</v>
      </c>
      <c r="BR642" t="s">
        <v>104</v>
      </c>
      <c r="BS642" t="s">
        <v>12579</v>
      </c>
      <c r="BT642" t="str">
        <f>HYPERLINK("https%3A%2F%2Fwww.webofscience.com%2Fwos%2Fwoscc%2Ffull-record%2FWOS:000351294900005","View Full Record in Web of Science")</f>
        <v>View Full Record in Web of Science</v>
      </c>
    </row>
    <row r="643" spans="1:72" x14ac:dyDescent="0.15">
      <c r="A643" t="s">
        <v>72</v>
      </c>
      <c r="B643" t="s">
        <v>12580</v>
      </c>
      <c r="C643" t="s">
        <v>74</v>
      </c>
      <c r="D643" t="s">
        <v>74</v>
      </c>
      <c r="E643" t="s">
        <v>74</v>
      </c>
      <c r="F643" t="s">
        <v>12581</v>
      </c>
      <c r="G643" t="s">
        <v>74</v>
      </c>
      <c r="H643" t="s">
        <v>74</v>
      </c>
      <c r="I643" t="s">
        <v>12582</v>
      </c>
      <c r="J643" t="s">
        <v>6524</v>
      </c>
      <c r="K643" t="s">
        <v>74</v>
      </c>
      <c r="L643" t="s">
        <v>74</v>
      </c>
      <c r="M643" t="s">
        <v>78</v>
      </c>
      <c r="N643" t="s">
        <v>79</v>
      </c>
      <c r="O643" t="s">
        <v>74</v>
      </c>
      <c r="P643" t="s">
        <v>74</v>
      </c>
      <c r="Q643" t="s">
        <v>74</v>
      </c>
      <c r="R643" t="s">
        <v>74</v>
      </c>
      <c r="S643" t="s">
        <v>74</v>
      </c>
      <c r="T643" t="s">
        <v>12583</v>
      </c>
      <c r="U643" t="s">
        <v>12584</v>
      </c>
      <c r="V643" t="s">
        <v>12585</v>
      </c>
      <c r="W643" t="s">
        <v>12586</v>
      </c>
      <c r="X643" t="s">
        <v>12587</v>
      </c>
      <c r="Y643" t="s">
        <v>12588</v>
      </c>
      <c r="Z643" t="s">
        <v>12589</v>
      </c>
      <c r="AA643" t="s">
        <v>12590</v>
      </c>
      <c r="AB643" t="s">
        <v>74</v>
      </c>
      <c r="AC643" t="s">
        <v>12591</v>
      </c>
      <c r="AD643" t="s">
        <v>12592</v>
      </c>
      <c r="AE643" t="s">
        <v>12593</v>
      </c>
      <c r="AF643" t="s">
        <v>74</v>
      </c>
      <c r="AG643">
        <v>33</v>
      </c>
      <c r="AH643">
        <v>5</v>
      </c>
      <c r="AI643">
        <v>5</v>
      </c>
      <c r="AJ643">
        <v>0</v>
      </c>
      <c r="AK643">
        <v>25</v>
      </c>
      <c r="AL643" t="s">
        <v>2167</v>
      </c>
      <c r="AM643" t="s">
        <v>121</v>
      </c>
      <c r="AN643" t="s">
        <v>5926</v>
      </c>
      <c r="AO643" t="s">
        <v>6537</v>
      </c>
      <c r="AP643" t="s">
        <v>6538</v>
      </c>
      <c r="AQ643" t="s">
        <v>74</v>
      </c>
      <c r="AR643" t="s">
        <v>6539</v>
      </c>
      <c r="AS643" t="s">
        <v>6540</v>
      </c>
      <c r="AT643" t="s">
        <v>12379</v>
      </c>
      <c r="AU643">
        <v>2015</v>
      </c>
      <c r="AV643">
        <v>27</v>
      </c>
      <c r="AW643">
        <v>1</v>
      </c>
      <c r="AX643" t="s">
        <v>74</v>
      </c>
      <c r="AY643" t="s">
        <v>74</v>
      </c>
      <c r="AZ643" t="s">
        <v>74</v>
      </c>
      <c r="BA643" t="s">
        <v>74</v>
      </c>
      <c r="BB643">
        <v>57</v>
      </c>
      <c r="BC643">
        <v>68</v>
      </c>
      <c r="BD643" t="s">
        <v>74</v>
      </c>
      <c r="BE643" t="s">
        <v>12594</v>
      </c>
      <c r="BF643" t="str">
        <f>HYPERLINK("http://dx.doi.org/10.1017/S0954102014000297","http://dx.doi.org/10.1017/S0954102014000297")</f>
        <v>http://dx.doi.org/10.1017/S0954102014000297</v>
      </c>
      <c r="BG643" t="s">
        <v>74</v>
      </c>
      <c r="BH643" t="s">
        <v>74</v>
      </c>
      <c r="BI643">
        <v>12</v>
      </c>
      <c r="BJ643" t="s">
        <v>6542</v>
      </c>
      <c r="BK643" t="s">
        <v>100</v>
      </c>
      <c r="BL643" t="s">
        <v>6543</v>
      </c>
      <c r="BM643" t="s">
        <v>12564</v>
      </c>
      <c r="BN643" t="s">
        <v>74</v>
      </c>
      <c r="BO643" t="s">
        <v>74</v>
      </c>
      <c r="BP643" t="s">
        <v>74</v>
      </c>
      <c r="BQ643" t="s">
        <v>74</v>
      </c>
      <c r="BR643" t="s">
        <v>104</v>
      </c>
      <c r="BS643" t="s">
        <v>12595</v>
      </c>
      <c r="BT643" t="str">
        <f>HYPERLINK("https%3A%2F%2Fwww.webofscience.com%2Fwos%2Fwoscc%2Ffull-record%2FWOS:000351294900007","View Full Record in Web of Science")</f>
        <v>View Full Record in Web of Science</v>
      </c>
    </row>
    <row r="644" spans="1:72" x14ac:dyDescent="0.15">
      <c r="A644" t="s">
        <v>72</v>
      </c>
      <c r="B644" t="s">
        <v>12596</v>
      </c>
      <c r="C644" t="s">
        <v>74</v>
      </c>
      <c r="D644" t="s">
        <v>74</v>
      </c>
      <c r="E644" t="s">
        <v>74</v>
      </c>
      <c r="F644" t="s">
        <v>12597</v>
      </c>
      <c r="G644" t="s">
        <v>74</v>
      </c>
      <c r="H644" t="s">
        <v>74</v>
      </c>
      <c r="I644" t="s">
        <v>12598</v>
      </c>
      <c r="J644" t="s">
        <v>6524</v>
      </c>
      <c r="K644" t="s">
        <v>74</v>
      </c>
      <c r="L644" t="s">
        <v>74</v>
      </c>
      <c r="M644" t="s">
        <v>78</v>
      </c>
      <c r="N644" t="s">
        <v>79</v>
      </c>
      <c r="O644" t="s">
        <v>74</v>
      </c>
      <c r="P644" t="s">
        <v>74</v>
      </c>
      <c r="Q644" t="s">
        <v>74</v>
      </c>
      <c r="R644" t="s">
        <v>74</v>
      </c>
      <c r="S644" t="s">
        <v>74</v>
      </c>
      <c r="T644" t="s">
        <v>74</v>
      </c>
      <c r="U644" t="s">
        <v>12599</v>
      </c>
      <c r="V644" t="s">
        <v>74</v>
      </c>
      <c r="W644" t="s">
        <v>12600</v>
      </c>
      <c r="X644" t="s">
        <v>12601</v>
      </c>
      <c r="Y644" t="s">
        <v>12602</v>
      </c>
      <c r="Z644" t="s">
        <v>12603</v>
      </c>
      <c r="AA644" t="s">
        <v>12604</v>
      </c>
      <c r="AB644" t="s">
        <v>12605</v>
      </c>
      <c r="AC644" t="s">
        <v>12606</v>
      </c>
      <c r="AD644" t="s">
        <v>12607</v>
      </c>
      <c r="AE644" t="s">
        <v>12608</v>
      </c>
      <c r="AF644" t="s">
        <v>74</v>
      </c>
      <c r="AG644">
        <v>7</v>
      </c>
      <c r="AH644">
        <v>9</v>
      </c>
      <c r="AI644">
        <v>9</v>
      </c>
      <c r="AJ644">
        <v>0</v>
      </c>
      <c r="AK644">
        <v>12</v>
      </c>
      <c r="AL644" t="s">
        <v>2167</v>
      </c>
      <c r="AM644" t="s">
        <v>121</v>
      </c>
      <c r="AN644" t="s">
        <v>5926</v>
      </c>
      <c r="AO644" t="s">
        <v>6537</v>
      </c>
      <c r="AP644" t="s">
        <v>6538</v>
      </c>
      <c r="AQ644" t="s">
        <v>74</v>
      </c>
      <c r="AR644" t="s">
        <v>6539</v>
      </c>
      <c r="AS644" t="s">
        <v>6540</v>
      </c>
      <c r="AT644" t="s">
        <v>12379</v>
      </c>
      <c r="AU644">
        <v>2015</v>
      </c>
      <c r="AV644">
        <v>27</v>
      </c>
      <c r="AW644">
        <v>1</v>
      </c>
      <c r="AX644" t="s">
        <v>74</v>
      </c>
      <c r="AY644" t="s">
        <v>74</v>
      </c>
      <c r="AZ644" t="s">
        <v>74</v>
      </c>
      <c r="BA644" t="s">
        <v>74</v>
      </c>
      <c r="BB644">
        <v>69</v>
      </c>
      <c r="BC644">
        <v>70</v>
      </c>
      <c r="BD644" t="s">
        <v>74</v>
      </c>
      <c r="BE644" t="s">
        <v>12609</v>
      </c>
      <c r="BF644" t="str">
        <f>HYPERLINK("http://dx.doi.org/10.1017/S0954102014000467","http://dx.doi.org/10.1017/S0954102014000467")</f>
        <v>http://dx.doi.org/10.1017/S0954102014000467</v>
      </c>
      <c r="BG644" t="s">
        <v>74</v>
      </c>
      <c r="BH644" t="s">
        <v>74</v>
      </c>
      <c r="BI644">
        <v>2</v>
      </c>
      <c r="BJ644" t="s">
        <v>6542</v>
      </c>
      <c r="BK644" t="s">
        <v>100</v>
      </c>
      <c r="BL644" t="s">
        <v>6543</v>
      </c>
      <c r="BM644" t="s">
        <v>12564</v>
      </c>
      <c r="BN644" t="s">
        <v>74</v>
      </c>
      <c r="BO644" t="s">
        <v>559</v>
      </c>
      <c r="BP644" t="s">
        <v>74</v>
      </c>
      <c r="BQ644" t="s">
        <v>74</v>
      </c>
      <c r="BR644" t="s">
        <v>104</v>
      </c>
      <c r="BS644" t="s">
        <v>12610</v>
      </c>
      <c r="BT644" t="str">
        <f>HYPERLINK("https%3A%2F%2Fwww.webofscience.com%2Fwos%2Fwoscc%2Ffull-record%2FWOS:000351294900008","View Full Record in Web of Science")</f>
        <v>View Full Record in Web of Science</v>
      </c>
    </row>
    <row r="645" spans="1:72" x14ac:dyDescent="0.15">
      <c r="A645" t="s">
        <v>72</v>
      </c>
      <c r="B645" t="s">
        <v>12611</v>
      </c>
      <c r="C645" t="s">
        <v>74</v>
      </c>
      <c r="D645" t="s">
        <v>74</v>
      </c>
      <c r="E645" t="s">
        <v>74</v>
      </c>
      <c r="F645" t="s">
        <v>12612</v>
      </c>
      <c r="G645" t="s">
        <v>74</v>
      </c>
      <c r="H645" t="s">
        <v>74</v>
      </c>
      <c r="I645" t="s">
        <v>12613</v>
      </c>
      <c r="J645" t="s">
        <v>6524</v>
      </c>
      <c r="K645" t="s">
        <v>74</v>
      </c>
      <c r="L645" t="s">
        <v>74</v>
      </c>
      <c r="M645" t="s">
        <v>78</v>
      </c>
      <c r="N645" t="s">
        <v>79</v>
      </c>
      <c r="O645" t="s">
        <v>74</v>
      </c>
      <c r="P645" t="s">
        <v>74</v>
      </c>
      <c r="Q645" t="s">
        <v>74</v>
      </c>
      <c r="R645" t="s">
        <v>74</v>
      </c>
      <c r="S645" t="s">
        <v>74</v>
      </c>
      <c r="T645" t="s">
        <v>74</v>
      </c>
      <c r="U645" t="s">
        <v>74</v>
      </c>
      <c r="V645" t="s">
        <v>74</v>
      </c>
      <c r="W645" t="s">
        <v>12614</v>
      </c>
      <c r="X645" t="s">
        <v>12615</v>
      </c>
      <c r="Y645" t="s">
        <v>12616</v>
      </c>
      <c r="Z645" t="s">
        <v>12617</v>
      </c>
      <c r="AA645" t="s">
        <v>74</v>
      </c>
      <c r="AB645" t="s">
        <v>12618</v>
      </c>
      <c r="AC645" t="s">
        <v>12619</v>
      </c>
      <c r="AD645" t="s">
        <v>12620</v>
      </c>
      <c r="AE645" t="s">
        <v>12621</v>
      </c>
      <c r="AF645" t="s">
        <v>74</v>
      </c>
      <c r="AG645">
        <v>9</v>
      </c>
      <c r="AH645">
        <v>0</v>
      </c>
      <c r="AI645">
        <v>0</v>
      </c>
      <c r="AJ645">
        <v>0</v>
      </c>
      <c r="AK645">
        <v>6</v>
      </c>
      <c r="AL645" t="s">
        <v>2167</v>
      </c>
      <c r="AM645" t="s">
        <v>121</v>
      </c>
      <c r="AN645" t="s">
        <v>5926</v>
      </c>
      <c r="AO645" t="s">
        <v>6537</v>
      </c>
      <c r="AP645" t="s">
        <v>6538</v>
      </c>
      <c r="AQ645" t="s">
        <v>74</v>
      </c>
      <c r="AR645" t="s">
        <v>6539</v>
      </c>
      <c r="AS645" t="s">
        <v>6540</v>
      </c>
      <c r="AT645" t="s">
        <v>12379</v>
      </c>
      <c r="AU645">
        <v>2015</v>
      </c>
      <c r="AV645">
        <v>27</v>
      </c>
      <c r="AW645">
        <v>1</v>
      </c>
      <c r="AX645" t="s">
        <v>74</v>
      </c>
      <c r="AY645" t="s">
        <v>74</v>
      </c>
      <c r="AZ645" t="s">
        <v>74</v>
      </c>
      <c r="BA645" t="s">
        <v>74</v>
      </c>
      <c r="BB645">
        <v>71</v>
      </c>
      <c r="BC645">
        <v>72</v>
      </c>
      <c r="BD645" t="s">
        <v>74</v>
      </c>
      <c r="BE645" t="s">
        <v>12622</v>
      </c>
      <c r="BF645" t="str">
        <f>HYPERLINK("http://dx.doi.org/10.1017/S0954102014000480","http://dx.doi.org/10.1017/S0954102014000480")</f>
        <v>http://dx.doi.org/10.1017/S0954102014000480</v>
      </c>
      <c r="BG645" t="s">
        <v>74</v>
      </c>
      <c r="BH645" t="s">
        <v>74</v>
      </c>
      <c r="BI645">
        <v>2</v>
      </c>
      <c r="BJ645" t="s">
        <v>6542</v>
      </c>
      <c r="BK645" t="s">
        <v>100</v>
      </c>
      <c r="BL645" t="s">
        <v>6543</v>
      </c>
      <c r="BM645" t="s">
        <v>12564</v>
      </c>
      <c r="BN645" t="s">
        <v>74</v>
      </c>
      <c r="BO645" t="s">
        <v>74</v>
      </c>
      <c r="BP645" t="s">
        <v>74</v>
      </c>
      <c r="BQ645" t="s">
        <v>74</v>
      </c>
      <c r="BR645" t="s">
        <v>104</v>
      </c>
      <c r="BS645" t="s">
        <v>12623</v>
      </c>
      <c r="BT645" t="str">
        <f>HYPERLINK("https%3A%2F%2Fwww.webofscience.com%2Fwos%2Fwoscc%2Ffull-record%2FWOS:000351294900009","View Full Record in Web of Science")</f>
        <v>View Full Record in Web of Science</v>
      </c>
    </row>
    <row r="646" spans="1:72" x14ac:dyDescent="0.15">
      <c r="A646" t="s">
        <v>72</v>
      </c>
      <c r="B646" t="s">
        <v>12624</v>
      </c>
      <c r="C646" t="s">
        <v>74</v>
      </c>
      <c r="D646" t="s">
        <v>74</v>
      </c>
      <c r="E646" t="s">
        <v>74</v>
      </c>
      <c r="F646" t="s">
        <v>12625</v>
      </c>
      <c r="G646" t="s">
        <v>74</v>
      </c>
      <c r="H646" t="s">
        <v>74</v>
      </c>
      <c r="I646" t="s">
        <v>12626</v>
      </c>
      <c r="J646" t="s">
        <v>6524</v>
      </c>
      <c r="K646" t="s">
        <v>74</v>
      </c>
      <c r="L646" t="s">
        <v>74</v>
      </c>
      <c r="M646" t="s">
        <v>78</v>
      </c>
      <c r="N646" t="s">
        <v>79</v>
      </c>
      <c r="O646" t="s">
        <v>74</v>
      </c>
      <c r="P646" t="s">
        <v>74</v>
      </c>
      <c r="Q646" t="s">
        <v>74</v>
      </c>
      <c r="R646" t="s">
        <v>74</v>
      </c>
      <c r="S646" t="s">
        <v>74</v>
      </c>
      <c r="T646" t="s">
        <v>12627</v>
      </c>
      <c r="U646" t="s">
        <v>12628</v>
      </c>
      <c r="V646" t="s">
        <v>12629</v>
      </c>
      <c r="W646" t="s">
        <v>12630</v>
      </c>
      <c r="X646" t="s">
        <v>12631</v>
      </c>
      <c r="Y646" t="s">
        <v>12632</v>
      </c>
      <c r="Z646" t="s">
        <v>12633</v>
      </c>
      <c r="AA646" t="s">
        <v>12634</v>
      </c>
      <c r="AB646" t="s">
        <v>74</v>
      </c>
      <c r="AC646" t="s">
        <v>12635</v>
      </c>
      <c r="AD646" t="s">
        <v>12636</v>
      </c>
      <c r="AE646" t="s">
        <v>12637</v>
      </c>
      <c r="AF646" t="s">
        <v>74</v>
      </c>
      <c r="AG646">
        <v>40</v>
      </c>
      <c r="AH646">
        <v>9</v>
      </c>
      <c r="AI646">
        <v>9</v>
      </c>
      <c r="AJ646">
        <v>0</v>
      </c>
      <c r="AK646">
        <v>21</v>
      </c>
      <c r="AL646" t="s">
        <v>2167</v>
      </c>
      <c r="AM646" t="s">
        <v>121</v>
      </c>
      <c r="AN646" t="s">
        <v>5926</v>
      </c>
      <c r="AO646" t="s">
        <v>6537</v>
      </c>
      <c r="AP646" t="s">
        <v>6538</v>
      </c>
      <c r="AQ646" t="s">
        <v>74</v>
      </c>
      <c r="AR646" t="s">
        <v>6539</v>
      </c>
      <c r="AS646" t="s">
        <v>6540</v>
      </c>
      <c r="AT646" t="s">
        <v>12379</v>
      </c>
      <c r="AU646">
        <v>2015</v>
      </c>
      <c r="AV646">
        <v>27</v>
      </c>
      <c r="AW646">
        <v>1</v>
      </c>
      <c r="AX646" t="s">
        <v>74</v>
      </c>
      <c r="AY646" t="s">
        <v>74</v>
      </c>
      <c r="AZ646" t="s">
        <v>74</v>
      </c>
      <c r="BA646" t="s">
        <v>74</v>
      </c>
      <c r="BB646">
        <v>73</v>
      </c>
      <c r="BC646">
        <v>84</v>
      </c>
      <c r="BD646" t="s">
        <v>74</v>
      </c>
      <c r="BE646" t="s">
        <v>12638</v>
      </c>
      <c r="BF646" t="str">
        <f>HYPERLINK("http://dx.doi.org/10.1017/S0954102014000406","http://dx.doi.org/10.1017/S0954102014000406")</f>
        <v>http://dx.doi.org/10.1017/S0954102014000406</v>
      </c>
      <c r="BG646" t="s">
        <v>74</v>
      </c>
      <c r="BH646" t="s">
        <v>74</v>
      </c>
      <c r="BI646">
        <v>12</v>
      </c>
      <c r="BJ646" t="s">
        <v>6542</v>
      </c>
      <c r="BK646" t="s">
        <v>100</v>
      </c>
      <c r="BL646" t="s">
        <v>6543</v>
      </c>
      <c r="BM646" t="s">
        <v>12564</v>
      </c>
      <c r="BN646" t="s">
        <v>74</v>
      </c>
      <c r="BO646" t="s">
        <v>74</v>
      </c>
      <c r="BP646" t="s">
        <v>74</v>
      </c>
      <c r="BQ646" t="s">
        <v>74</v>
      </c>
      <c r="BR646" t="s">
        <v>104</v>
      </c>
      <c r="BS646" t="s">
        <v>12639</v>
      </c>
      <c r="BT646" t="str">
        <f>HYPERLINK("https%3A%2F%2Fwww.webofscience.com%2Fwos%2Fwoscc%2Ffull-record%2FWOS:000351294900010","View Full Record in Web of Science")</f>
        <v>View Full Record in Web of Science</v>
      </c>
    </row>
    <row r="647" spans="1:72" x14ac:dyDescent="0.15">
      <c r="A647" t="s">
        <v>72</v>
      </c>
      <c r="B647" t="s">
        <v>12640</v>
      </c>
      <c r="C647" t="s">
        <v>74</v>
      </c>
      <c r="D647" t="s">
        <v>74</v>
      </c>
      <c r="E647" t="s">
        <v>74</v>
      </c>
      <c r="F647" t="s">
        <v>12641</v>
      </c>
      <c r="G647" t="s">
        <v>74</v>
      </c>
      <c r="H647" t="s">
        <v>74</v>
      </c>
      <c r="I647" t="s">
        <v>12642</v>
      </c>
      <c r="J647" t="s">
        <v>6524</v>
      </c>
      <c r="K647" t="s">
        <v>74</v>
      </c>
      <c r="L647" t="s">
        <v>74</v>
      </c>
      <c r="M647" t="s">
        <v>78</v>
      </c>
      <c r="N647" t="s">
        <v>79</v>
      </c>
      <c r="O647" t="s">
        <v>74</v>
      </c>
      <c r="P647" t="s">
        <v>74</v>
      </c>
      <c r="Q647" t="s">
        <v>74</v>
      </c>
      <c r="R647" t="s">
        <v>74</v>
      </c>
      <c r="S647" t="s">
        <v>74</v>
      </c>
      <c r="T647" t="s">
        <v>74</v>
      </c>
      <c r="U647" t="s">
        <v>74</v>
      </c>
      <c r="V647" t="s">
        <v>74</v>
      </c>
      <c r="W647" t="s">
        <v>12643</v>
      </c>
      <c r="X647" t="s">
        <v>12644</v>
      </c>
      <c r="Y647" t="s">
        <v>12645</v>
      </c>
      <c r="Z647" t="s">
        <v>12646</v>
      </c>
      <c r="AA647" t="s">
        <v>12647</v>
      </c>
      <c r="AB647" t="s">
        <v>12648</v>
      </c>
      <c r="AC647" t="s">
        <v>12649</v>
      </c>
      <c r="AD647" t="s">
        <v>12650</v>
      </c>
      <c r="AE647" t="s">
        <v>12651</v>
      </c>
      <c r="AF647" t="s">
        <v>74</v>
      </c>
      <c r="AG647">
        <v>6</v>
      </c>
      <c r="AH647">
        <v>10</v>
      </c>
      <c r="AI647">
        <v>12</v>
      </c>
      <c r="AJ647">
        <v>0</v>
      </c>
      <c r="AK647">
        <v>4</v>
      </c>
      <c r="AL647" t="s">
        <v>2167</v>
      </c>
      <c r="AM647" t="s">
        <v>121</v>
      </c>
      <c r="AN647" t="s">
        <v>5926</v>
      </c>
      <c r="AO647" t="s">
        <v>6537</v>
      </c>
      <c r="AP647" t="s">
        <v>6538</v>
      </c>
      <c r="AQ647" t="s">
        <v>74</v>
      </c>
      <c r="AR647" t="s">
        <v>6539</v>
      </c>
      <c r="AS647" t="s">
        <v>6540</v>
      </c>
      <c r="AT647" t="s">
        <v>12379</v>
      </c>
      <c r="AU647">
        <v>2015</v>
      </c>
      <c r="AV647">
        <v>27</v>
      </c>
      <c r="AW647">
        <v>1</v>
      </c>
      <c r="AX647" t="s">
        <v>74</v>
      </c>
      <c r="AY647" t="s">
        <v>74</v>
      </c>
      <c r="AZ647" t="s">
        <v>74</v>
      </c>
      <c r="BA647" t="s">
        <v>74</v>
      </c>
      <c r="BB647">
        <v>101</v>
      </c>
      <c r="BC647">
        <v>102</v>
      </c>
      <c r="BD647" t="s">
        <v>74</v>
      </c>
      <c r="BE647" t="s">
        <v>12652</v>
      </c>
      <c r="BF647" t="str">
        <f>HYPERLINK("http://dx.doi.org/10.1017/S0954102014000595","http://dx.doi.org/10.1017/S0954102014000595")</f>
        <v>http://dx.doi.org/10.1017/S0954102014000595</v>
      </c>
      <c r="BG647" t="s">
        <v>74</v>
      </c>
      <c r="BH647" t="s">
        <v>74</v>
      </c>
      <c r="BI647">
        <v>2</v>
      </c>
      <c r="BJ647" t="s">
        <v>6542</v>
      </c>
      <c r="BK647" t="s">
        <v>100</v>
      </c>
      <c r="BL647" t="s">
        <v>6543</v>
      </c>
      <c r="BM647" t="s">
        <v>12564</v>
      </c>
      <c r="BN647" t="s">
        <v>74</v>
      </c>
      <c r="BO647" t="s">
        <v>74</v>
      </c>
      <c r="BP647" t="s">
        <v>74</v>
      </c>
      <c r="BQ647" t="s">
        <v>74</v>
      </c>
      <c r="BR647" t="s">
        <v>104</v>
      </c>
      <c r="BS647" t="s">
        <v>12653</v>
      </c>
      <c r="BT647" t="str">
        <f>HYPERLINK("https%3A%2F%2Fwww.webofscience.com%2Fwos%2Fwoscc%2Ffull-record%2FWOS:000351294900012","View Full Record in Web of Science")</f>
        <v>View Full Record in Web of Science</v>
      </c>
    </row>
    <row r="648" spans="1:72" x14ac:dyDescent="0.15">
      <c r="A648" t="s">
        <v>72</v>
      </c>
      <c r="B648" t="s">
        <v>12654</v>
      </c>
      <c r="C648" t="s">
        <v>74</v>
      </c>
      <c r="D648" t="s">
        <v>74</v>
      </c>
      <c r="E648" t="s">
        <v>74</v>
      </c>
      <c r="F648" t="s">
        <v>12655</v>
      </c>
      <c r="G648" t="s">
        <v>74</v>
      </c>
      <c r="H648" t="s">
        <v>74</v>
      </c>
      <c r="I648" t="s">
        <v>12656</v>
      </c>
      <c r="J648" t="s">
        <v>7558</v>
      </c>
      <c r="K648" t="s">
        <v>74</v>
      </c>
      <c r="L648" t="s">
        <v>74</v>
      </c>
      <c r="M648" t="s">
        <v>78</v>
      </c>
      <c r="N648" t="s">
        <v>79</v>
      </c>
      <c r="O648" t="s">
        <v>74</v>
      </c>
      <c r="P648" t="s">
        <v>74</v>
      </c>
      <c r="Q648" t="s">
        <v>74</v>
      </c>
      <c r="R648" t="s">
        <v>74</v>
      </c>
      <c r="S648" t="s">
        <v>74</v>
      </c>
      <c r="T648" t="s">
        <v>12657</v>
      </c>
      <c r="U648" t="s">
        <v>12658</v>
      </c>
      <c r="V648" t="s">
        <v>12659</v>
      </c>
      <c r="W648" t="s">
        <v>12660</v>
      </c>
      <c r="X648" t="s">
        <v>12661</v>
      </c>
      <c r="Y648" t="s">
        <v>12662</v>
      </c>
      <c r="Z648" t="s">
        <v>12663</v>
      </c>
      <c r="AA648" t="s">
        <v>12664</v>
      </c>
      <c r="AB648" t="s">
        <v>12665</v>
      </c>
      <c r="AC648" t="s">
        <v>12666</v>
      </c>
      <c r="AD648" t="s">
        <v>12667</v>
      </c>
      <c r="AE648" t="s">
        <v>12668</v>
      </c>
      <c r="AF648" t="s">
        <v>74</v>
      </c>
      <c r="AG648">
        <v>61</v>
      </c>
      <c r="AH648">
        <v>100</v>
      </c>
      <c r="AI648">
        <v>109</v>
      </c>
      <c r="AJ648">
        <v>1</v>
      </c>
      <c r="AK648">
        <v>46</v>
      </c>
      <c r="AL648" t="s">
        <v>266</v>
      </c>
      <c r="AM648" t="s">
        <v>267</v>
      </c>
      <c r="AN648" t="s">
        <v>268</v>
      </c>
      <c r="AO648" t="s">
        <v>7571</v>
      </c>
      <c r="AP648" t="s">
        <v>7572</v>
      </c>
      <c r="AQ648" t="s">
        <v>74</v>
      </c>
      <c r="AR648" t="s">
        <v>7573</v>
      </c>
      <c r="AS648" t="s">
        <v>7574</v>
      </c>
      <c r="AT648" t="s">
        <v>12379</v>
      </c>
      <c r="AU648">
        <v>2015</v>
      </c>
      <c r="AV648">
        <v>120</v>
      </c>
      <c r="AW648">
        <v>2</v>
      </c>
      <c r="AX648" t="s">
        <v>74</v>
      </c>
      <c r="AY648" t="s">
        <v>74</v>
      </c>
      <c r="AZ648" t="s">
        <v>74</v>
      </c>
      <c r="BA648" t="s">
        <v>74</v>
      </c>
      <c r="BB648">
        <v>346</v>
      </c>
      <c r="BC648">
        <v>362</v>
      </c>
      <c r="BD648" t="s">
        <v>74</v>
      </c>
      <c r="BE648" t="s">
        <v>12669</v>
      </c>
      <c r="BF648" t="str">
        <f>HYPERLINK("http://dx.doi.org/10.1002/2014JF003266","http://dx.doi.org/10.1002/2014JF003266")</f>
        <v>http://dx.doi.org/10.1002/2014JF003266</v>
      </c>
      <c r="BG648" t="s">
        <v>74</v>
      </c>
      <c r="BH648" t="s">
        <v>74</v>
      </c>
      <c r="BI648">
        <v>17</v>
      </c>
      <c r="BJ648" t="s">
        <v>219</v>
      </c>
      <c r="BK648" t="s">
        <v>100</v>
      </c>
      <c r="BL648" t="s">
        <v>220</v>
      </c>
      <c r="BM648" t="s">
        <v>12670</v>
      </c>
      <c r="BN648" t="s">
        <v>74</v>
      </c>
      <c r="BO648" t="s">
        <v>559</v>
      </c>
      <c r="BP648" t="s">
        <v>74</v>
      </c>
      <c r="BQ648" t="s">
        <v>74</v>
      </c>
      <c r="BR648" t="s">
        <v>104</v>
      </c>
      <c r="BS648" t="s">
        <v>12671</v>
      </c>
      <c r="BT648" t="str">
        <f>HYPERLINK("https%3A%2F%2Fwww.webofscience.com%2Fwos%2Fwoscc%2Ffull-record%2FWOS:000351386900010","View Full Record in Web of Science")</f>
        <v>View Full Record in Web of Science</v>
      </c>
    </row>
    <row r="649" spans="1:72" x14ac:dyDescent="0.15">
      <c r="A649" t="s">
        <v>72</v>
      </c>
      <c r="B649" t="s">
        <v>12672</v>
      </c>
      <c r="C649" t="s">
        <v>74</v>
      </c>
      <c r="D649" t="s">
        <v>74</v>
      </c>
      <c r="E649" t="s">
        <v>74</v>
      </c>
      <c r="F649" t="s">
        <v>12673</v>
      </c>
      <c r="G649" t="s">
        <v>74</v>
      </c>
      <c r="H649" t="s">
        <v>74</v>
      </c>
      <c r="I649" t="s">
        <v>12674</v>
      </c>
      <c r="J649" t="s">
        <v>1547</v>
      </c>
      <c r="K649" t="s">
        <v>74</v>
      </c>
      <c r="L649" t="s">
        <v>74</v>
      </c>
      <c r="M649" t="s">
        <v>78</v>
      </c>
      <c r="N649" t="s">
        <v>79</v>
      </c>
      <c r="O649" t="s">
        <v>74</v>
      </c>
      <c r="P649" t="s">
        <v>74</v>
      </c>
      <c r="Q649" t="s">
        <v>74</v>
      </c>
      <c r="R649" t="s">
        <v>74</v>
      </c>
      <c r="S649" t="s">
        <v>74</v>
      </c>
      <c r="T649" t="s">
        <v>12675</v>
      </c>
      <c r="U649" t="s">
        <v>12676</v>
      </c>
      <c r="V649" t="s">
        <v>12677</v>
      </c>
      <c r="W649" t="s">
        <v>12678</v>
      </c>
      <c r="X649" t="s">
        <v>12679</v>
      </c>
      <c r="Y649" t="s">
        <v>12680</v>
      </c>
      <c r="Z649" t="s">
        <v>12681</v>
      </c>
      <c r="AA649" t="s">
        <v>74</v>
      </c>
      <c r="AB649" t="s">
        <v>12682</v>
      </c>
      <c r="AC649" t="s">
        <v>12683</v>
      </c>
      <c r="AD649" t="s">
        <v>12684</v>
      </c>
      <c r="AE649" t="s">
        <v>12685</v>
      </c>
      <c r="AF649" t="s">
        <v>74</v>
      </c>
      <c r="AG649">
        <v>77</v>
      </c>
      <c r="AH649">
        <v>51</v>
      </c>
      <c r="AI649">
        <v>58</v>
      </c>
      <c r="AJ649">
        <v>1</v>
      </c>
      <c r="AK649">
        <v>25</v>
      </c>
      <c r="AL649" t="s">
        <v>266</v>
      </c>
      <c r="AM649" t="s">
        <v>267</v>
      </c>
      <c r="AN649" t="s">
        <v>268</v>
      </c>
      <c r="AO649" t="s">
        <v>1560</v>
      </c>
      <c r="AP649" t="s">
        <v>1561</v>
      </c>
      <c r="AQ649" t="s">
        <v>74</v>
      </c>
      <c r="AR649" t="s">
        <v>1562</v>
      </c>
      <c r="AS649" t="s">
        <v>1563</v>
      </c>
      <c r="AT649" t="s">
        <v>12379</v>
      </c>
      <c r="AU649">
        <v>2015</v>
      </c>
      <c r="AV649">
        <v>120</v>
      </c>
      <c r="AW649">
        <v>2</v>
      </c>
      <c r="AX649" t="s">
        <v>74</v>
      </c>
      <c r="AY649" t="s">
        <v>74</v>
      </c>
      <c r="AZ649" t="s">
        <v>74</v>
      </c>
      <c r="BA649" t="s">
        <v>74</v>
      </c>
      <c r="BB649">
        <v>1080</v>
      </c>
      <c r="BC649">
        <v>1107</v>
      </c>
      <c r="BD649" t="s">
        <v>74</v>
      </c>
      <c r="BE649" t="s">
        <v>12686</v>
      </c>
      <c r="BF649" t="str">
        <f>HYPERLINK("http://dx.doi.org/10.1002/2014JB011286","http://dx.doi.org/10.1002/2014JB011286")</f>
        <v>http://dx.doi.org/10.1002/2014JB011286</v>
      </c>
      <c r="BG649" t="s">
        <v>74</v>
      </c>
      <c r="BH649" t="s">
        <v>74</v>
      </c>
      <c r="BI649">
        <v>28</v>
      </c>
      <c r="BJ649" t="s">
        <v>863</v>
      </c>
      <c r="BK649" t="s">
        <v>100</v>
      </c>
      <c r="BL649" t="s">
        <v>863</v>
      </c>
      <c r="BM649" t="s">
        <v>12687</v>
      </c>
      <c r="BN649" t="s">
        <v>74</v>
      </c>
      <c r="BO649" t="s">
        <v>248</v>
      </c>
      <c r="BP649" t="s">
        <v>74</v>
      </c>
      <c r="BQ649" t="s">
        <v>74</v>
      </c>
      <c r="BR649" t="s">
        <v>104</v>
      </c>
      <c r="BS649" t="s">
        <v>12688</v>
      </c>
      <c r="BT649" t="str">
        <f>HYPERLINK("https%3A%2F%2Fwww.webofscience.com%2Fwos%2Fwoscc%2Ffull-record%2FWOS:000351466000026","View Full Record in Web of Science")</f>
        <v>View Full Record in Web of Science</v>
      </c>
    </row>
    <row r="650" spans="1:72" x14ac:dyDescent="0.15">
      <c r="A650" t="s">
        <v>72</v>
      </c>
      <c r="B650" t="s">
        <v>12689</v>
      </c>
      <c r="C650" t="s">
        <v>74</v>
      </c>
      <c r="D650" t="s">
        <v>74</v>
      </c>
      <c r="E650" t="s">
        <v>74</v>
      </c>
      <c r="F650" t="s">
        <v>12690</v>
      </c>
      <c r="G650" t="s">
        <v>74</v>
      </c>
      <c r="H650" t="s">
        <v>74</v>
      </c>
      <c r="I650" t="s">
        <v>12691</v>
      </c>
      <c r="J650" t="s">
        <v>7837</v>
      </c>
      <c r="K650" t="s">
        <v>74</v>
      </c>
      <c r="L650" t="s">
        <v>74</v>
      </c>
      <c r="M650" t="s">
        <v>78</v>
      </c>
      <c r="N650" t="s">
        <v>79</v>
      </c>
      <c r="O650" t="s">
        <v>74</v>
      </c>
      <c r="P650" t="s">
        <v>74</v>
      </c>
      <c r="Q650" t="s">
        <v>74</v>
      </c>
      <c r="R650" t="s">
        <v>74</v>
      </c>
      <c r="S650" t="s">
        <v>74</v>
      </c>
      <c r="T650" t="s">
        <v>12692</v>
      </c>
      <c r="U650" t="s">
        <v>12693</v>
      </c>
      <c r="V650" t="s">
        <v>12694</v>
      </c>
      <c r="W650" t="s">
        <v>12695</v>
      </c>
      <c r="X650" t="s">
        <v>12696</v>
      </c>
      <c r="Y650" t="s">
        <v>12697</v>
      </c>
      <c r="Z650" t="s">
        <v>12698</v>
      </c>
      <c r="AA650" t="s">
        <v>12699</v>
      </c>
      <c r="AB650" t="s">
        <v>12700</v>
      </c>
      <c r="AC650" t="s">
        <v>12701</v>
      </c>
      <c r="AD650" t="s">
        <v>12702</v>
      </c>
      <c r="AE650" t="s">
        <v>12703</v>
      </c>
      <c r="AF650" t="s">
        <v>74</v>
      </c>
      <c r="AG650">
        <v>75</v>
      </c>
      <c r="AH650">
        <v>4</v>
      </c>
      <c r="AI650">
        <v>4</v>
      </c>
      <c r="AJ650">
        <v>0</v>
      </c>
      <c r="AK650">
        <v>21</v>
      </c>
      <c r="AL650" t="s">
        <v>266</v>
      </c>
      <c r="AM650" t="s">
        <v>267</v>
      </c>
      <c r="AN650" t="s">
        <v>268</v>
      </c>
      <c r="AO650" t="s">
        <v>7849</v>
      </c>
      <c r="AP650" t="s">
        <v>7850</v>
      </c>
      <c r="AQ650" t="s">
        <v>74</v>
      </c>
      <c r="AR650" t="s">
        <v>7837</v>
      </c>
      <c r="AS650" t="s">
        <v>7851</v>
      </c>
      <c r="AT650" t="s">
        <v>12379</v>
      </c>
      <c r="AU650">
        <v>2015</v>
      </c>
      <c r="AV650">
        <v>30</v>
      </c>
      <c r="AW650">
        <v>2</v>
      </c>
      <c r="AX650" t="s">
        <v>74</v>
      </c>
      <c r="AY650" t="s">
        <v>74</v>
      </c>
      <c r="AZ650" t="s">
        <v>74</v>
      </c>
      <c r="BA650" t="s">
        <v>74</v>
      </c>
      <c r="BB650">
        <v>95</v>
      </c>
      <c r="BC650">
        <v>117</v>
      </c>
      <c r="BD650" t="s">
        <v>74</v>
      </c>
      <c r="BE650" t="s">
        <v>12704</v>
      </c>
      <c r="BF650" t="str">
        <f>HYPERLINK("http://dx.doi.org/10.1002/2015PA002776","http://dx.doi.org/10.1002/2015PA002776")</f>
        <v>http://dx.doi.org/10.1002/2015PA002776</v>
      </c>
      <c r="BG650" t="s">
        <v>74</v>
      </c>
      <c r="BH650" t="s">
        <v>74</v>
      </c>
      <c r="BI650">
        <v>23</v>
      </c>
      <c r="BJ650" t="s">
        <v>7853</v>
      </c>
      <c r="BK650" t="s">
        <v>100</v>
      </c>
      <c r="BL650" t="s">
        <v>7854</v>
      </c>
      <c r="BM650" t="s">
        <v>12705</v>
      </c>
      <c r="BN650" t="s">
        <v>74</v>
      </c>
      <c r="BO650" t="s">
        <v>559</v>
      </c>
      <c r="BP650" t="s">
        <v>74</v>
      </c>
      <c r="BQ650" t="s">
        <v>74</v>
      </c>
      <c r="BR650" t="s">
        <v>104</v>
      </c>
      <c r="BS650" t="s">
        <v>12706</v>
      </c>
      <c r="BT650" t="str">
        <f>HYPERLINK("https%3A%2F%2Fwww.webofscience.com%2Fwos%2Fwoscc%2Ffull-record%2FWOS:000351469300005","View Full Record in Web of Science")</f>
        <v>View Full Record in Web of Science</v>
      </c>
    </row>
    <row r="651" spans="1:72" x14ac:dyDescent="0.15">
      <c r="A651" t="s">
        <v>72</v>
      </c>
      <c r="B651" t="s">
        <v>12707</v>
      </c>
      <c r="C651" t="s">
        <v>74</v>
      </c>
      <c r="D651" t="s">
        <v>74</v>
      </c>
      <c r="E651" t="s">
        <v>74</v>
      </c>
      <c r="F651" t="s">
        <v>12708</v>
      </c>
      <c r="G651" t="s">
        <v>74</v>
      </c>
      <c r="H651" t="s">
        <v>74</v>
      </c>
      <c r="I651" t="s">
        <v>12709</v>
      </c>
      <c r="J651" t="s">
        <v>12710</v>
      </c>
      <c r="K651" t="s">
        <v>74</v>
      </c>
      <c r="L651" t="s">
        <v>74</v>
      </c>
      <c r="M651" t="s">
        <v>78</v>
      </c>
      <c r="N651" t="s">
        <v>79</v>
      </c>
      <c r="O651" t="s">
        <v>74</v>
      </c>
      <c r="P651" t="s">
        <v>74</v>
      </c>
      <c r="Q651" t="s">
        <v>74</v>
      </c>
      <c r="R651" t="s">
        <v>74</v>
      </c>
      <c r="S651" t="s">
        <v>74</v>
      </c>
      <c r="T651" t="s">
        <v>12711</v>
      </c>
      <c r="U651" t="s">
        <v>12712</v>
      </c>
      <c r="V651" t="s">
        <v>12713</v>
      </c>
      <c r="W651" t="s">
        <v>12714</v>
      </c>
      <c r="X651" t="s">
        <v>12715</v>
      </c>
      <c r="Y651" t="s">
        <v>12716</v>
      </c>
      <c r="Z651" t="s">
        <v>12717</v>
      </c>
      <c r="AA651" t="s">
        <v>74</v>
      </c>
      <c r="AB651" t="s">
        <v>12718</v>
      </c>
      <c r="AC651" t="s">
        <v>12719</v>
      </c>
      <c r="AD651" t="s">
        <v>12720</v>
      </c>
      <c r="AE651" t="s">
        <v>12721</v>
      </c>
      <c r="AF651" t="s">
        <v>74</v>
      </c>
      <c r="AG651">
        <v>55</v>
      </c>
      <c r="AH651">
        <v>5</v>
      </c>
      <c r="AI651">
        <v>5</v>
      </c>
      <c r="AJ651">
        <v>2</v>
      </c>
      <c r="AK651">
        <v>21</v>
      </c>
      <c r="AL651" t="s">
        <v>2659</v>
      </c>
      <c r="AM651" t="s">
        <v>2660</v>
      </c>
      <c r="AN651" t="s">
        <v>2661</v>
      </c>
      <c r="AO651" t="s">
        <v>12722</v>
      </c>
      <c r="AP651" t="s">
        <v>12723</v>
      </c>
      <c r="AQ651" t="s">
        <v>74</v>
      </c>
      <c r="AR651" t="s">
        <v>12724</v>
      </c>
      <c r="AS651" t="s">
        <v>12725</v>
      </c>
      <c r="AT651" t="s">
        <v>12379</v>
      </c>
      <c r="AU651">
        <v>2015</v>
      </c>
      <c r="AV651">
        <v>8</v>
      </c>
      <c r="AW651">
        <v>2</v>
      </c>
      <c r="AX651" t="s">
        <v>74</v>
      </c>
      <c r="AY651" t="s">
        <v>74</v>
      </c>
      <c r="AZ651" t="s">
        <v>74</v>
      </c>
      <c r="BA651" t="s">
        <v>74</v>
      </c>
      <c r="BB651">
        <v>711</v>
      </c>
      <c r="BC651">
        <v>726</v>
      </c>
      <c r="BD651" t="s">
        <v>74</v>
      </c>
      <c r="BE651" t="s">
        <v>12726</v>
      </c>
      <c r="BF651" t="str">
        <f>HYPERLINK("http://dx.doi.org/10.1007/s12517-014-1264-7","http://dx.doi.org/10.1007/s12517-014-1264-7")</f>
        <v>http://dx.doi.org/10.1007/s12517-014-1264-7</v>
      </c>
      <c r="BG651" t="s">
        <v>74</v>
      </c>
      <c r="BH651" t="s">
        <v>74</v>
      </c>
      <c r="BI651">
        <v>16</v>
      </c>
      <c r="BJ651" t="s">
        <v>219</v>
      </c>
      <c r="BK651" t="s">
        <v>100</v>
      </c>
      <c r="BL651" t="s">
        <v>220</v>
      </c>
      <c r="BM651" t="s">
        <v>12727</v>
      </c>
      <c r="BN651" t="s">
        <v>74</v>
      </c>
      <c r="BO651" t="s">
        <v>74</v>
      </c>
      <c r="BP651" t="s">
        <v>74</v>
      </c>
      <c r="BQ651" t="s">
        <v>74</v>
      </c>
      <c r="BR651" t="s">
        <v>104</v>
      </c>
      <c r="BS651" t="s">
        <v>12728</v>
      </c>
      <c r="BT651" t="str">
        <f>HYPERLINK("https%3A%2F%2Fwww.webofscience.com%2Fwos%2Fwoscc%2Ffull-record%2FWOS:000350489900010","View Full Record in Web of Science")</f>
        <v>View Full Record in Web of Science</v>
      </c>
    </row>
    <row r="652" spans="1:72" x14ac:dyDescent="0.15">
      <c r="A652" t="s">
        <v>72</v>
      </c>
      <c r="B652" t="s">
        <v>12729</v>
      </c>
      <c r="C652" t="s">
        <v>74</v>
      </c>
      <c r="D652" t="s">
        <v>74</v>
      </c>
      <c r="E652" t="s">
        <v>74</v>
      </c>
      <c r="F652" t="s">
        <v>12730</v>
      </c>
      <c r="G652" t="s">
        <v>74</v>
      </c>
      <c r="H652" t="s">
        <v>74</v>
      </c>
      <c r="I652" t="s">
        <v>12731</v>
      </c>
      <c r="J652" t="s">
        <v>12732</v>
      </c>
      <c r="K652" t="s">
        <v>74</v>
      </c>
      <c r="L652" t="s">
        <v>74</v>
      </c>
      <c r="M652" t="s">
        <v>78</v>
      </c>
      <c r="N652" t="s">
        <v>79</v>
      </c>
      <c r="O652" t="s">
        <v>74</v>
      </c>
      <c r="P652" t="s">
        <v>74</v>
      </c>
      <c r="Q652" t="s">
        <v>74</v>
      </c>
      <c r="R652" t="s">
        <v>74</v>
      </c>
      <c r="S652" t="s">
        <v>74</v>
      </c>
      <c r="T652" t="s">
        <v>12733</v>
      </c>
      <c r="U652" t="s">
        <v>12734</v>
      </c>
      <c r="V652" t="s">
        <v>12735</v>
      </c>
      <c r="W652" t="s">
        <v>12736</v>
      </c>
      <c r="X652" t="s">
        <v>12737</v>
      </c>
      <c r="Y652" t="s">
        <v>12738</v>
      </c>
      <c r="Z652" t="s">
        <v>12739</v>
      </c>
      <c r="AA652" t="s">
        <v>12740</v>
      </c>
      <c r="AB652" t="s">
        <v>12741</v>
      </c>
      <c r="AC652" t="s">
        <v>12742</v>
      </c>
      <c r="AD652" t="s">
        <v>12743</v>
      </c>
      <c r="AE652" t="s">
        <v>12744</v>
      </c>
      <c r="AF652" t="s">
        <v>74</v>
      </c>
      <c r="AG652">
        <v>63</v>
      </c>
      <c r="AH652">
        <v>21</v>
      </c>
      <c r="AI652">
        <v>23</v>
      </c>
      <c r="AJ652">
        <v>6</v>
      </c>
      <c r="AK652">
        <v>103</v>
      </c>
      <c r="AL652" t="s">
        <v>1158</v>
      </c>
      <c r="AM652" t="s">
        <v>787</v>
      </c>
      <c r="AN652" t="s">
        <v>1159</v>
      </c>
      <c r="AO652" t="s">
        <v>12745</v>
      </c>
      <c r="AP652" t="s">
        <v>12746</v>
      </c>
      <c r="AQ652" t="s">
        <v>74</v>
      </c>
      <c r="AR652" t="s">
        <v>12747</v>
      </c>
      <c r="AS652" t="s">
        <v>12748</v>
      </c>
      <c r="AT652" t="s">
        <v>12379</v>
      </c>
      <c r="AU652">
        <v>2015</v>
      </c>
      <c r="AV652">
        <v>197</v>
      </c>
      <c r="AW652" t="s">
        <v>74</v>
      </c>
      <c r="AX652" t="s">
        <v>74</v>
      </c>
      <c r="AY652" t="s">
        <v>74</v>
      </c>
      <c r="AZ652" t="s">
        <v>74</v>
      </c>
      <c r="BA652" t="s">
        <v>74</v>
      </c>
      <c r="BB652">
        <v>62</v>
      </c>
      <c r="BC652">
        <v>67</v>
      </c>
      <c r="BD652" t="s">
        <v>74</v>
      </c>
      <c r="BE652" t="s">
        <v>12749</v>
      </c>
      <c r="BF652" t="str">
        <f>HYPERLINK("http://dx.doi.org/10.1016/j.envpol.2014.11.026","http://dx.doi.org/10.1016/j.envpol.2014.11.026")</f>
        <v>http://dx.doi.org/10.1016/j.envpol.2014.11.026</v>
      </c>
      <c r="BG652" t="s">
        <v>74</v>
      </c>
      <c r="BH652" t="s">
        <v>74</v>
      </c>
      <c r="BI652">
        <v>6</v>
      </c>
      <c r="BJ652" t="s">
        <v>2957</v>
      </c>
      <c r="BK652" t="s">
        <v>100</v>
      </c>
      <c r="BL652" t="s">
        <v>1048</v>
      </c>
      <c r="BM652" t="s">
        <v>12750</v>
      </c>
      <c r="BN652">
        <v>25497307</v>
      </c>
      <c r="BO652" t="s">
        <v>74</v>
      </c>
      <c r="BP652" t="s">
        <v>74</v>
      </c>
      <c r="BQ652" t="s">
        <v>74</v>
      </c>
      <c r="BR652" t="s">
        <v>104</v>
      </c>
      <c r="BS652" t="s">
        <v>12751</v>
      </c>
      <c r="BT652" t="str">
        <f>HYPERLINK("https%3A%2F%2Fwww.webofscience.com%2Fwos%2Fwoscc%2Ffull-record%2FWOS:000350921500008","View Full Record in Web of Science")</f>
        <v>View Full Record in Web of Science</v>
      </c>
    </row>
    <row r="653" spans="1:72" x14ac:dyDescent="0.15">
      <c r="A653" t="s">
        <v>72</v>
      </c>
      <c r="B653" t="s">
        <v>12752</v>
      </c>
      <c r="C653" t="s">
        <v>74</v>
      </c>
      <c r="D653" t="s">
        <v>74</v>
      </c>
      <c r="E653" t="s">
        <v>74</v>
      </c>
      <c r="F653" t="s">
        <v>12753</v>
      </c>
      <c r="G653" t="s">
        <v>74</v>
      </c>
      <c r="H653" t="s">
        <v>74</v>
      </c>
      <c r="I653" t="s">
        <v>12754</v>
      </c>
      <c r="J653" t="s">
        <v>12732</v>
      </c>
      <c r="K653" t="s">
        <v>74</v>
      </c>
      <c r="L653" t="s">
        <v>74</v>
      </c>
      <c r="M653" t="s">
        <v>78</v>
      </c>
      <c r="N653" t="s">
        <v>79</v>
      </c>
      <c r="O653" t="s">
        <v>74</v>
      </c>
      <c r="P653" t="s">
        <v>74</v>
      </c>
      <c r="Q653" t="s">
        <v>74</v>
      </c>
      <c r="R653" t="s">
        <v>74</v>
      </c>
      <c r="S653" t="s">
        <v>74</v>
      </c>
      <c r="T653" t="s">
        <v>12755</v>
      </c>
      <c r="U653" t="s">
        <v>12756</v>
      </c>
      <c r="V653" t="s">
        <v>12757</v>
      </c>
      <c r="W653" t="s">
        <v>12758</v>
      </c>
      <c r="X653" t="s">
        <v>12759</v>
      </c>
      <c r="Y653" t="s">
        <v>12760</v>
      </c>
      <c r="Z653" t="s">
        <v>12761</v>
      </c>
      <c r="AA653" t="s">
        <v>12762</v>
      </c>
      <c r="AB653" t="s">
        <v>12763</v>
      </c>
      <c r="AC653" t="s">
        <v>12764</v>
      </c>
      <c r="AD653" t="s">
        <v>12765</v>
      </c>
      <c r="AE653" t="s">
        <v>12766</v>
      </c>
      <c r="AF653" t="s">
        <v>74</v>
      </c>
      <c r="AG653">
        <v>60</v>
      </c>
      <c r="AH653">
        <v>24</v>
      </c>
      <c r="AI653">
        <v>27</v>
      </c>
      <c r="AJ653">
        <v>3</v>
      </c>
      <c r="AK653">
        <v>64</v>
      </c>
      <c r="AL653" t="s">
        <v>1158</v>
      </c>
      <c r="AM653" t="s">
        <v>787</v>
      </c>
      <c r="AN653" t="s">
        <v>1159</v>
      </c>
      <c r="AO653" t="s">
        <v>12745</v>
      </c>
      <c r="AP653" t="s">
        <v>12746</v>
      </c>
      <c r="AQ653" t="s">
        <v>74</v>
      </c>
      <c r="AR653" t="s">
        <v>12747</v>
      </c>
      <c r="AS653" t="s">
        <v>12748</v>
      </c>
      <c r="AT653" t="s">
        <v>12379</v>
      </c>
      <c r="AU653">
        <v>2015</v>
      </c>
      <c r="AV653">
        <v>197</v>
      </c>
      <c r="AW653" t="s">
        <v>74</v>
      </c>
      <c r="AX653" t="s">
        <v>74</v>
      </c>
      <c r="AY653" t="s">
        <v>74</v>
      </c>
      <c r="AZ653" t="s">
        <v>74</v>
      </c>
      <c r="BA653" t="s">
        <v>74</v>
      </c>
      <c r="BB653">
        <v>173</v>
      </c>
      <c r="BC653">
        <v>180</v>
      </c>
      <c r="BD653" t="s">
        <v>74</v>
      </c>
      <c r="BE653" t="s">
        <v>12767</v>
      </c>
      <c r="BF653" t="str">
        <f>HYPERLINK("http://dx.doi.org/10.1016/j.envpol.2014.12.007","http://dx.doi.org/10.1016/j.envpol.2014.12.007")</f>
        <v>http://dx.doi.org/10.1016/j.envpol.2014.12.007</v>
      </c>
      <c r="BG653" t="s">
        <v>74</v>
      </c>
      <c r="BH653" t="s">
        <v>74</v>
      </c>
      <c r="BI653">
        <v>8</v>
      </c>
      <c r="BJ653" t="s">
        <v>2957</v>
      </c>
      <c r="BK653" t="s">
        <v>100</v>
      </c>
      <c r="BL653" t="s">
        <v>1048</v>
      </c>
      <c r="BM653" t="s">
        <v>12750</v>
      </c>
      <c r="BN653">
        <v>25541072</v>
      </c>
      <c r="BO653" t="s">
        <v>248</v>
      </c>
      <c r="BP653" t="s">
        <v>74</v>
      </c>
      <c r="BQ653" t="s">
        <v>74</v>
      </c>
      <c r="BR653" t="s">
        <v>104</v>
      </c>
      <c r="BS653" t="s">
        <v>12768</v>
      </c>
      <c r="BT653" t="str">
        <f>HYPERLINK("https%3A%2F%2Fwww.webofscience.com%2Fwos%2Fwoscc%2Ffull-record%2FWOS:000350921500020","View Full Record in Web of Science")</f>
        <v>View Full Record in Web of Science</v>
      </c>
    </row>
    <row r="654" spans="1:72" x14ac:dyDescent="0.15">
      <c r="A654" t="s">
        <v>72</v>
      </c>
      <c r="B654" t="s">
        <v>12769</v>
      </c>
      <c r="C654" t="s">
        <v>74</v>
      </c>
      <c r="D654" t="s">
        <v>74</v>
      </c>
      <c r="E654" t="s">
        <v>74</v>
      </c>
      <c r="F654" t="s">
        <v>12770</v>
      </c>
      <c r="G654" t="s">
        <v>74</v>
      </c>
      <c r="H654" t="s">
        <v>74</v>
      </c>
      <c r="I654" t="s">
        <v>12771</v>
      </c>
      <c r="J654" t="s">
        <v>3249</v>
      </c>
      <c r="K654" t="s">
        <v>74</v>
      </c>
      <c r="L654" t="s">
        <v>74</v>
      </c>
      <c r="M654" t="s">
        <v>78</v>
      </c>
      <c r="N654" t="s">
        <v>79</v>
      </c>
      <c r="O654" t="s">
        <v>74</v>
      </c>
      <c r="P654" t="s">
        <v>74</v>
      </c>
      <c r="Q654" t="s">
        <v>74</v>
      </c>
      <c r="R654" t="s">
        <v>74</v>
      </c>
      <c r="S654" t="s">
        <v>74</v>
      </c>
      <c r="T654" t="s">
        <v>12772</v>
      </c>
      <c r="U654" t="s">
        <v>12773</v>
      </c>
      <c r="V654" t="s">
        <v>12774</v>
      </c>
      <c r="W654" t="s">
        <v>12775</v>
      </c>
      <c r="X654" t="s">
        <v>12776</v>
      </c>
      <c r="Y654" t="s">
        <v>12777</v>
      </c>
      <c r="Z654" t="s">
        <v>12778</v>
      </c>
      <c r="AA654" t="s">
        <v>12779</v>
      </c>
      <c r="AB654" t="s">
        <v>12780</v>
      </c>
      <c r="AC654" t="s">
        <v>12781</v>
      </c>
      <c r="AD654" t="s">
        <v>12782</v>
      </c>
      <c r="AE654" t="s">
        <v>12783</v>
      </c>
      <c r="AF654" t="s">
        <v>74</v>
      </c>
      <c r="AG654">
        <v>87</v>
      </c>
      <c r="AH654">
        <v>53</v>
      </c>
      <c r="AI654">
        <v>59</v>
      </c>
      <c r="AJ654">
        <v>0</v>
      </c>
      <c r="AK654">
        <v>70</v>
      </c>
      <c r="AL654" t="s">
        <v>91</v>
      </c>
      <c r="AM654" t="s">
        <v>92</v>
      </c>
      <c r="AN654" t="s">
        <v>93</v>
      </c>
      <c r="AO654" t="s">
        <v>3262</v>
      </c>
      <c r="AP654" t="s">
        <v>3263</v>
      </c>
      <c r="AQ654" t="s">
        <v>74</v>
      </c>
      <c r="AR654" t="s">
        <v>3264</v>
      </c>
      <c r="AS654" t="s">
        <v>3265</v>
      </c>
      <c r="AT654" t="s">
        <v>12379</v>
      </c>
      <c r="AU654">
        <v>2015</v>
      </c>
      <c r="AV654">
        <v>28</v>
      </c>
      <c r="AW654">
        <v>2</v>
      </c>
      <c r="AX654" t="s">
        <v>74</v>
      </c>
      <c r="AY654" t="s">
        <v>74</v>
      </c>
      <c r="AZ654" t="s">
        <v>74</v>
      </c>
      <c r="BA654" t="s">
        <v>74</v>
      </c>
      <c r="BB654">
        <v>376</v>
      </c>
      <c r="BC654">
        <v>394</v>
      </c>
      <c r="BD654" t="s">
        <v>74</v>
      </c>
      <c r="BE654" t="s">
        <v>12784</v>
      </c>
      <c r="BF654" t="str">
        <f>HYPERLINK("http://dx.doi.org/10.1111/jeb.12570","http://dx.doi.org/10.1111/jeb.12570")</f>
        <v>http://dx.doi.org/10.1111/jeb.12570</v>
      </c>
      <c r="BG654" t="s">
        <v>74</v>
      </c>
      <c r="BH654" t="s">
        <v>74</v>
      </c>
      <c r="BI654">
        <v>19</v>
      </c>
      <c r="BJ654" t="s">
        <v>3267</v>
      </c>
      <c r="BK654" t="s">
        <v>100</v>
      </c>
      <c r="BL654" t="s">
        <v>3268</v>
      </c>
      <c r="BM654" t="s">
        <v>12785</v>
      </c>
      <c r="BN654">
        <v>25495187</v>
      </c>
      <c r="BO654" t="s">
        <v>1123</v>
      </c>
      <c r="BP654" t="s">
        <v>74</v>
      </c>
      <c r="BQ654" t="s">
        <v>74</v>
      </c>
      <c r="BR654" t="s">
        <v>104</v>
      </c>
      <c r="BS654" t="s">
        <v>12786</v>
      </c>
      <c r="BT654" t="str">
        <f>HYPERLINK("https%3A%2F%2Fwww.webofscience.com%2Fwos%2Fwoscc%2Ffull-record%2FWOS:000351208800010","View Full Record in Web of Science")</f>
        <v>View Full Record in Web of Science</v>
      </c>
    </row>
    <row r="655" spans="1:72" x14ac:dyDescent="0.15">
      <c r="A655" t="s">
        <v>72</v>
      </c>
      <c r="B655" t="s">
        <v>12787</v>
      </c>
      <c r="C655" t="s">
        <v>74</v>
      </c>
      <c r="D655" t="s">
        <v>74</v>
      </c>
      <c r="E655" t="s">
        <v>74</v>
      </c>
      <c r="F655" t="s">
        <v>12788</v>
      </c>
      <c r="G655" t="s">
        <v>74</v>
      </c>
      <c r="H655" t="s">
        <v>74</v>
      </c>
      <c r="I655" t="s">
        <v>12789</v>
      </c>
      <c r="J655" t="s">
        <v>12790</v>
      </c>
      <c r="K655" t="s">
        <v>74</v>
      </c>
      <c r="L655" t="s">
        <v>74</v>
      </c>
      <c r="M655" t="s">
        <v>78</v>
      </c>
      <c r="N655" t="s">
        <v>1222</v>
      </c>
      <c r="O655" t="s">
        <v>12791</v>
      </c>
      <c r="P655" t="s">
        <v>12792</v>
      </c>
      <c r="Q655" t="s">
        <v>12793</v>
      </c>
      <c r="R655" t="s">
        <v>74</v>
      </c>
      <c r="S655" t="s">
        <v>12794</v>
      </c>
      <c r="T655" t="s">
        <v>12795</v>
      </c>
      <c r="U655" t="s">
        <v>12796</v>
      </c>
      <c r="V655" t="s">
        <v>12797</v>
      </c>
      <c r="W655" t="s">
        <v>12798</v>
      </c>
      <c r="X655" t="s">
        <v>12799</v>
      </c>
      <c r="Y655" t="s">
        <v>12800</v>
      </c>
      <c r="Z655" t="s">
        <v>12801</v>
      </c>
      <c r="AA655" t="s">
        <v>74</v>
      </c>
      <c r="AB655" t="s">
        <v>74</v>
      </c>
      <c r="AC655" t="s">
        <v>12802</v>
      </c>
      <c r="AD655" t="s">
        <v>12802</v>
      </c>
      <c r="AE655" t="s">
        <v>12803</v>
      </c>
      <c r="AF655" t="s">
        <v>74</v>
      </c>
      <c r="AG655">
        <v>72</v>
      </c>
      <c r="AH655">
        <v>4</v>
      </c>
      <c r="AI655">
        <v>4</v>
      </c>
      <c r="AJ655">
        <v>0</v>
      </c>
      <c r="AK655">
        <v>7</v>
      </c>
      <c r="AL655" t="s">
        <v>12804</v>
      </c>
      <c r="AM655" t="s">
        <v>12805</v>
      </c>
      <c r="AN655" t="s">
        <v>12806</v>
      </c>
      <c r="AO655" t="s">
        <v>12807</v>
      </c>
      <c r="AP655" t="s">
        <v>12808</v>
      </c>
      <c r="AQ655" t="s">
        <v>74</v>
      </c>
      <c r="AR655" t="s">
        <v>12809</v>
      </c>
      <c r="AS655" t="s">
        <v>12810</v>
      </c>
      <c r="AT655" t="s">
        <v>12379</v>
      </c>
      <c r="AU655">
        <v>2015</v>
      </c>
      <c r="AV655">
        <v>26</v>
      </c>
      <c r="AW655">
        <v>1</v>
      </c>
      <c r="AX655" t="s">
        <v>74</v>
      </c>
      <c r="AY655" t="s">
        <v>74</v>
      </c>
      <c r="AZ655" t="s">
        <v>454</v>
      </c>
      <c r="BA655" t="s">
        <v>74</v>
      </c>
      <c r="BB655">
        <v>41</v>
      </c>
      <c r="BC655">
        <v>52</v>
      </c>
      <c r="BD655" t="s">
        <v>74</v>
      </c>
      <c r="BE655" t="s">
        <v>12811</v>
      </c>
      <c r="BF655" t="str">
        <f>HYPERLINK("http://dx.doi.org/10.3319/TAO.2014.08.19.04(GRT)","http://dx.doi.org/10.3319/TAO.2014.08.19.04(GRT)")</f>
        <v>http://dx.doi.org/10.3319/TAO.2014.08.19.04(GRT)</v>
      </c>
      <c r="BG655" t="s">
        <v>74</v>
      </c>
      <c r="BH655" t="s">
        <v>74</v>
      </c>
      <c r="BI655">
        <v>12</v>
      </c>
      <c r="BJ655" t="s">
        <v>12812</v>
      </c>
      <c r="BK655" t="s">
        <v>1247</v>
      </c>
      <c r="BL655" t="s">
        <v>12813</v>
      </c>
      <c r="BM655" t="s">
        <v>12814</v>
      </c>
      <c r="BN655" t="s">
        <v>74</v>
      </c>
      <c r="BO655" t="s">
        <v>12815</v>
      </c>
      <c r="BP655" t="s">
        <v>74</v>
      </c>
      <c r="BQ655" t="s">
        <v>74</v>
      </c>
      <c r="BR655" t="s">
        <v>104</v>
      </c>
      <c r="BS655" t="s">
        <v>12816</v>
      </c>
      <c r="BT655" t="str">
        <f>HYPERLINK("https%3A%2F%2Fwww.webofscience.com%2Fwos%2Fwoscc%2Ffull-record%2FWOS:000350389800005","View Full Record in Web of Science")</f>
        <v>View Full Record in Web of Science</v>
      </c>
    </row>
    <row r="656" spans="1:72" x14ac:dyDescent="0.15">
      <c r="A656" t="s">
        <v>72</v>
      </c>
      <c r="B656" t="s">
        <v>12817</v>
      </c>
      <c r="C656" t="s">
        <v>74</v>
      </c>
      <c r="D656" t="s">
        <v>74</v>
      </c>
      <c r="E656" t="s">
        <v>74</v>
      </c>
      <c r="F656" t="s">
        <v>12818</v>
      </c>
      <c r="G656" t="s">
        <v>74</v>
      </c>
      <c r="H656" t="s">
        <v>74</v>
      </c>
      <c r="I656" t="s">
        <v>12819</v>
      </c>
      <c r="J656" t="s">
        <v>1792</v>
      </c>
      <c r="K656" t="s">
        <v>74</v>
      </c>
      <c r="L656" t="s">
        <v>74</v>
      </c>
      <c r="M656" t="s">
        <v>78</v>
      </c>
      <c r="N656" t="s">
        <v>79</v>
      </c>
      <c r="O656" t="s">
        <v>74</v>
      </c>
      <c r="P656" t="s">
        <v>74</v>
      </c>
      <c r="Q656" t="s">
        <v>74</v>
      </c>
      <c r="R656" t="s">
        <v>74</v>
      </c>
      <c r="S656" t="s">
        <v>74</v>
      </c>
      <c r="T656" t="s">
        <v>74</v>
      </c>
      <c r="U656" t="s">
        <v>12820</v>
      </c>
      <c r="V656" t="s">
        <v>12821</v>
      </c>
      <c r="W656" t="s">
        <v>12822</v>
      </c>
      <c r="X656" t="s">
        <v>12823</v>
      </c>
      <c r="Y656" t="s">
        <v>12824</v>
      </c>
      <c r="Z656" t="s">
        <v>12825</v>
      </c>
      <c r="AA656" t="s">
        <v>74</v>
      </c>
      <c r="AB656" t="s">
        <v>12826</v>
      </c>
      <c r="AC656" t="s">
        <v>12827</v>
      </c>
      <c r="AD656" t="s">
        <v>12827</v>
      </c>
      <c r="AE656" t="s">
        <v>12828</v>
      </c>
      <c r="AF656" t="s">
        <v>74</v>
      </c>
      <c r="AG656">
        <v>50</v>
      </c>
      <c r="AH656">
        <v>5</v>
      </c>
      <c r="AI656">
        <v>7</v>
      </c>
      <c r="AJ656">
        <v>0</v>
      </c>
      <c r="AK656">
        <v>37</v>
      </c>
      <c r="AL656" t="s">
        <v>1829</v>
      </c>
      <c r="AM656" t="s">
        <v>1458</v>
      </c>
      <c r="AN656" t="s">
        <v>1830</v>
      </c>
      <c r="AO656" t="s">
        <v>1807</v>
      </c>
      <c r="AP656" t="s">
        <v>1808</v>
      </c>
      <c r="AQ656" t="s">
        <v>74</v>
      </c>
      <c r="AR656" t="s">
        <v>1809</v>
      </c>
      <c r="AS656" t="s">
        <v>1810</v>
      </c>
      <c r="AT656" t="s">
        <v>12379</v>
      </c>
      <c r="AU656">
        <v>2015</v>
      </c>
      <c r="AV656">
        <v>47</v>
      </c>
      <c r="AW656">
        <v>1</v>
      </c>
      <c r="AX656" t="s">
        <v>74</v>
      </c>
      <c r="AY656" t="s">
        <v>74</v>
      </c>
      <c r="AZ656" t="s">
        <v>74</v>
      </c>
      <c r="BA656" t="s">
        <v>74</v>
      </c>
      <c r="BB656">
        <v>1</v>
      </c>
      <c r="BC656">
        <v>16</v>
      </c>
      <c r="BD656" t="s">
        <v>74</v>
      </c>
      <c r="BE656" t="s">
        <v>12829</v>
      </c>
      <c r="BF656" t="str">
        <f>HYPERLINK("http://dx.doi.org/10.1657/AAAR0014-033","http://dx.doi.org/10.1657/AAAR0014-033")</f>
        <v>http://dx.doi.org/10.1657/AAAR0014-033</v>
      </c>
      <c r="BG656" t="s">
        <v>74</v>
      </c>
      <c r="BH656" t="s">
        <v>74</v>
      </c>
      <c r="BI656">
        <v>16</v>
      </c>
      <c r="BJ656" t="s">
        <v>1812</v>
      </c>
      <c r="BK656" t="s">
        <v>100</v>
      </c>
      <c r="BL656" t="s">
        <v>197</v>
      </c>
      <c r="BM656" t="s">
        <v>12830</v>
      </c>
      <c r="BN656" t="s">
        <v>74</v>
      </c>
      <c r="BO656" t="s">
        <v>248</v>
      </c>
      <c r="BP656" t="s">
        <v>74</v>
      </c>
      <c r="BQ656" t="s">
        <v>74</v>
      </c>
      <c r="BR656" t="s">
        <v>104</v>
      </c>
      <c r="BS656" t="s">
        <v>12831</v>
      </c>
      <c r="BT656" t="str">
        <f>HYPERLINK("https%3A%2F%2Fwww.webofscience.com%2Fwos%2Fwoscc%2Ffull-record%2FWOS:000350219000001","View Full Record in Web of Science")</f>
        <v>View Full Record in Web of Science</v>
      </c>
    </row>
    <row r="657" spans="1:72" x14ac:dyDescent="0.15">
      <c r="A657" t="s">
        <v>72</v>
      </c>
      <c r="B657" t="s">
        <v>12832</v>
      </c>
      <c r="C657" t="s">
        <v>74</v>
      </c>
      <c r="D657" t="s">
        <v>74</v>
      </c>
      <c r="E657" t="s">
        <v>74</v>
      </c>
      <c r="F657" t="s">
        <v>12833</v>
      </c>
      <c r="G657" t="s">
        <v>74</v>
      </c>
      <c r="H657" t="s">
        <v>74</v>
      </c>
      <c r="I657" t="s">
        <v>12834</v>
      </c>
      <c r="J657" t="s">
        <v>1792</v>
      </c>
      <c r="K657" t="s">
        <v>74</v>
      </c>
      <c r="L657" t="s">
        <v>74</v>
      </c>
      <c r="M657" t="s">
        <v>78</v>
      </c>
      <c r="N657" t="s">
        <v>79</v>
      </c>
      <c r="O657" t="s">
        <v>74</v>
      </c>
      <c r="P657" t="s">
        <v>74</v>
      </c>
      <c r="Q657" t="s">
        <v>74</v>
      </c>
      <c r="R657" t="s">
        <v>74</v>
      </c>
      <c r="S657" t="s">
        <v>74</v>
      </c>
      <c r="T657" t="s">
        <v>74</v>
      </c>
      <c r="U657" t="s">
        <v>12835</v>
      </c>
      <c r="V657" t="s">
        <v>12836</v>
      </c>
      <c r="W657" t="s">
        <v>12837</v>
      </c>
      <c r="X657" t="s">
        <v>12838</v>
      </c>
      <c r="Y657" t="s">
        <v>12839</v>
      </c>
      <c r="Z657" t="s">
        <v>12840</v>
      </c>
      <c r="AA657" t="s">
        <v>12841</v>
      </c>
      <c r="AB657" t="s">
        <v>12842</v>
      </c>
      <c r="AC657" t="s">
        <v>74</v>
      </c>
      <c r="AD657" t="s">
        <v>74</v>
      </c>
      <c r="AE657" t="s">
        <v>74</v>
      </c>
      <c r="AF657" t="s">
        <v>74</v>
      </c>
      <c r="AG657">
        <v>38</v>
      </c>
      <c r="AH657">
        <v>16</v>
      </c>
      <c r="AI657">
        <v>17</v>
      </c>
      <c r="AJ657">
        <v>0</v>
      </c>
      <c r="AK657">
        <v>23</v>
      </c>
      <c r="AL657" t="s">
        <v>1829</v>
      </c>
      <c r="AM657" t="s">
        <v>1458</v>
      </c>
      <c r="AN657" t="s">
        <v>1830</v>
      </c>
      <c r="AO657" t="s">
        <v>1807</v>
      </c>
      <c r="AP657" t="s">
        <v>1808</v>
      </c>
      <c r="AQ657" t="s">
        <v>74</v>
      </c>
      <c r="AR657" t="s">
        <v>1809</v>
      </c>
      <c r="AS657" t="s">
        <v>1810</v>
      </c>
      <c r="AT657" t="s">
        <v>12379</v>
      </c>
      <c r="AU657">
        <v>2015</v>
      </c>
      <c r="AV657">
        <v>47</v>
      </c>
      <c r="AW657">
        <v>1</v>
      </c>
      <c r="AX657" t="s">
        <v>74</v>
      </c>
      <c r="AY657" t="s">
        <v>74</v>
      </c>
      <c r="AZ657" t="s">
        <v>74</v>
      </c>
      <c r="BA657" t="s">
        <v>74</v>
      </c>
      <c r="BB657">
        <v>17</v>
      </c>
      <c r="BC657">
        <v>25</v>
      </c>
      <c r="BD657" t="s">
        <v>74</v>
      </c>
      <c r="BE657" t="s">
        <v>12843</v>
      </c>
      <c r="BF657" t="str">
        <f>HYPERLINK("http://dx.doi.org/10.1657/AAAR0014-019","http://dx.doi.org/10.1657/AAAR0014-019")</f>
        <v>http://dx.doi.org/10.1657/AAAR0014-019</v>
      </c>
      <c r="BG657" t="s">
        <v>74</v>
      </c>
      <c r="BH657" t="s">
        <v>74</v>
      </c>
      <c r="BI657">
        <v>9</v>
      </c>
      <c r="BJ657" t="s">
        <v>1812</v>
      </c>
      <c r="BK657" t="s">
        <v>100</v>
      </c>
      <c r="BL657" t="s">
        <v>197</v>
      </c>
      <c r="BM657" t="s">
        <v>12830</v>
      </c>
      <c r="BN657" t="s">
        <v>74</v>
      </c>
      <c r="BO657" t="s">
        <v>559</v>
      </c>
      <c r="BP657" t="s">
        <v>74</v>
      </c>
      <c r="BQ657" t="s">
        <v>74</v>
      </c>
      <c r="BR657" t="s">
        <v>104</v>
      </c>
      <c r="BS657" t="s">
        <v>12844</v>
      </c>
      <c r="BT657" t="str">
        <f>HYPERLINK("https%3A%2F%2Fwww.webofscience.com%2Fwos%2Fwoscc%2Ffull-record%2FWOS:000350219000002","View Full Record in Web of Science")</f>
        <v>View Full Record in Web of Science</v>
      </c>
    </row>
    <row r="658" spans="1:72" x14ac:dyDescent="0.15">
      <c r="A658" t="s">
        <v>72</v>
      </c>
      <c r="B658" t="s">
        <v>12845</v>
      </c>
      <c r="C658" t="s">
        <v>74</v>
      </c>
      <c r="D658" t="s">
        <v>74</v>
      </c>
      <c r="E658" t="s">
        <v>74</v>
      </c>
      <c r="F658" t="s">
        <v>12846</v>
      </c>
      <c r="G658" t="s">
        <v>74</v>
      </c>
      <c r="H658" t="s">
        <v>74</v>
      </c>
      <c r="I658" t="s">
        <v>12847</v>
      </c>
      <c r="J658" t="s">
        <v>1792</v>
      </c>
      <c r="K658" t="s">
        <v>74</v>
      </c>
      <c r="L658" t="s">
        <v>74</v>
      </c>
      <c r="M658" t="s">
        <v>78</v>
      </c>
      <c r="N658" t="s">
        <v>79</v>
      </c>
      <c r="O658" t="s">
        <v>74</v>
      </c>
      <c r="P658" t="s">
        <v>74</v>
      </c>
      <c r="Q658" t="s">
        <v>74</v>
      </c>
      <c r="R658" t="s">
        <v>74</v>
      </c>
      <c r="S658" t="s">
        <v>74</v>
      </c>
      <c r="T658" t="s">
        <v>74</v>
      </c>
      <c r="U658" t="s">
        <v>12848</v>
      </c>
      <c r="V658" t="s">
        <v>12849</v>
      </c>
      <c r="W658" t="s">
        <v>12850</v>
      </c>
      <c r="X658" t="s">
        <v>12851</v>
      </c>
      <c r="Y658" t="s">
        <v>12852</v>
      </c>
      <c r="Z658" t="s">
        <v>12853</v>
      </c>
      <c r="AA658" t="s">
        <v>12854</v>
      </c>
      <c r="AB658" t="s">
        <v>12855</v>
      </c>
      <c r="AC658" t="s">
        <v>12856</v>
      </c>
      <c r="AD658" t="s">
        <v>12857</v>
      </c>
      <c r="AE658" t="s">
        <v>12858</v>
      </c>
      <c r="AF658" t="s">
        <v>74</v>
      </c>
      <c r="AG658">
        <v>43</v>
      </c>
      <c r="AH658">
        <v>6</v>
      </c>
      <c r="AI658">
        <v>9</v>
      </c>
      <c r="AJ658">
        <v>1</v>
      </c>
      <c r="AK658">
        <v>37</v>
      </c>
      <c r="AL658" t="s">
        <v>1829</v>
      </c>
      <c r="AM658" t="s">
        <v>1458</v>
      </c>
      <c r="AN658" t="s">
        <v>1830</v>
      </c>
      <c r="AO658" t="s">
        <v>1807</v>
      </c>
      <c r="AP658" t="s">
        <v>1808</v>
      </c>
      <c r="AQ658" t="s">
        <v>74</v>
      </c>
      <c r="AR658" t="s">
        <v>1809</v>
      </c>
      <c r="AS658" t="s">
        <v>1810</v>
      </c>
      <c r="AT658" t="s">
        <v>12379</v>
      </c>
      <c r="AU658">
        <v>2015</v>
      </c>
      <c r="AV658">
        <v>47</v>
      </c>
      <c r="AW658">
        <v>1</v>
      </c>
      <c r="AX658" t="s">
        <v>74</v>
      </c>
      <c r="AY658" t="s">
        <v>74</v>
      </c>
      <c r="AZ658" t="s">
        <v>74</v>
      </c>
      <c r="BA658" t="s">
        <v>74</v>
      </c>
      <c r="BB658">
        <v>27</v>
      </c>
      <c r="BC658">
        <v>34</v>
      </c>
      <c r="BD658" t="s">
        <v>74</v>
      </c>
      <c r="BE658" t="s">
        <v>12859</v>
      </c>
      <c r="BF658" t="str">
        <f>HYPERLINK("http://dx.doi.org/10.1657/AAAR0014-055","http://dx.doi.org/10.1657/AAAR0014-055")</f>
        <v>http://dx.doi.org/10.1657/AAAR0014-055</v>
      </c>
      <c r="BG658" t="s">
        <v>74</v>
      </c>
      <c r="BH658" t="s">
        <v>74</v>
      </c>
      <c r="BI658">
        <v>8</v>
      </c>
      <c r="BJ658" t="s">
        <v>1812</v>
      </c>
      <c r="BK658" t="s">
        <v>100</v>
      </c>
      <c r="BL658" t="s">
        <v>197</v>
      </c>
      <c r="BM658" t="s">
        <v>12830</v>
      </c>
      <c r="BN658" t="s">
        <v>74</v>
      </c>
      <c r="BO658" t="s">
        <v>559</v>
      </c>
      <c r="BP658" t="s">
        <v>74</v>
      </c>
      <c r="BQ658" t="s">
        <v>74</v>
      </c>
      <c r="BR658" t="s">
        <v>104</v>
      </c>
      <c r="BS658" t="s">
        <v>12860</v>
      </c>
      <c r="BT658" t="str">
        <f>HYPERLINK("https%3A%2F%2Fwww.webofscience.com%2Fwos%2Fwoscc%2Ffull-record%2FWOS:000350219000003","View Full Record in Web of Science")</f>
        <v>View Full Record in Web of Science</v>
      </c>
    </row>
    <row r="659" spans="1:72" x14ac:dyDescent="0.15">
      <c r="A659" t="s">
        <v>72</v>
      </c>
      <c r="B659" t="s">
        <v>12861</v>
      </c>
      <c r="C659" t="s">
        <v>74</v>
      </c>
      <c r="D659" t="s">
        <v>74</v>
      </c>
      <c r="E659" t="s">
        <v>74</v>
      </c>
      <c r="F659" t="s">
        <v>12862</v>
      </c>
      <c r="G659" t="s">
        <v>74</v>
      </c>
      <c r="H659" t="s">
        <v>74</v>
      </c>
      <c r="I659" t="s">
        <v>12863</v>
      </c>
      <c r="J659" t="s">
        <v>1792</v>
      </c>
      <c r="K659" t="s">
        <v>74</v>
      </c>
      <c r="L659" t="s">
        <v>74</v>
      </c>
      <c r="M659" t="s">
        <v>78</v>
      </c>
      <c r="N659" t="s">
        <v>79</v>
      </c>
      <c r="O659" t="s">
        <v>74</v>
      </c>
      <c r="P659" t="s">
        <v>74</v>
      </c>
      <c r="Q659" t="s">
        <v>74</v>
      </c>
      <c r="R659" t="s">
        <v>74</v>
      </c>
      <c r="S659" t="s">
        <v>74</v>
      </c>
      <c r="T659" t="s">
        <v>74</v>
      </c>
      <c r="U659" t="s">
        <v>12864</v>
      </c>
      <c r="V659" t="s">
        <v>12865</v>
      </c>
      <c r="W659" t="s">
        <v>12866</v>
      </c>
      <c r="X659" t="s">
        <v>8584</v>
      </c>
      <c r="Y659" t="s">
        <v>12867</v>
      </c>
      <c r="Z659" t="s">
        <v>12868</v>
      </c>
      <c r="AA659" t="s">
        <v>74</v>
      </c>
      <c r="AB659" t="s">
        <v>74</v>
      </c>
      <c r="AC659" t="s">
        <v>74</v>
      </c>
      <c r="AD659" t="s">
        <v>74</v>
      </c>
      <c r="AE659" t="s">
        <v>74</v>
      </c>
      <c r="AF659" t="s">
        <v>74</v>
      </c>
      <c r="AG659">
        <v>39</v>
      </c>
      <c r="AH659">
        <v>6</v>
      </c>
      <c r="AI659">
        <v>7</v>
      </c>
      <c r="AJ659">
        <v>1</v>
      </c>
      <c r="AK659">
        <v>49</v>
      </c>
      <c r="AL659" t="s">
        <v>1829</v>
      </c>
      <c r="AM659" t="s">
        <v>1458</v>
      </c>
      <c r="AN659" t="s">
        <v>1830</v>
      </c>
      <c r="AO659" t="s">
        <v>1807</v>
      </c>
      <c r="AP659" t="s">
        <v>1808</v>
      </c>
      <c r="AQ659" t="s">
        <v>74</v>
      </c>
      <c r="AR659" t="s">
        <v>1809</v>
      </c>
      <c r="AS659" t="s">
        <v>1810</v>
      </c>
      <c r="AT659" t="s">
        <v>12379</v>
      </c>
      <c r="AU659">
        <v>2015</v>
      </c>
      <c r="AV659">
        <v>47</v>
      </c>
      <c r="AW659">
        <v>1</v>
      </c>
      <c r="AX659" t="s">
        <v>74</v>
      </c>
      <c r="AY659" t="s">
        <v>74</v>
      </c>
      <c r="AZ659" t="s">
        <v>74</v>
      </c>
      <c r="BA659" t="s">
        <v>74</v>
      </c>
      <c r="BB659">
        <v>49</v>
      </c>
      <c r="BC659">
        <v>58</v>
      </c>
      <c r="BD659" t="s">
        <v>74</v>
      </c>
      <c r="BE659" t="s">
        <v>12869</v>
      </c>
      <c r="BF659" t="str">
        <f>HYPERLINK("http://dx.doi.org/10.1657/AAAR0014-010","http://dx.doi.org/10.1657/AAAR0014-010")</f>
        <v>http://dx.doi.org/10.1657/AAAR0014-010</v>
      </c>
      <c r="BG659" t="s">
        <v>74</v>
      </c>
      <c r="BH659" t="s">
        <v>74</v>
      </c>
      <c r="BI659">
        <v>10</v>
      </c>
      <c r="BJ659" t="s">
        <v>1812</v>
      </c>
      <c r="BK659" t="s">
        <v>100</v>
      </c>
      <c r="BL659" t="s">
        <v>197</v>
      </c>
      <c r="BM659" t="s">
        <v>12830</v>
      </c>
      <c r="BN659" t="s">
        <v>74</v>
      </c>
      <c r="BO659" t="s">
        <v>1832</v>
      </c>
      <c r="BP659" t="s">
        <v>74</v>
      </c>
      <c r="BQ659" t="s">
        <v>74</v>
      </c>
      <c r="BR659" t="s">
        <v>104</v>
      </c>
      <c r="BS659" t="s">
        <v>12870</v>
      </c>
      <c r="BT659" t="str">
        <f>HYPERLINK("https%3A%2F%2Fwww.webofscience.com%2Fwos%2Fwoscc%2Ffull-record%2FWOS:000350219000005","View Full Record in Web of Science")</f>
        <v>View Full Record in Web of Science</v>
      </c>
    </row>
    <row r="660" spans="1:72" x14ac:dyDescent="0.15">
      <c r="A660" t="s">
        <v>72</v>
      </c>
      <c r="B660" t="s">
        <v>12871</v>
      </c>
      <c r="C660" t="s">
        <v>74</v>
      </c>
      <c r="D660" t="s">
        <v>74</v>
      </c>
      <c r="E660" t="s">
        <v>74</v>
      </c>
      <c r="F660" t="s">
        <v>12872</v>
      </c>
      <c r="G660" t="s">
        <v>74</v>
      </c>
      <c r="H660" t="s">
        <v>74</v>
      </c>
      <c r="I660" t="s">
        <v>12873</v>
      </c>
      <c r="J660" t="s">
        <v>1792</v>
      </c>
      <c r="K660" t="s">
        <v>74</v>
      </c>
      <c r="L660" t="s">
        <v>74</v>
      </c>
      <c r="M660" t="s">
        <v>78</v>
      </c>
      <c r="N660" t="s">
        <v>79</v>
      </c>
      <c r="O660" t="s">
        <v>74</v>
      </c>
      <c r="P660" t="s">
        <v>74</v>
      </c>
      <c r="Q660" t="s">
        <v>74</v>
      </c>
      <c r="R660" t="s">
        <v>74</v>
      </c>
      <c r="S660" t="s">
        <v>74</v>
      </c>
      <c r="T660" t="s">
        <v>74</v>
      </c>
      <c r="U660" t="s">
        <v>12874</v>
      </c>
      <c r="V660" t="s">
        <v>12875</v>
      </c>
      <c r="W660" t="s">
        <v>12876</v>
      </c>
      <c r="X660" t="s">
        <v>12877</v>
      </c>
      <c r="Y660" t="s">
        <v>12878</v>
      </c>
      <c r="Z660" t="s">
        <v>12879</v>
      </c>
      <c r="AA660" t="s">
        <v>12880</v>
      </c>
      <c r="AB660" t="s">
        <v>12881</v>
      </c>
      <c r="AC660" t="s">
        <v>12882</v>
      </c>
      <c r="AD660" t="s">
        <v>12883</v>
      </c>
      <c r="AE660" t="s">
        <v>12884</v>
      </c>
      <c r="AF660" t="s">
        <v>74</v>
      </c>
      <c r="AG660">
        <v>71</v>
      </c>
      <c r="AH660">
        <v>53</v>
      </c>
      <c r="AI660">
        <v>59</v>
      </c>
      <c r="AJ660">
        <v>0</v>
      </c>
      <c r="AK660">
        <v>32</v>
      </c>
      <c r="AL660" t="s">
        <v>1239</v>
      </c>
      <c r="AM660" t="s">
        <v>448</v>
      </c>
      <c r="AN660" t="s">
        <v>1240</v>
      </c>
      <c r="AO660" t="s">
        <v>1807</v>
      </c>
      <c r="AP660" t="s">
        <v>1808</v>
      </c>
      <c r="AQ660" t="s">
        <v>74</v>
      </c>
      <c r="AR660" t="s">
        <v>1809</v>
      </c>
      <c r="AS660" t="s">
        <v>1810</v>
      </c>
      <c r="AT660" t="s">
        <v>12379</v>
      </c>
      <c r="AU660">
        <v>2015</v>
      </c>
      <c r="AV660">
        <v>47</v>
      </c>
      <c r="AW660">
        <v>1</v>
      </c>
      <c r="AX660" t="s">
        <v>74</v>
      </c>
      <c r="AY660" t="s">
        <v>74</v>
      </c>
      <c r="AZ660" t="s">
        <v>74</v>
      </c>
      <c r="BA660" t="s">
        <v>74</v>
      </c>
      <c r="BB660">
        <v>89</v>
      </c>
      <c r="BC660">
        <v>98</v>
      </c>
      <c r="BD660" t="s">
        <v>74</v>
      </c>
      <c r="BE660" t="s">
        <v>12885</v>
      </c>
      <c r="BF660" t="str">
        <f>HYPERLINK("http://dx.doi.org/10.1657/AAAR0014-029","http://dx.doi.org/10.1657/AAAR0014-029")</f>
        <v>http://dx.doi.org/10.1657/AAAR0014-029</v>
      </c>
      <c r="BG660" t="s">
        <v>74</v>
      </c>
      <c r="BH660" t="s">
        <v>74</v>
      </c>
      <c r="BI660">
        <v>10</v>
      </c>
      <c r="BJ660" t="s">
        <v>1812</v>
      </c>
      <c r="BK660" t="s">
        <v>100</v>
      </c>
      <c r="BL660" t="s">
        <v>197</v>
      </c>
      <c r="BM660" t="s">
        <v>12830</v>
      </c>
      <c r="BN660" t="s">
        <v>74</v>
      </c>
      <c r="BO660" t="s">
        <v>103</v>
      </c>
      <c r="BP660" t="s">
        <v>74</v>
      </c>
      <c r="BQ660" t="s">
        <v>74</v>
      </c>
      <c r="BR660" t="s">
        <v>104</v>
      </c>
      <c r="BS660" t="s">
        <v>12886</v>
      </c>
      <c r="BT660" t="str">
        <f>HYPERLINK("https%3A%2F%2Fwww.webofscience.com%2Fwos%2Fwoscc%2Ffull-record%2FWOS:000350219000008","View Full Record in Web of Science")</f>
        <v>View Full Record in Web of Science</v>
      </c>
    </row>
    <row r="661" spans="1:72" x14ac:dyDescent="0.15">
      <c r="A661" t="s">
        <v>72</v>
      </c>
      <c r="B661" t="s">
        <v>12887</v>
      </c>
      <c r="C661" t="s">
        <v>74</v>
      </c>
      <c r="D661" t="s">
        <v>74</v>
      </c>
      <c r="E661" t="s">
        <v>74</v>
      </c>
      <c r="F661" t="s">
        <v>12888</v>
      </c>
      <c r="G661" t="s">
        <v>74</v>
      </c>
      <c r="H661" t="s">
        <v>74</v>
      </c>
      <c r="I661" t="s">
        <v>12889</v>
      </c>
      <c r="J661" t="s">
        <v>1792</v>
      </c>
      <c r="K661" t="s">
        <v>74</v>
      </c>
      <c r="L661" t="s">
        <v>74</v>
      </c>
      <c r="M661" t="s">
        <v>78</v>
      </c>
      <c r="N661" t="s">
        <v>79</v>
      </c>
      <c r="O661" t="s">
        <v>74</v>
      </c>
      <c r="P661" t="s">
        <v>74</v>
      </c>
      <c r="Q661" t="s">
        <v>74</v>
      </c>
      <c r="R661" t="s">
        <v>74</v>
      </c>
      <c r="S661" t="s">
        <v>74</v>
      </c>
      <c r="T661" t="s">
        <v>74</v>
      </c>
      <c r="U661" t="s">
        <v>12890</v>
      </c>
      <c r="V661" t="s">
        <v>12891</v>
      </c>
      <c r="W661" t="s">
        <v>12892</v>
      </c>
      <c r="X661" t="s">
        <v>12893</v>
      </c>
      <c r="Y661" t="s">
        <v>12894</v>
      </c>
      <c r="Z661" t="s">
        <v>12895</v>
      </c>
      <c r="AA661" t="s">
        <v>74</v>
      </c>
      <c r="AB661" t="s">
        <v>12896</v>
      </c>
      <c r="AC661" t="s">
        <v>12897</v>
      </c>
      <c r="AD661" t="s">
        <v>12898</v>
      </c>
      <c r="AE661" t="s">
        <v>12899</v>
      </c>
      <c r="AF661" t="s">
        <v>74</v>
      </c>
      <c r="AG661">
        <v>55</v>
      </c>
      <c r="AH661">
        <v>26</v>
      </c>
      <c r="AI661">
        <v>31</v>
      </c>
      <c r="AJ661">
        <v>3</v>
      </c>
      <c r="AK661">
        <v>54</v>
      </c>
      <c r="AL661" t="s">
        <v>1239</v>
      </c>
      <c r="AM661" t="s">
        <v>448</v>
      </c>
      <c r="AN661" t="s">
        <v>1240</v>
      </c>
      <c r="AO661" t="s">
        <v>1807</v>
      </c>
      <c r="AP661" t="s">
        <v>1808</v>
      </c>
      <c r="AQ661" t="s">
        <v>74</v>
      </c>
      <c r="AR661" t="s">
        <v>1809</v>
      </c>
      <c r="AS661" t="s">
        <v>1810</v>
      </c>
      <c r="AT661" t="s">
        <v>12379</v>
      </c>
      <c r="AU661">
        <v>2015</v>
      </c>
      <c r="AV661">
        <v>47</v>
      </c>
      <c r="AW661">
        <v>1</v>
      </c>
      <c r="AX661" t="s">
        <v>74</v>
      </c>
      <c r="AY661" t="s">
        <v>74</v>
      </c>
      <c r="AZ661" t="s">
        <v>74</v>
      </c>
      <c r="BA661" t="s">
        <v>74</v>
      </c>
      <c r="BB661">
        <v>99</v>
      </c>
      <c r="BC661">
        <v>113</v>
      </c>
      <c r="BD661" t="s">
        <v>74</v>
      </c>
      <c r="BE661" t="s">
        <v>12900</v>
      </c>
      <c r="BF661" t="str">
        <f>HYPERLINK("http://dx.doi.org/10.1657/AAAR0013-076","http://dx.doi.org/10.1657/AAAR0013-076")</f>
        <v>http://dx.doi.org/10.1657/AAAR0013-076</v>
      </c>
      <c r="BG661" t="s">
        <v>74</v>
      </c>
      <c r="BH661" t="s">
        <v>74</v>
      </c>
      <c r="BI661">
        <v>15</v>
      </c>
      <c r="BJ661" t="s">
        <v>1812</v>
      </c>
      <c r="BK661" t="s">
        <v>100</v>
      </c>
      <c r="BL661" t="s">
        <v>197</v>
      </c>
      <c r="BM661" t="s">
        <v>12830</v>
      </c>
      <c r="BN661" t="s">
        <v>74</v>
      </c>
      <c r="BO661" t="s">
        <v>293</v>
      </c>
      <c r="BP661" t="s">
        <v>74</v>
      </c>
      <c r="BQ661" t="s">
        <v>74</v>
      </c>
      <c r="BR661" t="s">
        <v>104</v>
      </c>
      <c r="BS661" t="s">
        <v>12901</v>
      </c>
      <c r="BT661" t="str">
        <f>HYPERLINK("https%3A%2F%2Fwww.webofscience.com%2Fwos%2Fwoscc%2Ffull-record%2FWOS:000350219000009","View Full Record in Web of Science")</f>
        <v>View Full Record in Web of Science</v>
      </c>
    </row>
    <row r="662" spans="1:72" x14ac:dyDescent="0.15">
      <c r="A662" t="s">
        <v>72</v>
      </c>
      <c r="B662" t="s">
        <v>12902</v>
      </c>
      <c r="C662" t="s">
        <v>74</v>
      </c>
      <c r="D662" t="s">
        <v>74</v>
      </c>
      <c r="E662" t="s">
        <v>74</v>
      </c>
      <c r="F662" t="s">
        <v>12903</v>
      </c>
      <c r="G662" t="s">
        <v>74</v>
      </c>
      <c r="H662" t="s">
        <v>74</v>
      </c>
      <c r="I662" t="s">
        <v>12904</v>
      </c>
      <c r="J662" t="s">
        <v>1792</v>
      </c>
      <c r="K662" t="s">
        <v>74</v>
      </c>
      <c r="L662" t="s">
        <v>74</v>
      </c>
      <c r="M662" t="s">
        <v>78</v>
      </c>
      <c r="N662" t="s">
        <v>79</v>
      </c>
      <c r="O662" t="s">
        <v>74</v>
      </c>
      <c r="P662" t="s">
        <v>74</v>
      </c>
      <c r="Q662" t="s">
        <v>74</v>
      </c>
      <c r="R662" t="s">
        <v>74</v>
      </c>
      <c r="S662" t="s">
        <v>74</v>
      </c>
      <c r="T662" t="s">
        <v>74</v>
      </c>
      <c r="U662" t="s">
        <v>12905</v>
      </c>
      <c r="V662" t="s">
        <v>12906</v>
      </c>
      <c r="W662" t="s">
        <v>12907</v>
      </c>
      <c r="X662" t="s">
        <v>12908</v>
      </c>
      <c r="Y662" t="s">
        <v>12909</v>
      </c>
      <c r="Z662" t="s">
        <v>12910</v>
      </c>
      <c r="AA662" t="s">
        <v>74</v>
      </c>
      <c r="AB662" t="s">
        <v>74</v>
      </c>
      <c r="AC662" t="s">
        <v>12911</v>
      </c>
      <c r="AD662" t="s">
        <v>12911</v>
      </c>
      <c r="AE662" t="s">
        <v>12912</v>
      </c>
      <c r="AF662" t="s">
        <v>74</v>
      </c>
      <c r="AG662">
        <v>54</v>
      </c>
      <c r="AH662">
        <v>1</v>
      </c>
      <c r="AI662">
        <v>3</v>
      </c>
      <c r="AJ662">
        <v>1</v>
      </c>
      <c r="AK662">
        <v>54</v>
      </c>
      <c r="AL662" t="s">
        <v>1829</v>
      </c>
      <c r="AM662" t="s">
        <v>1458</v>
      </c>
      <c r="AN662" t="s">
        <v>1830</v>
      </c>
      <c r="AO662" t="s">
        <v>1807</v>
      </c>
      <c r="AP662" t="s">
        <v>1808</v>
      </c>
      <c r="AQ662" t="s">
        <v>74</v>
      </c>
      <c r="AR662" t="s">
        <v>1809</v>
      </c>
      <c r="AS662" t="s">
        <v>1810</v>
      </c>
      <c r="AT662" t="s">
        <v>12379</v>
      </c>
      <c r="AU662">
        <v>2015</v>
      </c>
      <c r="AV662">
        <v>47</v>
      </c>
      <c r="AW662">
        <v>1</v>
      </c>
      <c r="AX662" t="s">
        <v>74</v>
      </c>
      <c r="AY662" t="s">
        <v>74</v>
      </c>
      <c r="AZ662" t="s">
        <v>74</v>
      </c>
      <c r="BA662" t="s">
        <v>74</v>
      </c>
      <c r="BB662">
        <v>115</v>
      </c>
      <c r="BC662">
        <v>123</v>
      </c>
      <c r="BD662" t="s">
        <v>74</v>
      </c>
      <c r="BE662" t="s">
        <v>12913</v>
      </c>
      <c r="BF662" t="str">
        <f>HYPERLINK("http://dx.doi.org/10.1657/AAAR0013-136","http://dx.doi.org/10.1657/AAAR0013-136")</f>
        <v>http://dx.doi.org/10.1657/AAAR0013-136</v>
      </c>
      <c r="BG662" t="s">
        <v>74</v>
      </c>
      <c r="BH662" t="s">
        <v>74</v>
      </c>
      <c r="BI662">
        <v>9</v>
      </c>
      <c r="BJ662" t="s">
        <v>1812</v>
      </c>
      <c r="BK662" t="s">
        <v>100</v>
      </c>
      <c r="BL662" t="s">
        <v>197</v>
      </c>
      <c r="BM662" t="s">
        <v>12830</v>
      </c>
      <c r="BN662" t="s">
        <v>74</v>
      </c>
      <c r="BO662" t="s">
        <v>1832</v>
      </c>
      <c r="BP662" t="s">
        <v>74</v>
      </c>
      <c r="BQ662" t="s">
        <v>74</v>
      </c>
      <c r="BR662" t="s">
        <v>104</v>
      </c>
      <c r="BS662" t="s">
        <v>12914</v>
      </c>
      <c r="BT662" t="str">
        <f>HYPERLINK("https%3A%2F%2Fwww.webofscience.com%2Fwos%2Fwoscc%2Ffull-record%2FWOS:000350219000010","View Full Record in Web of Science")</f>
        <v>View Full Record in Web of Science</v>
      </c>
    </row>
    <row r="663" spans="1:72" x14ac:dyDescent="0.15">
      <c r="A663" t="s">
        <v>72</v>
      </c>
      <c r="B663" t="s">
        <v>12915</v>
      </c>
      <c r="C663" t="s">
        <v>74</v>
      </c>
      <c r="D663" t="s">
        <v>74</v>
      </c>
      <c r="E663" t="s">
        <v>74</v>
      </c>
      <c r="F663" t="s">
        <v>12916</v>
      </c>
      <c r="G663" t="s">
        <v>74</v>
      </c>
      <c r="H663" t="s">
        <v>74</v>
      </c>
      <c r="I663" t="s">
        <v>12917</v>
      </c>
      <c r="J663" t="s">
        <v>1792</v>
      </c>
      <c r="K663" t="s">
        <v>74</v>
      </c>
      <c r="L663" t="s">
        <v>74</v>
      </c>
      <c r="M663" t="s">
        <v>78</v>
      </c>
      <c r="N663" t="s">
        <v>79</v>
      </c>
      <c r="O663" t="s">
        <v>74</v>
      </c>
      <c r="P663" t="s">
        <v>74</v>
      </c>
      <c r="Q663" t="s">
        <v>74</v>
      </c>
      <c r="R663" t="s">
        <v>74</v>
      </c>
      <c r="S663" t="s">
        <v>74</v>
      </c>
      <c r="T663" t="s">
        <v>74</v>
      </c>
      <c r="U663" t="s">
        <v>12918</v>
      </c>
      <c r="V663" t="s">
        <v>12919</v>
      </c>
      <c r="W663" t="s">
        <v>12920</v>
      </c>
      <c r="X663" t="s">
        <v>12921</v>
      </c>
      <c r="Y663" t="s">
        <v>12922</v>
      </c>
      <c r="Z663" t="s">
        <v>12923</v>
      </c>
      <c r="AA663" t="s">
        <v>12924</v>
      </c>
      <c r="AB663" t="s">
        <v>12925</v>
      </c>
      <c r="AC663" t="s">
        <v>12926</v>
      </c>
      <c r="AD663" t="s">
        <v>12927</v>
      </c>
      <c r="AE663" t="s">
        <v>12928</v>
      </c>
      <c r="AF663" t="s">
        <v>74</v>
      </c>
      <c r="AG663">
        <v>23</v>
      </c>
      <c r="AH663">
        <v>30</v>
      </c>
      <c r="AI663">
        <v>31</v>
      </c>
      <c r="AJ663">
        <v>5</v>
      </c>
      <c r="AK663">
        <v>102</v>
      </c>
      <c r="AL663" t="s">
        <v>1239</v>
      </c>
      <c r="AM663" t="s">
        <v>448</v>
      </c>
      <c r="AN663" t="s">
        <v>1240</v>
      </c>
      <c r="AO663" t="s">
        <v>1807</v>
      </c>
      <c r="AP663" t="s">
        <v>1808</v>
      </c>
      <c r="AQ663" t="s">
        <v>74</v>
      </c>
      <c r="AR663" t="s">
        <v>1809</v>
      </c>
      <c r="AS663" t="s">
        <v>1810</v>
      </c>
      <c r="AT663" t="s">
        <v>12379</v>
      </c>
      <c r="AU663">
        <v>2015</v>
      </c>
      <c r="AV663">
        <v>47</v>
      </c>
      <c r="AW663">
        <v>1</v>
      </c>
      <c r="AX663" t="s">
        <v>74</v>
      </c>
      <c r="AY663" t="s">
        <v>74</v>
      </c>
      <c r="AZ663" t="s">
        <v>74</v>
      </c>
      <c r="BA663" t="s">
        <v>74</v>
      </c>
      <c r="BB663">
        <v>125</v>
      </c>
      <c r="BC663">
        <v>131</v>
      </c>
      <c r="BD663" t="s">
        <v>74</v>
      </c>
      <c r="BE663" t="s">
        <v>12929</v>
      </c>
      <c r="BF663" t="str">
        <f>HYPERLINK("http://dx.doi.org/10.1657/AAAR0013-098","http://dx.doi.org/10.1657/AAAR0013-098")</f>
        <v>http://dx.doi.org/10.1657/AAAR0013-098</v>
      </c>
      <c r="BG663" t="s">
        <v>74</v>
      </c>
      <c r="BH663" t="s">
        <v>74</v>
      </c>
      <c r="BI663">
        <v>7</v>
      </c>
      <c r="BJ663" t="s">
        <v>1812</v>
      </c>
      <c r="BK663" t="s">
        <v>100</v>
      </c>
      <c r="BL663" t="s">
        <v>197</v>
      </c>
      <c r="BM663" t="s">
        <v>12830</v>
      </c>
      <c r="BN663" t="s">
        <v>74</v>
      </c>
      <c r="BO663" t="s">
        <v>293</v>
      </c>
      <c r="BP663" t="s">
        <v>74</v>
      </c>
      <c r="BQ663" t="s">
        <v>74</v>
      </c>
      <c r="BR663" t="s">
        <v>104</v>
      </c>
      <c r="BS663" t="s">
        <v>12930</v>
      </c>
      <c r="BT663" t="str">
        <f>HYPERLINK("https%3A%2F%2Fwww.webofscience.com%2Fwos%2Fwoscc%2Ffull-record%2FWOS:000350219000011","View Full Record in Web of Science")</f>
        <v>View Full Record in Web of Science</v>
      </c>
    </row>
    <row r="664" spans="1:72" x14ac:dyDescent="0.15">
      <c r="A664" t="s">
        <v>72</v>
      </c>
      <c r="B664" t="s">
        <v>12931</v>
      </c>
      <c r="C664" t="s">
        <v>74</v>
      </c>
      <c r="D664" t="s">
        <v>74</v>
      </c>
      <c r="E664" t="s">
        <v>74</v>
      </c>
      <c r="F664" t="s">
        <v>12932</v>
      </c>
      <c r="G664" t="s">
        <v>74</v>
      </c>
      <c r="H664" t="s">
        <v>74</v>
      </c>
      <c r="I664" t="s">
        <v>12933</v>
      </c>
      <c r="J664" t="s">
        <v>1792</v>
      </c>
      <c r="K664" t="s">
        <v>74</v>
      </c>
      <c r="L664" t="s">
        <v>74</v>
      </c>
      <c r="M664" t="s">
        <v>78</v>
      </c>
      <c r="N664" t="s">
        <v>79</v>
      </c>
      <c r="O664" t="s">
        <v>74</v>
      </c>
      <c r="P664" t="s">
        <v>74</v>
      </c>
      <c r="Q664" t="s">
        <v>74</v>
      </c>
      <c r="R664" t="s">
        <v>74</v>
      </c>
      <c r="S664" t="s">
        <v>74</v>
      </c>
      <c r="T664" t="s">
        <v>74</v>
      </c>
      <c r="U664" t="s">
        <v>12934</v>
      </c>
      <c r="V664" t="s">
        <v>12935</v>
      </c>
      <c r="W664" t="s">
        <v>12936</v>
      </c>
      <c r="X664" t="s">
        <v>12937</v>
      </c>
      <c r="Y664" t="s">
        <v>12938</v>
      </c>
      <c r="Z664" t="s">
        <v>12939</v>
      </c>
      <c r="AA664" t="s">
        <v>74</v>
      </c>
      <c r="AB664" t="s">
        <v>74</v>
      </c>
      <c r="AC664" t="s">
        <v>12940</v>
      </c>
      <c r="AD664" t="s">
        <v>12941</v>
      </c>
      <c r="AE664" t="s">
        <v>12942</v>
      </c>
      <c r="AF664" t="s">
        <v>74</v>
      </c>
      <c r="AG664">
        <v>38</v>
      </c>
      <c r="AH664">
        <v>17</v>
      </c>
      <c r="AI664">
        <v>18</v>
      </c>
      <c r="AJ664">
        <v>0</v>
      </c>
      <c r="AK664">
        <v>12</v>
      </c>
      <c r="AL664" t="s">
        <v>1239</v>
      </c>
      <c r="AM664" t="s">
        <v>448</v>
      </c>
      <c r="AN664" t="s">
        <v>1240</v>
      </c>
      <c r="AO664" t="s">
        <v>1807</v>
      </c>
      <c r="AP664" t="s">
        <v>1808</v>
      </c>
      <c r="AQ664" t="s">
        <v>74</v>
      </c>
      <c r="AR664" t="s">
        <v>1809</v>
      </c>
      <c r="AS664" t="s">
        <v>1810</v>
      </c>
      <c r="AT664" t="s">
        <v>12379</v>
      </c>
      <c r="AU664">
        <v>2015</v>
      </c>
      <c r="AV664">
        <v>47</v>
      </c>
      <c r="AW664">
        <v>1</v>
      </c>
      <c r="AX664" t="s">
        <v>74</v>
      </c>
      <c r="AY664" t="s">
        <v>74</v>
      </c>
      <c r="AZ664" t="s">
        <v>74</v>
      </c>
      <c r="BA664" t="s">
        <v>74</v>
      </c>
      <c r="BB664">
        <v>147</v>
      </c>
      <c r="BC664">
        <v>167</v>
      </c>
      <c r="BD664" t="s">
        <v>74</v>
      </c>
      <c r="BE664" t="s">
        <v>12943</v>
      </c>
      <c r="BF664" t="str">
        <f>HYPERLINK("http://dx.doi.org/10.1657/AAAR0013-102","http://dx.doi.org/10.1657/AAAR0013-102")</f>
        <v>http://dx.doi.org/10.1657/AAAR0013-102</v>
      </c>
      <c r="BG664" t="s">
        <v>74</v>
      </c>
      <c r="BH664" t="s">
        <v>74</v>
      </c>
      <c r="BI664">
        <v>21</v>
      </c>
      <c r="BJ664" t="s">
        <v>1812</v>
      </c>
      <c r="BK664" t="s">
        <v>100</v>
      </c>
      <c r="BL664" t="s">
        <v>197</v>
      </c>
      <c r="BM664" t="s">
        <v>12830</v>
      </c>
      <c r="BN664" t="s">
        <v>74</v>
      </c>
      <c r="BO664" t="s">
        <v>293</v>
      </c>
      <c r="BP664" t="s">
        <v>74</v>
      </c>
      <c r="BQ664" t="s">
        <v>74</v>
      </c>
      <c r="BR664" t="s">
        <v>104</v>
      </c>
      <c r="BS664" t="s">
        <v>12944</v>
      </c>
      <c r="BT664" t="str">
        <f>HYPERLINK("https%3A%2F%2Fwww.webofscience.com%2Fwos%2Fwoscc%2Ffull-record%2FWOS:000350219000013","View Full Record in Web of Science")</f>
        <v>View Full Record in Web of Science</v>
      </c>
    </row>
    <row r="665" spans="1:72" x14ac:dyDescent="0.15">
      <c r="A665" t="s">
        <v>72</v>
      </c>
      <c r="B665" t="s">
        <v>12945</v>
      </c>
      <c r="C665" t="s">
        <v>74</v>
      </c>
      <c r="D665" t="s">
        <v>74</v>
      </c>
      <c r="E665" t="s">
        <v>74</v>
      </c>
      <c r="F665" t="s">
        <v>12946</v>
      </c>
      <c r="G665" t="s">
        <v>74</v>
      </c>
      <c r="H665" t="s">
        <v>74</v>
      </c>
      <c r="I665" t="s">
        <v>12947</v>
      </c>
      <c r="J665" t="s">
        <v>1792</v>
      </c>
      <c r="K665" t="s">
        <v>74</v>
      </c>
      <c r="L665" t="s">
        <v>74</v>
      </c>
      <c r="M665" t="s">
        <v>78</v>
      </c>
      <c r="N665" t="s">
        <v>79</v>
      </c>
      <c r="O665" t="s">
        <v>74</v>
      </c>
      <c r="P665" t="s">
        <v>74</v>
      </c>
      <c r="Q665" t="s">
        <v>74</v>
      </c>
      <c r="R665" t="s">
        <v>74</v>
      </c>
      <c r="S665" t="s">
        <v>74</v>
      </c>
      <c r="T665" t="s">
        <v>74</v>
      </c>
      <c r="U665" t="s">
        <v>12948</v>
      </c>
      <c r="V665" t="s">
        <v>12949</v>
      </c>
      <c r="W665" t="s">
        <v>12950</v>
      </c>
      <c r="X665" t="s">
        <v>12951</v>
      </c>
      <c r="Y665" t="s">
        <v>12952</v>
      </c>
      <c r="Z665" t="s">
        <v>12953</v>
      </c>
      <c r="AA665" t="s">
        <v>12954</v>
      </c>
      <c r="AB665" t="s">
        <v>12955</v>
      </c>
      <c r="AC665" t="s">
        <v>12956</v>
      </c>
      <c r="AD665" t="s">
        <v>12957</v>
      </c>
      <c r="AE665" t="s">
        <v>12958</v>
      </c>
      <c r="AF665" t="s">
        <v>74</v>
      </c>
      <c r="AG665">
        <v>103</v>
      </c>
      <c r="AH665">
        <v>7</v>
      </c>
      <c r="AI665">
        <v>9</v>
      </c>
      <c r="AJ665">
        <v>1</v>
      </c>
      <c r="AK665">
        <v>18</v>
      </c>
      <c r="AL665" t="s">
        <v>1829</v>
      </c>
      <c r="AM665" t="s">
        <v>1458</v>
      </c>
      <c r="AN665" t="s">
        <v>1830</v>
      </c>
      <c r="AO665" t="s">
        <v>1807</v>
      </c>
      <c r="AP665" t="s">
        <v>1808</v>
      </c>
      <c r="AQ665" t="s">
        <v>74</v>
      </c>
      <c r="AR665" t="s">
        <v>1809</v>
      </c>
      <c r="AS665" t="s">
        <v>1810</v>
      </c>
      <c r="AT665" t="s">
        <v>12379</v>
      </c>
      <c r="AU665">
        <v>2015</v>
      </c>
      <c r="AV665">
        <v>47</v>
      </c>
      <c r="AW665">
        <v>1</v>
      </c>
      <c r="AX665" t="s">
        <v>74</v>
      </c>
      <c r="AY665" t="s">
        <v>74</v>
      </c>
      <c r="AZ665" t="s">
        <v>74</v>
      </c>
      <c r="BA665" t="s">
        <v>74</v>
      </c>
      <c r="BB665">
        <v>169</v>
      </c>
      <c r="BC665">
        <v>183</v>
      </c>
      <c r="BD665" t="s">
        <v>74</v>
      </c>
      <c r="BE665" t="s">
        <v>12959</v>
      </c>
      <c r="BF665" t="str">
        <f>HYPERLINK("http://dx.doi.org/10.1657/AAAR0014-021","http://dx.doi.org/10.1657/AAAR0014-021")</f>
        <v>http://dx.doi.org/10.1657/AAAR0014-021</v>
      </c>
      <c r="BG665" t="s">
        <v>74</v>
      </c>
      <c r="BH665" t="s">
        <v>74</v>
      </c>
      <c r="BI665">
        <v>15</v>
      </c>
      <c r="BJ665" t="s">
        <v>1812</v>
      </c>
      <c r="BK665" t="s">
        <v>100</v>
      </c>
      <c r="BL665" t="s">
        <v>197</v>
      </c>
      <c r="BM665" t="s">
        <v>12830</v>
      </c>
      <c r="BN665" t="s">
        <v>74</v>
      </c>
      <c r="BO665" t="s">
        <v>74</v>
      </c>
      <c r="BP665" t="s">
        <v>74</v>
      </c>
      <c r="BQ665" t="s">
        <v>74</v>
      </c>
      <c r="BR665" t="s">
        <v>104</v>
      </c>
      <c r="BS665" t="s">
        <v>12960</v>
      </c>
      <c r="BT665" t="str">
        <f>HYPERLINK("https%3A%2F%2Fwww.webofscience.com%2Fwos%2Fwoscc%2Ffull-record%2FWOS:000350219000014","View Full Record in Web of Science")</f>
        <v>View Full Record in Web of Science</v>
      </c>
    </row>
    <row r="666" spans="1:72" x14ac:dyDescent="0.15">
      <c r="A666" t="s">
        <v>72</v>
      </c>
      <c r="B666" t="s">
        <v>12961</v>
      </c>
      <c r="C666" t="s">
        <v>74</v>
      </c>
      <c r="D666" t="s">
        <v>74</v>
      </c>
      <c r="E666" t="s">
        <v>74</v>
      </c>
      <c r="F666" t="s">
        <v>12962</v>
      </c>
      <c r="G666" t="s">
        <v>74</v>
      </c>
      <c r="H666" t="s">
        <v>74</v>
      </c>
      <c r="I666" t="s">
        <v>12963</v>
      </c>
      <c r="J666" t="s">
        <v>12964</v>
      </c>
      <c r="K666" t="s">
        <v>74</v>
      </c>
      <c r="L666" t="s">
        <v>74</v>
      </c>
      <c r="M666" t="s">
        <v>78</v>
      </c>
      <c r="N666" t="s">
        <v>79</v>
      </c>
      <c r="O666" t="s">
        <v>74</v>
      </c>
      <c r="P666" t="s">
        <v>74</v>
      </c>
      <c r="Q666" t="s">
        <v>74</v>
      </c>
      <c r="R666" t="s">
        <v>74</v>
      </c>
      <c r="S666" t="s">
        <v>74</v>
      </c>
      <c r="T666" t="s">
        <v>12965</v>
      </c>
      <c r="U666" t="s">
        <v>12966</v>
      </c>
      <c r="V666" t="s">
        <v>12967</v>
      </c>
      <c r="W666" t="s">
        <v>12968</v>
      </c>
      <c r="X666" t="s">
        <v>12969</v>
      </c>
      <c r="Y666" t="s">
        <v>12970</v>
      </c>
      <c r="Z666" t="s">
        <v>12971</v>
      </c>
      <c r="AA666" t="s">
        <v>12972</v>
      </c>
      <c r="AB666" t="s">
        <v>12973</v>
      </c>
      <c r="AC666" t="s">
        <v>12974</v>
      </c>
      <c r="AD666" t="s">
        <v>12975</v>
      </c>
      <c r="AE666" t="s">
        <v>12976</v>
      </c>
      <c r="AF666" t="s">
        <v>74</v>
      </c>
      <c r="AG666">
        <v>63</v>
      </c>
      <c r="AH666">
        <v>68</v>
      </c>
      <c r="AI666">
        <v>74</v>
      </c>
      <c r="AJ666">
        <v>0</v>
      </c>
      <c r="AK666">
        <v>68</v>
      </c>
      <c r="AL666" t="s">
        <v>91</v>
      </c>
      <c r="AM666" t="s">
        <v>92</v>
      </c>
      <c r="AN666" t="s">
        <v>93</v>
      </c>
      <c r="AO666" t="s">
        <v>12977</v>
      </c>
      <c r="AP666" t="s">
        <v>12978</v>
      </c>
      <c r="AQ666" t="s">
        <v>74</v>
      </c>
      <c r="AR666" t="s">
        <v>12964</v>
      </c>
      <c r="AS666" t="s">
        <v>1047</v>
      </c>
      <c r="AT666" t="s">
        <v>12379</v>
      </c>
      <c r="AU666">
        <v>2015</v>
      </c>
      <c r="AV666">
        <v>96</v>
      </c>
      <c r="AW666">
        <v>2</v>
      </c>
      <c r="AX666" t="s">
        <v>74</v>
      </c>
      <c r="AY666" t="s">
        <v>74</v>
      </c>
      <c r="AZ666" t="s">
        <v>74</v>
      </c>
      <c r="BA666" t="s">
        <v>74</v>
      </c>
      <c r="BB666">
        <v>417</v>
      </c>
      <c r="BC666">
        <v>427</v>
      </c>
      <c r="BD666" t="s">
        <v>74</v>
      </c>
      <c r="BE666" t="s">
        <v>12979</v>
      </c>
      <c r="BF666" t="str">
        <f>HYPERLINK("http://dx.doi.org/10.1890/14-0469.1","http://dx.doi.org/10.1890/14-0469.1")</f>
        <v>http://dx.doi.org/10.1890/14-0469.1</v>
      </c>
      <c r="BG666" t="s">
        <v>74</v>
      </c>
      <c r="BH666" t="s">
        <v>74</v>
      </c>
      <c r="BI666">
        <v>11</v>
      </c>
      <c r="BJ666" t="s">
        <v>1047</v>
      </c>
      <c r="BK666" t="s">
        <v>100</v>
      </c>
      <c r="BL666" t="s">
        <v>1048</v>
      </c>
      <c r="BM666" t="s">
        <v>12980</v>
      </c>
      <c r="BN666">
        <v>26240863</v>
      </c>
      <c r="BO666" t="s">
        <v>4666</v>
      </c>
      <c r="BP666" t="s">
        <v>74</v>
      </c>
      <c r="BQ666" t="s">
        <v>74</v>
      </c>
      <c r="BR666" t="s">
        <v>104</v>
      </c>
      <c r="BS666" t="s">
        <v>12981</v>
      </c>
      <c r="BT666" t="str">
        <f>HYPERLINK("https%3A%2F%2Fwww.webofscience.com%2Fwos%2Fwoscc%2Ffull-record%2FWOS:000350484600013","View Full Record in Web of Science")</f>
        <v>View Full Record in Web of Science</v>
      </c>
    </row>
    <row r="667" spans="1:72" x14ac:dyDescent="0.15">
      <c r="A667" t="s">
        <v>72</v>
      </c>
      <c r="B667" t="s">
        <v>12982</v>
      </c>
      <c r="C667" t="s">
        <v>74</v>
      </c>
      <c r="D667" t="s">
        <v>74</v>
      </c>
      <c r="E667" t="s">
        <v>74</v>
      </c>
      <c r="F667" t="s">
        <v>12983</v>
      </c>
      <c r="G667" t="s">
        <v>74</v>
      </c>
      <c r="H667" t="s">
        <v>74</v>
      </c>
      <c r="I667" t="s">
        <v>12984</v>
      </c>
      <c r="J667" t="s">
        <v>12985</v>
      </c>
      <c r="K667" t="s">
        <v>74</v>
      </c>
      <c r="L667" t="s">
        <v>74</v>
      </c>
      <c r="M667" t="s">
        <v>78</v>
      </c>
      <c r="N667" t="s">
        <v>79</v>
      </c>
      <c r="O667" t="s">
        <v>74</v>
      </c>
      <c r="P667" t="s">
        <v>74</v>
      </c>
      <c r="Q667" t="s">
        <v>74</v>
      </c>
      <c r="R667" t="s">
        <v>74</v>
      </c>
      <c r="S667" t="s">
        <v>74</v>
      </c>
      <c r="T667" t="s">
        <v>12986</v>
      </c>
      <c r="U667" t="s">
        <v>12987</v>
      </c>
      <c r="V667" t="s">
        <v>12988</v>
      </c>
      <c r="W667" t="s">
        <v>12989</v>
      </c>
      <c r="X667" t="s">
        <v>1638</v>
      </c>
      <c r="Y667" t="s">
        <v>12990</v>
      </c>
      <c r="Z667" t="s">
        <v>4386</v>
      </c>
      <c r="AA667" t="s">
        <v>74</v>
      </c>
      <c r="AB667" t="s">
        <v>74</v>
      </c>
      <c r="AC667" t="s">
        <v>12991</v>
      </c>
      <c r="AD667" t="s">
        <v>12992</v>
      </c>
      <c r="AE667" t="s">
        <v>12993</v>
      </c>
      <c r="AF667" t="s">
        <v>74</v>
      </c>
      <c r="AG667">
        <v>47</v>
      </c>
      <c r="AH667">
        <v>26</v>
      </c>
      <c r="AI667">
        <v>28</v>
      </c>
      <c r="AJ667">
        <v>0</v>
      </c>
      <c r="AK667">
        <v>42</v>
      </c>
      <c r="AL667" t="s">
        <v>12528</v>
      </c>
      <c r="AM667" t="s">
        <v>12529</v>
      </c>
      <c r="AN667" t="s">
        <v>12530</v>
      </c>
      <c r="AO667" t="s">
        <v>12994</v>
      </c>
      <c r="AP667" t="s">
        <v>12995</v>
      </c>
      <c r="AQ667" t="s">
        <v>74</v>
      </c>
      <c r="AR667" t="s">
        <v>12996</v>
      </c>
      <c r="AS667" t="s">
        <v>12997</v>
      </c>
      <c r="AT667" t="s">
        <v>12379</v>
      </c>
      <c r="AU667">
        <v>2015</v>
      </c>
      <c r="AV667">
        <v>23</v>
      </c>
      <c r="AW667" t="s">
        <v>74</v>
      </c>
      <c r="AX667" t="s">
        <v>74</v>
      </c>
      <c r="AY667" t="s">
        <v>74</v>
      </c>
      <c r="AZ667" t="s">
        <v>74</v>
      </c>
      <c r="BA667" t="s">
        <v>74</v>
      </c>
      <c r="BB667">
        <v>1</v>
      </c>
      <c r="BC667">
        <v>8</v>
      </c>
      <c r="BD667" t="s">
        <v>74</v>
      </c>
      <c r="BE667" t="s">
        <v>12998</v>
      </c>
      <c r="BF667" t="str">
        <f>HYPERLINK("http://dx.doi.org/10.1016/j.jnc.2014.11.002","http://dx.doi.org/10.1016/j.jnc.2014.11.002")</f>
        <v>http://dx.doi.org/10.1016/j.jnc.2014.11.002</v>
      </c>
      <c r="BG667" t="s">
        <v>74</v>
      </c>
      <c r="BH667" t="s">
        <v>74</v>
      </c>
      <c r="BI667">
        <v>8</v>
      </c>
      <c r="BJ667" t="s">
        <v>1311</v>
      </c>
      <c r="BK667" t="s">
        <v>100</v>
      </c>
      <c r="BL667" t="s">
        <v>154</v>
      </c>
      <c r="BM667" t="s">
        <v>12999</v>
      </c>
      <c r="BN667" t="s">
        <v>74</v>
      </c>
      <c r="BO667" t="s">
        <v>74</v>
      </c>
      <c r="BP667" t="s">
        <v>74</v>
      </c>
      <c r="BQ667" t="s">
        <v>74</v>
      </c>
      <c r="BR667" t="s">
        <v>104</v>
      </c>
      <c r="BS667" t="s">
        <v>13000</v>
      </c>
      <c r="BT667" t="str">
        <f>HYPERLINK("https%3A%2F%2Fwww.webofscience.com%2Fwos%2Fwoscc%2Ffull-record%2FWOS:000349758900001","View Full Record in Web of Science")</f>
        <v>View Full Record in Web of Science</v>
      </c>
    </row>
    <row r="668" spans="1:72" x14ac:dyDescent="0.15">
      <c r="A668" t="s">
        <v>72</v>
      </c>
      <c r="B668" t="s">
        <v>13001</v>
      </c>
      <c r="C668" t="s">
        <v>74</v>
      </c>
      <c r="D668" t="s">
        <v>74</v>
      </c>
      <c r="E668" t="s">
        <v>74</v>
      </c>
      <c r="F668" t="s">
        <v>13002</v>
      </c>
      <c r="G668" t="s">
        <v>74</v>
      </c>
      <c r="H668" t="s">
        <v>74</v>
      </c>
      <c r="I668" t="s">
        <v>13003</v>
      </c>
      <c r="J668" t="s">
        <v>1570</v>
      </c>
      <c r="K668" t="s">
        <v>74</v>
      </c>
      <c r="L668" t="s">
        <v>74</v>
      </c>
      <c r="M668" t="s">
        <v>78</v>
      </c>
      <c r="N668" t="s">
        <v>1291</v>
      </c>
      <c r="O668" t="s">
        <v>74</v>
      </c>
      <c r="P668" t="s">
        <v>74</v>
      </c>
      <c r="Q668" t="s">
        <v>74</v>
      </c>
      <c r="R668" t="s">
        <v>74</v>
      </c>
      <c r="S668" t="s">
        <v>74</v>
      </c>
      <c r="T668" t="s">
        <v>74</v>
      </c>
      <c r="U668" t="s">
        <v>13004</v>
      </c>
      <c r="V668" t="s">
        <v>13005</v>
      </c>
      <c r="W668" t="s">
        <v>13006</v>
      </c>
      <c r="X668" t="s">
        <v>13007</v>
      </c>
      <c r="Y668" t="s">
        <v>13008</v>
      </c>
      <c r="Z668" t="s">
        <v>74</v>
      </c>
      <c r="AA668" t="s">
        <v>74</v>
      </c>
      <c r="AB668" t="s">
        <v>13009</v>
      </c>
      <c r="AC668" t="s">
        <v>13010</v>
      </c>
      <c r="AD668" t="s">
        <v>13010</v>
      </c>
      <c r="AE668" t="s">
        <v>13011</v>
      </c>
      <c r="AF668" t="s">
        <v>74</v>
      </c>
      <c r="AG668">
        <v>77</v>
      </c>
      <c r="AH668">
        <v>20</v>
      </c>
      <c r="AI668">
        <v>26</v>
      </c>
      <c r="AJ668">
        <v>0</v>
      </c>
      <c r="AK668">
        <v>24</v>
      </c>
      <c r="AL668" t="s">
        <v>786</v>
      </c>
      <c r="AM668" t="s">
        <v>787</v>
      </c>
      <c r="AN668" t="s">
        <v>788</v>
      </c>
      <c r="AO668" t="s">
        <v>1582</v>
      </c>
      <c r="AP668" t="s">
        <v>74</v>
      </c>
      <c r="AQ668" t="s">
        <v>74</v>
      </c>
      <c r="AR668" t="s">
        <v>1583</v>
      </c>
      <c r="AS668" t="s">
        <v>1584</v>
      </c>
      <c r="AT668" t="s">
        <v>12379</v>
      </c>
      <c r="AU668">
        <v>2015</v>
      </c>
      <c r="AV668">
        <v>131</v>
      </c>
      <c r="AW668" t="s">
        <v>74</v>
      </c>
      <c r="AX668" t="s">
        <v>74</v>
      </c>
      <c r="AY668" t="s">
        <v>74</v>
      </c>
      <c r="AZ668" t="s">
        <v>74</v>
      </c>
      <c r="BA668" t="s">
        <v>74</v>
      </c>
      <c r="BB668">
        <v>159</v>
      </c>
      <c r="BC668">
        <v>176</v>
      </c>
      <c r="BD668" t="s">
        <v>74</v>
      </c>
      <c r="BE668" t="s">
        <v>13012</v>
      </c>
      <c r="BF668" t="str">
        <f>HYPERLINK("http://dx.doi.org/10.1016/j.pocean.2014.12.014","http://dx.doi.org/10.1016/j.pocean.2014.12.014")</f>
        <v>http://dx.doi.org/10.1016/j.pocean.2014.12.014</v>
      </c>
      <c r="BG668" t="s">
        <v>74</v>
      </c>
      <c r="BH668" t="s">
        <v>74</v>
      </c>
      <c r="BI668">
        <v>18</v>
      </c>
      <c r="BJ668" t="s">
        <v>1540</v>
      </c>
      <c r="BK668" t="s">
        <v>100</v>
      </c>
      <c r="BL668" t="s">
        <v>1540</v>
      </c>
      <c r="BM668" t="s">
        <v>13013</v>
      </c>
      <c r="BN668" t="s">
        <v>74</v>
      </c>
      <c r="BO668" t="s">
        <v>74</v>
      </c>
      <c r="BP668" t="s">
        <v>74</v>
      </c>
      <c r="BQ668" t="s">
        <v>74</v>
      </c>
      <c r="BR668" t="s">
        <v>104</v>
      </c>
      <c r="BS668" t="s">
        <v>13014</v>
      </c>
      <c r="BT668" t="str">
        <f>HYPERLINK("https%3A%2F%2Fwww.webofscience.com%2Fwos%2Fwoscc%2Ffull-record%2FWOS:000350540400012","View Full Record in Web of Science")</f>
        <v>View Full Record in Web of Science</v>
      </c>
    </row>
    <row r="669" spans="1:72" x14ac:dyDescent="0.15">
      <c r="A669" t="s">
        <v>72</v>
      </c>
      <c r="B669" t="s">
        <v>13015</v>
      </c>
      <c r="C669" t="s">
        <v>74</v>
      </c>
      <c r="D669" t="s">
        <v>74</v>
      </c>
      <c r="E669" t="s">
        <v>74</v>
      </c>
      <c r="F669" t="s">
        <v>13016</v>
      </c>
      <c r="G669" t="s">
        <v>74</v>
      </c>
      <c r="H669" t="s">
        <v>74</v>
      </c>
      <c r="I669" t="s">
        <v>13017</v>
      </c>
      <c r="J669" t="s">
        <v>2180</v>
      </c>
      <c r="K669" t="s">
        <v>74</v>
      </c>
      <c r="L669" t="s">
        <v>74</v>
      </c>
      <c r="M669" t="s">
        <v>78</v>
      </c>
      <c r="N669" t="s">
        <v>79</v>
      </c>
      <c r="O669" t="s">
        <v>74</v>
      </c>
      <c r="P669" t="s">
        <v>74</v>
      </c>
      <c r="Q669" t="s">
        <v>74</v>
      </c>
      <c r="R669" t="s">
        <v>74</v>
      </c>
      <c r="S669" t="s">
        <v>74</v>
      </c>
      <c r="T669" t="s">
        <v>74</v>
      </c>
      <c r="U669" t="s">
        <v>13018</v>
      </c>
      <c r="V669" t="s">
        <v>13019</v>
      </c>
      <c r="W669" t="s">
        <v>13020</v>
      </c>
      <c r="X669" t="s">
        <v>13021</v>
      </c>
      <c r="Y669" t="s">
        <v>13022</v>
      </c>
      <c r="Z669" t="s">
        <v>13023</v>
      </c>
      <c r="AA669" t="s">
        <v>13024</v>
      </c>
      <c r="AB669" t="s">
        <v>13025</v>
      </c>
      <c r="AC669" t="s">
        <v>74</v>
      </c>
      <c r="AD669" t="s">
        <v>74</v>
      </c>
      <c r="AE669" t="s">
        <v>74</v>
      </c>
      <c r="AF669" t="s">
        <v>74</v>
      </c>
      <c r="AG669">
        <v>70</v>
      </c>
      <c r="AH669">
        <v>40</v>
      </c>
      <c r="AI669">
        <v>41</v>
      </c>
      <c r="AJ669">
        <v>0</v>
      </c>
      <c r="AK669">
        <v>35</v>
      </c>
      <c r="AL669" t="s">
        <v>2192</v>
      </c>
      <c r="AM669" t="s">
        <v>2193</v>
      </c>
      <c r="AN669" t="s">
        <v>2194</v>
      </c>
      <c r="AO669" t="s">
        <v>2195</v>
      </c>
      <c r="AP669" t="s">
        <v>2196</v>
      </c>
      <c r="AQ669" t="s">
        <v>74</v>
      </c>
      <c r="AR669" t="s">
        <v>2197</v>
      </c>
      <c r="AS669" t="s">
        <v>2198</v>
      </c>
      <c r="AT669" t="s">
        <v>12379</v>
      </c>
      <c r="AU669">
        <v>2015</v>
      </c>
      <c r="AV669">
        <v>28</v>
      </c>
      <c r="AW669">
        <v>4</v>
      </c>
      <c r="AX669" t="s">
        <v>74</v>
      </c>
      <c r="AY669" t="s">
        <v>74</v>
      </c>
      <c r="AZ669" t="s">
        <v>74</v>
      </c>
      <c r="BA669" t="s">
        <v>74</v>
      </c>
      <c r="BB669">
        <v>1543</v>
      </c>
      <c r="BC669">
        <v>1560</v>
      </c>
      <c r="BD669" t="s">
        <v>74</v>
      </c>
      <c r="BE669" t="s">
        <v>13026</v>
      </c>
      <c r="BF669" t="str">
        <f>HYPERLINK("http://dx.doi.org/10.1175/JCLI-D-14-00367.1","http://dx.doi.org/10.1175/JCLI-D-14-00367.1")</f>
        <v>http://dx.doi.org/10.1175/JCLI-D-14-00367.1</v>
      </c>
      <c r="BG669" t="s">
        <v>74</v>
      </c>
      <c r="BH669" t="s">
        <v>74</v>
      </c>
      <c r="BI669">
        <v>18</v>
      </c>
      <c r="BJ669" t="s">
        <v>406</v>
      </c>
      <c r="BK669" t="s">
        <v>100</v>
      </c>
      <c r="BL669" t="s">
        <v>406</v>
      </c>
      <c r="BM669" t="s">
        <v>13027</v>
      </c>
      <c r="BN669" t="s">
        <v>74</v>
      </c>
      <c r="BO669" t="s">
        <v>2481</v>
      </c>
      <c r="BP669" t="s">
        <v>74</v>
      </c>
      <c r="BQ669" t="s">
        <v>74</v>
      </c>
      <c r="BR669" t="s">
        <v>104</v>
      </c>
      <c r="BS669" t="s">
        <v>13028</v>
      </c>
      <c r="BT669" t="str">
        <f>HYPERLINK("https%3A%2F%2Fwww.webofscience.com%2Fwos%2Fwoscc%2Ffull-record%2FWOS:000349670000012","View Full Record in Web of Science")</f>
        <v>View Full Record in Web of Science</v>
      </c>
    </row>
    <row r="670" spans="1:72" x14ac:dyDescent="0.15">
      <c r="A670" t="s">
        <v>72</v>
      </c>
      <c r="B670" t="s">
        <v>13029</v>
      </c>
      <c r="C670" t="s">
        <v>74</v>
      </c>
      <c r="D670" t="s">
        <v>74</v>
      </c>
      <c r="E670" t="s">
        <v>74</v>
      </c>
      <c r="F670" t="s">
        <v>13030</v>
      </c>
      <c r="G670" t="s">
        <v>74</v>
      </c>
      <c r="H670" t="s">
        <v>74</v>
      </c>
      <c r="I670" t="s">
        <v>13031</v>
      </c>
      <c r="J670" t="s">
        <v>3998</v>
      </c>
      <c r="K670" t="s">
        <v>74</v>
      </c>
      <c r="L670" t="s">
        <v>74</v>
      </c>
      <c r="M670" t="s">
        <v>78</v>
      </c>
      <c r="N670" t="s">
        <v>79</v>
      </c>
      <c r="O670" t="s">
        <v>74</v>
      </c>
      <c r="P670" t="s">
        <v>74</v>
      </c>
      <c r="Q670" t="s">
        <v>74</v>
      </c>
      <c r="R670" t="s">
        <v>74</v>
      </c>
      <c r="S670" t="s">
        <v>74</v>
      </c>
      <c r="T670" t="s">
        <v>13032</v>
      </c>
      <c r="U670" t="s">
        <v>13033</v>
      </c>
      <c r="V670" t="s">
        <v>13034</v>
      </c>
      <c r="W670" t="s">
        <v>13035</v>
      </c>
      <c r="X670" t="s">
        <v>13036</v>
      </c>
      <c r="Y670" t="s">
        <v>13037</v>
      </c>
      <c r="Z670" t="s">
        <v>13038</v>
      </c>
      <c r="AA670" t="s">
        <v>13039</v>
      </c>
      <c r="AB670" t="s">
        <v>13040</v>
      </c>
      <c r="AC670" t="s">
        <v>13041</v>
      </c>
      <c r="AD670" t="s">
        <v>13042</v>
      </c>
      <c r="AE670" t="s">
        <v>13043</v>
      </c>
      <c r="AF670" t="s">
        <v>74</v>
      </c>
      <c r="AG670">
        <v>57</v>
      </c>
      <c r="AH670">
        <v>16</v>
      </c>
      <c r="AI670">
        <v>19</v>
      </c>
      <c r="AJ670">
        <v>3</v>
      </c>
      <c r="AK670">
        <v>75</v>
      </c>
      <c r="AL670" t="s">
        <v>815</v>
      </c>
      <c r="AM670" t="s">
        <v>816</v>
      </c>
      <c r="AN670" t="s">
        <v>817</v>
      </c>
      <c r="AO670" t="s">
        <v>4009</v>
      </c>
      <c r="AP670" t="s">
        <v>4010</v>
      </c>
      <c r="AQ670" t="s">
        <v>74</v>
      </c>
      <c r="AR670" t="s">
        <v>4011</v>
      </c>
      <c r="AS670" t="s">
        <v>4012</v>
      </c>
      <c r="AT670" t="s">
        <v>12379</v>
      </c>
      <c r="AU670">
        <v>2015</v>
      </c>
      <c r="AV670">
        <v>110</v>
      </c>
      <c r="AW670" t="s">
        <v>74</v>
      </c>
      <c r="AX670" t="s">
        <v>74</v>
      </c>
      <c r="AY670" t="s">
        <v>74</v>
      </c>
      <c r="AZ670" t="s">
        <v>74</v>
      </c>
      <c r="BA670" t="s">
        <v>74</v>
      </c>
      <c r="BB670">
        <v>120</v>
      </c>
      <c r="BC670">
        <v>128</v>
      </c>
      <c r="BD670" t="s">
        <v>74</v>
      </c>
      <c r="BE670" t="s">
        <v>13044</v>
      </c>
      <c r="BF670" t="str">
        <f>HYPERLINK("http://dx.doi.org/10.1016/j.coldregions.2014.12.001","http://dx.doi.org/10.1016/j.coldregions.2014.12.001")</f>
        <v>http://dx.doi.org/10.1016/j.coldregions.2014.12.001</v>
      </c>
      <c r="BG670" t="s">
        <v>74</v>
      </c>
      <c r="BH670" t="s">
        <v>74</v>
      </c>
      <c r="BI670">
        <v>9</v>
      </c>
      <c r="BJ670" t="s">
        <v>4014</v>
      </c>
      <c r="BK670" t="s">
        <v>100</v>
      </c>
      <c r="BL670" t="s">
        <v>4015</v>
      </c>
      <c r="BM670" t="s">
        <v>13045</v>
      </c>
      <c r="BN670" t="s">
        <v>74</v>
      </c>
      <c r="BO670" t="s">
        <v>74</v>
      </c>
      <c r="BP670" t="s">
        <v>74</v>
      </c>
      <c r="BQ670" t="s">
        <v>74</v>
      </c>
      <c r="BR670" t="s">
        <v>104</v>
      </c>
      <c r="BS670" t="s">
        <v>13046</v>
      </c>
      <c r="BT670" t="str">
        <f>HYPERLINK("https%3A%2F%2Fwww.webofscience.com%2Fwos%2Fwoscc%2Ffull-record%2FWOS:000349727200012","View Full Record in Web of Science")</f>
        <v>View Full Record in Web of Science</v>
      </c>
    </row>
    <row r="671" spans="1:72" x14ac:dyDescent="0.15">
      <c r="A671" t="s">
        <v>72</v>
      </c>
      <c r="B671" t="s">
        <v>13047</v>
      </c>
      <c r="C671" t="s">
        <v>74</v>
      </c>
      <c r="D671" t="s">
        <v>74</v>
      </c>
      <c r="E671" t="s">
        <v>74</v>
      </c>
      <c r="F671" t="s">
        <v>13048</v>
      </c>
      <c r="G671" t="s">
        <v>74</v>
      </c>
      <c r="H671" t="s">
        <v>74</v>
      </c>
      <c r="I671" t="s">
        <v>13049</v>
      </c>
      <c r="J671" t="s">
        <v>2452</v>
      </c>
      <c r="K671" t="s">
        <v>74</v>
      </c>
      <c r="L671" t="s">
        <v>74</v>
      </c>
      <c r="M671" t="s">
        <v>78</v>
      </c>
      <c r="N671" t="s">
        <v>79</v>
      </c>
      <c r="O671" t="s">
        <v>74</v>
      </c>
      <c r="P671" t="s">
        <v>74</v>
      </c>
      <c r="Q671" t="s">
        <v>74</v>
      </c>
      <c r="R671" t="s">
        <v>74</v>
      </c>
      <c r="S671" t="s">
        <v>74</v>
      </c>
      <c r="T671" t="s">
        <v>13050</v>
      </c>
      <c r="U671" t="s">
        <v>13051</v>
      </c>
      <c r="V671" t="s">
        <v>13052</v>
      </c>
      <c r="W671" t="s">
        <v>13053</v>
      </c>
      <c r="X671" t="s">
        <v>13054</v>
      </c>
      <c r="Y671" t="s">
        <v>13055</v>
      </c>
      <c r="Z671" t="s">
        <v>13056</v>
      </c>
      <c r="AA671" t="s">
        <v>74</v>
      </c>
      <c r="AB671" t="s">
        <v>13057</v>
      </c>
      <c r="AC671" t="s">
        <v>13058</v>
      </c>
      <c r="AD671" t="s">
        <v>13059</v>
      </c>
      <c r="AE671" t="s">
        <v>13060</v>
      </c>
      <c r="AF671" t="s">
        <v>74</v>
      </c>
      <c r="AG671">
        <v>53</v>
      </c>
      <c r="AH671">
        <v>10</v>
      </c>
      <c r="AI671">
        <v>11</v>
      </c>
      <c r="AJ671">
        <v>0</v>
      </c>
      <c r="AK671">
        <v>11</v>
      </c>
      <c r="AL671" t="s">
        <v>1039</v>
      </c>
      <c r="AM671" t="s">
        <v>816</v>
      </c>
      <c r="AN671" t="s">
        <v>1040</v>
      </c>
      <c r="AO671" t="s">
        <v>2462</v>
      </c>
      <c r="AP671" t="s">
        <v>2463</v>
      </c>
      <c r="AQ671" t="s">
        <v>74</v>
      </c>
      <c r="AR671" t="s">
        <v>2464</v>
      </c>
      <c r="AS671" t="s">
        <v>2465</v>
      </c>
      <c r="AT671" t="s">
        <v>12379</v>
      </c>
      <c r="AU671">
        <v>2015</v>
      </c>
      <c r="AV671">
        <v>125</v>
      </c>
      <c r="AW671" t="s">
        <v>74</v>
      </c>
      <c r="AX671" t="s">
        <v>74</v>
      </c>
      <c r="AY671" t="s">
        <v>74</v>
      </c>
      <c r="AZ671" t="s">
        <v>74</v>
      </c>
      <c r="BA671" t="s">
        <v>74</v>
      </c>
      <c r="BB671">
        <v>1</v>
      </c>
      <c r="BC671">
        <v>12</v>
      </c>
      <c r="BD671" t="s">
        <v>74</v>
      </c>
      <c r="BE671" t="s">
        <v>13061</v>
      </c>
      <c r="BF671" t="str">
        <f>HYPERLINK("http://dx.doi.org/10.1016/j.gloplacha.2014.12.001","http://dx.doi.org/10.1016/j.gloplacha.2014.12.001")</f>
        <v>http://dx.doi.org/10.1016/j.gloplacha.2014.12.001</v>
      </c>
      <c r="BG671" t="s">
        <v>74</v>
      </c>
      <c r="BH671" t="s">
        <v>74</v>
      </c>
      <c r="BI671">
        <v>12</v>
      </c>
      <c r="BJ671" t="s">
        <v>795</v>
      </c>
      <c r="BK671" t="s">
        <v>100</v>
      </c>
      <c r="BL671" t="s">
        <v>796</v>
      </c>
      <c r="BM671" t="s">
        <v>13062</v>
      </c>
      <c r="BN671" t="s">
        <v>74</v>
      </c>
      <c r="BO671" t="s">
        <v>5240</v>
      </c>
      <c r="BP671" t="s">
        <v>74</v>
      </c>
      <c r="BQ671" t="s">
        <v>74</v>
      </c>
      <c r="BR671" t="s">
        <v>104</v>
      </c>
      <c r="BS671" t="s">
        <v>13063</v>
      </c>
      <c r="BT671" t="str">
        <f>HYPERLINK("https%3A%2F%2Fwww.webofscience.com%2Fwos%2Fwoscc%2Ffull-record%2FWOS:000349580900002","View Full Record in Web of Science")</f>
        <v>View Full Record in Web of Science</v>
      </c>
    </row>
    <row r="672" spans="1:72" x14ac:dyDescent="0.15">
      <c r="A672" t="s">
        <v>72</v>
      </c>
      <c r="B672" t="s">
        <v>13064</v>
      </c>
      <c r="C672" t="s">
        <v>74</v>
      </c>
      <c r="D672" t="s">
        <v>74</v>
      </c>
      <c r="E672" t="s">
        <v>74</v>
      </c>
      <c r="F672" t="s">
        <v>13065</v>
      </c>
      <c r="G672" t="s">
        <v>74</v>
      </c>
      <c r="H672" t="s">
        <v>74</v>
      </c>
      <c r="I672" t="s">
        <v>13066</v>
      </c>
      <c r="J672" t="s">
        <v>3567</v>
      </c>
      <c r="K672" t="s">
        <v>74</v>
      </c>
      <c r="L672" t="s">
        <v>74</v>
      </c>
      <c r="M672" t="s">
        <v>78</v>
      </c>
      <c r="N672" t="s">
        <v>79</v>
      </c>
      <c r="O672" t="s">
        <v>74</v>
      </c>
      <c r="P672" t="s">
        <v>74</v>
      </c>
      <c r="Q672" t="s">
        <v>74</v>
      </c>
      <c r="R672" t="s">
        <v>74</v>
      </c>
      <c r="S672" t="s">
        <v>74</v>
      </c>
      <c r="T672" t="s">
        <v>13067</v>
      </c>
      <c r="U672" t="s">
        <v>13068</v>
      </c>
      <c r="V672" t="s">
        <v>13069</v>
      </c>
      <c r="W672" t="s">
        <v>13070</v>
      </c>
      <c r="X672" t="s">
        <v>13071</v>
      </c>
      <c r="Y672" t="s">
        <v>13072</v>
      </c>
      <c r="Z672" t="s">
        <v>74</v>
      </c>
      <c r="AA672" t="s">
        <v>13073</v>
      </c>
      <c r="AB672" t="s">
        <v>13074</v>
      </c>
      <c r="AC672" t="s">
        <v>13075</v>
      </c>
      <c r="AD672" t="s">
        <v>13076</v>
      </c>
      <c r="AE672" t="s">
        <v>13077</v>
      </c>
      <c r="AF672" t="s">
        <v>74</v>
      </c>
      <c r="AG672">
        <v>83</v>
      </c>
      <c r="AH672">
        <v>28</v>
      </c>
      <c r="AI672">
        <v>32</v>
      </c>
      <c r="AJ672">
        <v>0</v>
      </c>
      <c r="AK672">
        <v>35</v>
      </c>
      <c r="AL672" t="s">
        <v>1158</v>
      </c>
      <c r="AM672" t="s">
        <v>787</v>
      </c>
      <c r="AN672" t="s">
        <v>1159</v>
      </c>
      <c r="AO672" t="s">
        <v>3580</v>
      </c>
      <c r="AP672" t="s">
        <v>3581</v>
      </c>
      <c r="AQ672" t="s">
        <v>74</v>
      </c>
      <c r="AR672" t="s">
        <v>3582</v>
      </c>
      <c r="AS672" t="s">
        <v>3583</v>
      </c>
      <c r="AT672" t="s">
        <v>12379</v>
      </c>
      <c r="AU672">
        <v>2015</v>
      </c>
      <c r="AV672">
        <v>86</v>
      </c>
      <c r="AW672" t="s">
        <v>74</v>
      </c>
      <c r="AX672" t="s">
        <v>74</v>
      </c>
      <c r="AY672" t="s">
        <v>74</v>
      </c>
      <c r="AZ672" t="s">
        <v>74</v>
      </c>
      <c r="BA672" t="s">
        <v>74</v>
      </c>
      <c r="BB672">
        <v>58</v>
      </c>
      <c r="BC672">
        <v>75</v>
      </c>
      <c r="BD672" t="s">
        <v>74</v>
      </c>
      <c r="BE672" t="s">
        <v>13078</v>
      </c>
      <c r="BF672" t="str">
        <f>HYPERLINK("http://dx.doi.org/10.1016/j.ocemod.2014.11.008","http://dx.doi.org/10.1016/j.ocemod.2014.11.008")</f>
        <v>http://dx.doi.org/10.1016/j.ocemod.2014.11.008</v>
      </c>
      <c r="BG672" t="s">
        <v>74</v>
      </c>
      <c r="BH672" t="s">
        <v>74</v>
      </c>
      <c r="BI672">
        <v>18</v>
      </c>
      <c r="BJ672" t="s">
        <v>3585</v>
      </c>
      <c r="BK672" t="s">
        <v>100</v>
      </c>
      <c r="BL672" t="s">
        <v>3585</v>
      </c>
      <c r="BM672" t="s">
        <v>13079</v>
      </c>
      <c r="BN672" t="s">
        <v>74</v>
      </c>
      <c r="BO672" t="s">
        <v>74</v>
      </c>
      <c r="BP672" t="s">
        <v>74</v>
      </c>
      <c r="BQ672" t="s">
        <v>74</v>
      </c>
      <c r="BR672" t="s">
        <v>104</v>
      </c>
      <c r="BS672" t="s">
        <v>13080</v>
      </c>
      <c r="BT672" t="str">
        <f>HYPERLINK("https%3A%2F%2Fwww.webofscience.com%2Fwos%2Fwoscc%2Ffull-record%2FWOS:000349695700004","View Full Record in Web of Science")</f>
        <v>View Full Record in Web of Science</v>
      </c>
    </row>
    <row r="673" spans="1:72" x14ac:dyDescent="0.15">
      <c r="A673" t="s">
        <v>72</v>
      </c>
      <c r="B673" t="s">
        <v>13081</v>
      </c>
      <c r="C673" t="s">
        <v>74</v>
      </c>
      <c r="D673" t="s">
        <v>74</v>
      </c>
      <c r="E673" t="s">
        <v>74</v>
      </c>
      <c r="F673" t="s">
        <v>13082</v>
      </c>
      <c r="G673" t="s">
        <v>74</v>
      </c>
      <c r="H673" t="s">
        <v>74</v>
      </c>
      <c r="I673" t="s">
        <v>13083</v>
      </c>
      <c r="J673" t="s">
        <v>6458</v>
      </c>
      <c r="K673" t="s">
        <v>74</v>
      </c>
      <c r="L673" t="s">
        <v>74</v>
      </c>
      <c r="M673" t="s">
        <v>78</v>
      </c>
      <c r="N673" t="s">
        <v>79</v>
      </c>
      <c r="O673" t="s">
        <v>74</v>
      </c>
      <c r="P673" t="s">
        <v>74</v>
      </c>
      <c r="Q673" t="s">
        <v>74</v>
      </c>
      <c r="R673" t="s">
        <v>74</v>
      </c>
      <c r="S673" t="s">
        <v>74</v>
      </c>
      <c r="T673" t="s">
        <v>13084</v>
      </c>
      <c r="U673" t="s">
        <v>13085</v>
      </c>
      <c r="V673" t="s">
        <v>13086</v>
      </c>
      <c r="W673" t="s">
        <v>13087</v>
      </c>
      <c r="X673" t="s">
        <v>13088</v>
      </c>
      <c r="Y673" t="s">
        <v>13089</v>
      </c>
      <c r="Z673" t="s">
        <v>13090</v>
      </c>
      <c r="AA673" t="s">
        <v>13091</v>
      </c>
      <c r="AB673" t="s">
        <v>13092</v>
      </c>
      <c r="AC673" t="s">
        <v>13093</v>
      </c>
      <c r="AD673" t="s">
        <v>13094</v>
      </c>
      <c r="AE673" t="s">
        <v>13095</v>
      </c>
      <c r="AF673" t="s">
        <v>74</v>
      </c>
      <c r="AG673">
        <v>48</v>
      </c>
      <c r="AH673">
        <v>11</v>
      </c>
      <c r="AI673">
        <v>12</v>
      </c>
      <c r="AJ673">
        <v>1</v>
      </c>
      <c r="AK673">
        <v>53</v>
      </c>
      <c r="AL673" t="s">
        <v>120</v>
      </c>
      <c r="AM673" t="s">
        <v>121</v>
      </c>
      <c r="AN673" t="s">
        <v>1304</v>
      </c>
      <c r="AO673" t="s">
        <v>6471</v>
      </c>
      <c r="AP673" t="s">
        <v>6472</v>
      </c>
      <c r="AQ673" t="s">
        <v>74</v>
      </c>
      <c r="AR673" t="s">
        <v>6473</v>
      </c>
      <c r="AS673" t="s">
        <v>6474</v>
      </c>
      <c r="AT673" t="s">
        <v>12379</v>
      </c>
      <c r="AU673">
        <v>2015</v>
      </c>
      <c r="AV673">
        <v>175</v>
      </c>
      <c r="AW673">
        <v>3</v>
      </c>
      <c r="AX673" t="s">
        <v>74</v>
      </c>
      <c r="AY673" t="s">
        <v>74</v>
      </c>
      <c r="AZ673" t="s">
        <v>74</v>
      </c>
      <c r="BA673" t="s">
        <v>74</v>
      </c>
      <c r="BB673">
        <v>1664</v>
      </c>
      <c r="BC673">
        <v>1677</v>
      </c>
      <c r="BD673" t="s">
        <v>74</v>
      </c>
      <c r="BE673" t="s">
        <v>13096</v>
      </c>
      <c r="BF673" t="str">
        <f>HYPERLINK("http://dx.doi.org/10.1007/s12010-014-1403-3","http://dx.doi.org/10.1007/s12010-014-1403-3")</f>
        <v>http://dx.doi.org/10.1007/s12010-014-1403-3</v>
      </c>
      <c r="BG673" t="s">
        <v>74</v>
      </c>
      <c r="BH673" t="s">
        <v>74</v>
      </c>
      <c r="BI673">
        <v>14</v>
      </c>
      <c r="BJ673" t="s">
        <v>6476</v>
      </c>
      <c r="BK673" t="s">
        <v>100</v>
      </c>
      <c r="BL673" t="s">
        <v>6476</v>
      </c>
      <c r="BM673" t="s">
        <v>13097</v>
      </c>
      <c r="BN673">
        <v>25416479</v>
      </c>
      <c r="BO673" t="s">
        <v>74</v>
      </c>
      <c r="BP673" t="s">
        <v>74</v>
      </c>
      <c r="BQ673" t="s">
        <v>74</v>
      </c>
      <c r="BR673" t="s">
        <v>104</v>
      </c>
      <c r="BS673" t="s">
        <v>13098</v>
      </c>
      <c r="BT673" t="str">
        <f>HYPERLINK("https%3A%2F%2Fwww.webofscience.com%2Fwos%2Fwoscc%2Ffull-record%2FWOS:000349398800033","View Full Record in Web of Science")</f>
        <v>View Full Record in Web of Science</v>
      </c>
    </row>
    <row r="674" spans="1:72" x14ac:dyDescent="0.15">
      <c r="A674" t="s">
        <v>72</v>
      </c>
      <c r="B674" t="s">
        <v>13099</v>
      </c>
      <c r="C674" t="s">
        <v>74</v>
      </c>
      <c r="D674" t="s">
        <v>74</v>
      </c>
      <c r="E674" t="s">
        <v>74</v>
      </c>
      <c r="F674" t="s">
        <v>13100</v>
      </c>
      <c r="G674" t="s">
        <v>74</v>
      </c>
      <c r="H674" t="s">
        <v>74</v>
      </c>
      <c r="I674" t="s">
        <v>13101</v>
      </c>
      <c r="J674" t="s">
        <v>13102</v>
      </c>
      <c r="K674" t="s">
        <v>74</v>
      </c>
      <c r="L674" t="s">
        <v>74</v>
      </c>
      <c r="M674" t="s">
        <v>78</v>
      </c>
      <c r="N674" t="s">
        <v>79</v>
      </c>
      <c r="O674" t="s">
        <v>74</v>
      </c>
      <c r="P674" t="s">
        <v>74</v>
      </c>
      <c r="Q674" t="s">
        <v>74</v>
      </c>
      <c r="R674" t="s">
        <v>74</v>
      </c>
      <c r="S674" t="s">
        <v>74</v>
      </c>
      <c r="T674" t="s">
        <v>74</v>
      </c>
      <c r="U674" t="s">
        <v>13103</v>
      </c>
      <c r="V674" t="s">
        <v>13104</v>
      </c>
      <c r="W674" t="s">
        <v>13105</v>
      </c>
      <c r="X674" t="s">
        <v>13106</v>
      </c>
      <c r="Y674" t="s">
        <v>13107</v>
      </c>
      <c r="Z674" t="s">
        <v>13108</v>
      </c>
      <c r="AA674" t="s">
        <v>74</v>
      </c>
      <c r="AB674" t="s">
        <v>74</v>
      </c>
      <c r="AC674" t="s">
        <v>74</v>
      </c>
      <c r="AD674" t="s">
        <v>74</v>
      </c>
      <c r="AE674" t="s">
        <v>74</v>
      </c>
      <c r="AF674" t="s">
        <v>74</v>
      </c>
      <c r="AG674">
        <v>24</v>
      </c>
      <c r="AH674">
        <v>0</v>
      </c>
      <c r="AI674">
        <v>0</v>
      </c>
      <c r="AJ674">
        <v>0</v>
      </c>
      <c r="AK674">
        <v>4</v>
      </c>
      <c r="AL674" t="s">
        <v>13109</v>
      </c>
      <c r="AM674" t="s">
        <v>267</v>
      </c>
      <c r="AN674" t="s">
        <v>13110</v>
      </c>
      <c r="AO674" t="s">
        <v>13111</v>
      </c>
      <c r="AP674" t="s">
        <v>13112</v>
      </c>
      <c r="AQ674" t="s">
        <v>74</v>
      </c>
      <c r="AR674" t="s">
        <v>13113</v>
      </c>
      <c r="AS674" t="s">
        <v>13114</v>
      </c>
      <c r="AT674" t="s">
        <v>13115</v>
      </c>
      <c r="AU674">
        <v>2015</v>
      </c>
      <c r="AV674">
        <v>54</v>
      </c>
      <c r="AW674">
        <v>4</v>
      </c>
      <c r="AX674" t="s">
        <v>74</v>
      </c>
      <c r="AY674" t="s">
        <v>74</v>
      </c>
      <c r="AZ674" t="s">
        <v>74</v>
      </c>
      <c r="BA674" t="s">
        <v>74</v>
      </c>
      <c r="BB674" t="s">
        <v>13116</v>
      </c>
      <c r="BC674" t="s">
        <v>13117</v>
      </c>
      <c r="BD674" t="s">
        <v>74</v>
      </c>
      <c r="BE674" t="s">
        <v>13118</v>
      </c>
      <c r="BF674" t="str">
        <f>HYPERLINK("http://dx.doi.org/10.1364/AO.54.000B54","http://dx.doi.org/10.1364/AO.54.000B54")</f>
        <v>http://dx.doi.org/10.1364/AO.54.000B54</v>
      </c>
      <c r="BG674" t="s">
        <v>74</v>
      </c>
      <c r="BH674" t="s">
        <v>74</v>
      </c>
      <c r="BI674">
        <v>10</v>
      </c>
      <c r="BJ674" t="s">
        <v>13119</v>
      </c>
      <c r="BK674" t="s">
        <v>100</v>
      </c>
      <c r="BL674" t="s">
        <v>13119</v>
      </c>
      <c r="BM674" t="s">
        <v>13120</v>
      </c>
      <c r="BN674">
        <v>25967839</v>
      </c>
      <c r="BO674" t="s">
        <v>74</v>
      </c>
      <c r="BP674" t="s">
        <v>74</v>
      </c>
      <c r="BQ674" t="s">
        <v>74</v>
      </c>
      <c r="BR674" t="s">
        <v>104</v>
      </c>
      <c r="BS674" t="s">
        <v>13121</v>
      </c>
      <c r="BT674" t="str">
        <f>HYPERLINK("https%3A%2F%2Fwww.webofscience.com%2Fwos%2Fwoscc%2Ffull-record%2FWOS:000349161300009","View Full Record in Web of Science")</f>
        <v>View Full Record in Web of Science</v>
      </c>
    </row>
    <row r="675" spans="1:72" x14ac:dyDescent="0.15">
      <c r="A675" t="s">
        <v>72</v>
      </c>
      <c r="B675" t="s">
        <v>13122</v>
      </c>
      <c r="C675" t="s">
        <v>74</v>
      </c>
      <c r="D675" t="s">
        <v>74</v>
      </c>
      <c r="E675" t="s">
        <v>74</v>
      </c>
      <c r="F675" t="s">
        <v>13123</v>
      </c>
      <c r="G675" t="s">
        <v>74</v>
      </c>
      <c r="H675" t="s">
        <v>74</v>
      </c>
      <c r="I675" t="s">
        <v>13124</v>
      </c>
      <c r="J675" t="s">
        <v>8178</v>
      </c>
      <c r="K675" t="s">
        <v>74</v>
      </c>
      <c r="L675" t="s">
        <v>74</v>
      </c>
      <c r="M675" t="s">
        <v>78</v>
      </c>
      <c r="N675" t="s">
        <v>79</v>
      </c>
      <c r="O675" t="s">
        <v>74</v>
      </c>
      <c r="P675" t="s">
        <v>74</v>
      </c>
      <c r="Q675" t="s">
        <v>74</v>
      </c>
      <c r="R675" t="s">
        <v>74</v>
      </c>
      <c r="S675" t="s">
        <v>74</v>
      </c>
      <c r="T675" t="s">
        <v>13125</v>
      </c>
      <c r="U675" t="s">
        <v>13126</v>
      </c>
      <c r="V675" t="s">
        <v>13127</v>
      </c>
      <c r="W675" t="s">
        <v>13128</v>
      </c>
      <c r="X675" t="s">
        <v>4090</v>
      </c>
      <c r="Y675" t="s">
        <v>4091</v>
      </c>
      <c r="Z675" t="s">
        <v>4092</v>
      </c>
      <c r="AA675" t="s">
        <v>4093</v>
      </c>
      <c r="AB675" t="s">
        <v>4094</v>
      </c>
      <c r="AC675" t="s">
        <v>1638</v>
      </c>
      <c r="AD675" t="s">
        <v>1638</v>
      </c>
      <c r="AE675" t="s">
        <v>13129</v>
      </c>
      <c r="AF675" t="s">
        <v>74</v>
      </c>
      <c r="AG675">
        <v>33</v>
      </c>
      <c r="AH675">
        <v>27</v>
      </c>
      <c r="AI675">
        <v>27</v>
      </c>
      <c r="AJ675">
        <v>2</v>
      </c>
      <c r="AK675">
        <v>28</v>
      </c>
      <c r="AL675" t="s">
        <v>91</v>
      </c>
      <c r="AM675" t="s">
        <v>92</v>
      </c>
      <c r="AN675" t="s">
        <v>93</v>
      </c>
      <c r="AO675" t="s">
        <v>8190</v>
      </c>
      <c r="AP675" t="s">
        <v>8191</v>
      </c>
      <c r="AQ675" t="s">
        <v>74</v>
      </c>
      <c r="AR675" t="s">
        <v>8192</v>
      </c>
      <c r="AS675" t="s">
        <v>8193</v>
      </c>
      <c r="AT675" t="s">
        <v>12379</v>
      </c>
      <c r="AU675">
        <v>2015</v>
      </c>
      <c r="AV675">
        <v>35</v>
      </c>
      <c r="AW675">
        <v>2</v>
      </c>
      <c r="AX675" t="s">
        <v>74</v>
      </c>
      <c r="AY675" t="s">
        <v>74</v>
      </c>
      <c r="AZ675" t="s">
        <v>74</v>
      </c>
      <c r="BA675" t="s">
        <v>74</v>
      </c>
      <c r="BB675">
        <v>172</v>
      </c>
      <c r="BC675">
        <v>188</v>
      </c>
      <c r="BD675" t="s">
        <v>74</v>
      </c>
      <c r="BE675" t="s">
        <v>13130</v>
      </c>
      <c r="BF675" t="str">
        <f>HYPERLINK("http://dx.doi.org/10.1002/joc.3970","http://dx.doi.org/10.1002/joc.3970")</f>
        <v>http://dx.doi.org/10.1002/joc.3970</v>
      </c>
      <c r="BG675" t="s">
        <v>74</v>
      </c>
      <c r="BH675" t="s">
        <v>74</v>
      </c>
      <c r="BI675">
        <v>17</v>
      </c>
      <c r="BJ675" t="s">
        <v>406</v>
      </c>
      <c r="BK675" t="s">
        <v>100</v>
      </c>
      <c r="BL675" t="s">
        <v>406</v>
      </c>
      <c r="BM675" t="s">
        <v>13131</v>
      </c>
      <c r="BN675" t="s">
        <v>74</v>
      </c>
      <c r="BO675" t="s">
        <v>74</v>
      </c>
      <c r="BP675" t="s">
        <v>74</v>
      </c>
      <c r="BQ675" t="s">
        <v>74</v>
      </c>
      <c r="BR675" t="s">
        <v>104</v>
      </c>
      <c r="BS675" t="s">
        <v>13132</v>
      </c>
      <c r="BT675" t="str">
        <f>HYPERLINK("https%3A%2F%2Fwww.webofscience.com%2Fwos%2Fwoscc%2Ffull-record%2FWOS:000349663600002","View Full Record in Web of Science")</f>
        <v>View Full Record in Web of Science</v>
      </c>
    </row>
    <row r="676" spans="1:72" x14ac:dyDescent="0.15">
      <c r="A676" t="s">
        <v>72</v>
      </c>
      <c r="B676" t="s">
        <v>13133</v>
      </c>
      <c r="C676" t="s">
        <v>74</v>
      </c>
      <c r="D676" t="s">
        <v>74</v>
      </c>
      <c r="E676" t="s">
        <v>74</v>
      </c>
      <c r="F676" t="s">
        <v>13134</v>
      </c>
      <c r="G676" t="s">
        <v>74</v>
      </c>
      <c r="H676" t="s">
        <v>74</v>
      </c>
      <c r="I676" t="s">
        <v>13135</v>
      </c>
      <c r="J676" t="s">
        <v>13136</v>
      </c>
      <c r="K676" t="s">
        <v>74</v>
      </c>
      <c r="L676" t="s">
        <v>74</v>
      </c>
      <c r="M676" t="s">
        <v>78</v>
      </c>
      <c r="N676" t="s">
        <v>79</v>
      </c>
      <c r="O676" t="s">
        <v>74</v>
      </c>
      <c r="P676" t="s">
        <v>74</v>
      </c>
      <c r="Q676" t="s">
        <v>74</v>
      </c>
      <c r="R676" t="s">
        <v>74</v>
      </c>
      <c r="S676" t="s">
        <v>74</v>
      </c>
      <c r="T676" t="s">
        <v>13137</v>
      </c>
      <c r="U676" t="s">
        <v>13138</v>
      </c>
      <c r="V676" t="s">
        <v>13139</v>
      </c>
      <c r="W676" t="s">
        <v>13140</v>
      </c>
      <c r="X676" t="s">
        <v>13141</v>
      </c>
      <c r="Y676" t="s">
        <v>13142</v>
      </c>
      <c r="Z676" t="s">
        <v>13143</v>
      </c>
      <c r="AA676" t="s">
        <v>13144</v>
      </c>
      <c r="AB676" t="s">
        <v>13145</v>
      </c>
      <c r="AC676" t="s">
        <v>13146</v>
      </c>
      <c r="AD676" t="s">
        <v>13147</v>
      </c>
      <c r="AE676" t="s">
        <v>13148</v>
      </c>
      <c r="AF676" t="s">
        <v>74</v>
      </c>
      <c r="AG676">
        <v>35</v>
      </c>
      <c r="AH676">
        <v>14</v>
      </c>
      <c r="AI676">
        <v>15</v>
      </c>
      <c r="AJ676">
        <v>0</v>
      </c>
      <c r="AK676">
        <v>37</v>
      </c>
      <c r="AL676" t="s">
        <v>91</v>
      </c>
      <c r="AM676" t="s">
        <v>92</v>
      </c>
      <c r="AN676" t="s">
        <v>93</v>
      </c>
      <c r="AO676" t="s">
        <v>13149</v>
      </c>
      <c r="AP676" t="s">
        <v>13150</v>
      </c>
      <c r="AQ676" t="s">
        <v>74</v>
      </c>
      <c r="AR676" t="s">
        <v>13151</v>
      </c>
      <c r="AS676" t="s">
        <v>13152</v>
      </c>
      <c r="AT676" t="s">
        <v>12379</v>
      </c>
      <c r="AU676">
        <v>2015</v>
      </c>
      <c r="AV676">
        <v>52</v>
      </c>
      <c r="AW676">
        <v>1</v>
      </c>
      <c r="AX676" t="s">
        <v>74</v>
      </c>
      <c r="AY676" t="s">
        <v>74</v>
      </c>
      <c r="AZ676" t="s">
        <v>74</v>
      </c>
      <c r="BA676" t="s">
        <v>74</v>
      </c>
      <c r="BB676">
        <v>129</v>
      </c>
      <c r="BC676">
        <v>139</v>
      </c>
      <c r="BD676" t="s">
        <v>74</v>
      </c>
      <c r="BE676" t="s">
        <v>13153</v>
      </c>
      <c r="BF676" t="str">
        <f>HYPERLINK("http://dx.doi.org/10.1111/1365-2664.12353","http://dx.doi.org/10.1111/1365-2664.12353")</f>
        <v>http://dx.doi.org/10.1111/1365-2664.12353</v>
      </c>
      <c r="BG676" t="s">
        <v>74</v>
      </c>
      <c r="BH676" t="s">
        <v>74</v>
      </c>
      <c r="BI676">
        <v>11</v>
      </c>
      <c r="BJ676" t="s">
        <v>1311</v>
      </c>
      <c r="BK676" t="s">
        <v>100</v>
      </c>
      <c r="BL676" t="s">
        <v>154</v>
      </c>
      <c r="BM676" t="s">
        <v>13154</v>
      </c>
      <c r="BN676" t="s">
        <v>74</v>
      </c>
      <c r="BO676" t="s">
        <v>156</v>
      </c>
      <c r="BP676" t="s">
        <v>74</v>
      </c>
      <c r="BQ676" t="s">
        <v>74</v>
      </c>
      <c r="BR676" t="s">
        <v>104</v>
      </c>
      <c r="BS676" t="s">
        <v>13155</v>
      </c>
      <c r="BT676" t="str">
        <f>HYPERLINK("https%3A%2F%2Fwww.webofscience.com%2Fwos%2Fwoscc%2Ffull-record%2FWOS:000348740800015","View Full Record in Web of Science")</f>
        <v>View Full Record in Web of Science</v>
      </c>
    </row>
    <row r="677" spans="1:72" x14ac:dyDescent="0.15">
      <c r="A677" t="s">
        <v>72</v>
      </c>
      <c r="B677" t="s">
        <v>13156</v>
      </c>
      <c r="C677" t="s">
        <v>74</v>
      </c>
      <c r="D677" t="s">
        <v>74</v>
      </c>
      <c r="E677" t="s">
        <v>74</v>
      </c>
      <c r="F677" t="s">
        <v>13157</v>
      </c>
      <c r="G677" t="s">
        <v>74</v>
      </c>
      <c r="H677" t="s">
        <v>74</v>
      </c>
      <c r="I677" t="s">
        <v>13158</v>
      </c>
      <c r="J677" t="s">
        <v>13159</v>
      </c>
      <c r="K677" t="s">
        <v>74</v>
      </c>
      <c r="L677" t="s">
        <v>74</v>
      </c>
      <c r="M677" t="s">
        <v>78</v>
      </c>
      <c r="N677" t="s">
        <v>79</v>
      </c>
      <c r="O677" t="s">
        <v>74</v>
      </c>
      <c r="P677" t="s">
        <v>74</v>
      </c>
      <c r="Q677" t="s">
        <v>74</v>
      </c>
      <c r="R677" t="s">
        <v>74</v>
      </c>
      <c r="S677" t="s">
        <v>74</v>
      </c>
      <c r="T677" t="s">
        <v>13160</v>
      </c>
      <c r="U677" t="s">
        <v>13161</v>
      </c>
      <c r="V677" t="s">
        <v>13162</v>
      </c>
      <c r="W677" t="s">
        <v>13163</v>
      </c>
      <c r="X677" t="s">
        <v>13164</v>
      </c>
      <c r="Y677" t="s">
        <v>13165</v>
      </c>
      <c r="Z677" t="s">
        <v>13166</v>
      </c>
      <c r="AA677" t="s">
        <v>13167</v>
      </c>
      <c r="AB677" t="s">
        <v>74</v>
      </c>
      <c r="AC677" t="s">
        <v>13168</v>
      </c>
      <c r="AD677" t="s">
        <v>13168</v>
      </c>
      <c r="AE677" t="s">
        <v>13169</v>
      </c>
      <c r="AF677" t="s">
        <v>74</v>
      </c>
      <c r="AG677">
        <v>34</v>
      </c>
      <c r="AH677">
        <v>2</v>
      </c>
      <c r="AI677">
        <v>2</v>
      </c>
      <c r="AJ677">
        <v>0</v>
      </c>
      <c r="AK677">
        <v>18</v>
      </c>
      <c r="AL677" t="s">
        <v>13170</v>
      </c>
      <c r="AM677" t="s">
        <v>2168</v>
      </c>
      <c r="AN677" t="s">
        <v>13171</v>
      </c>
      <c r="AO677" t="s">
        <v>13172</v>
      </c>
      <c r="AP677" t="s">
        <v>13173</v>
      </c>
      <c r="AQ677" t="s">
        <v>74</v>
      </c>
      <c r="AR677" t="s">
        <v>13174</v>
      </c>
      <c r="AS677" t="s">
        <v>13175</v>
      </c>
      <c r="AT677" t="s">
        <v>12379</v>
      </c>
      <c r="AU677">
        <v>2015</v>
      </c>
      <c r="AV677">
        <v>218</v>
      </c>
      <c r="AW677">
        <v>3</v>
      </c>
      <c r="AX677" t="s">
        <v>74</v>
      </c>
      <c r="AY677" t="s">
        <v>74</v>
      </c>
      <c r="AZ677" t="s">
        <v>74</v>
      </c>
      <c r="BA677" t="s">
        <v>74</v>
      </c>
      <c r="BB677">
        <v>363</v>
      </c>
      <c r="BC677">
        <v>369</v>
      </c>
      <c r="BD677" t="s">
        <v>74</v>
      </c>
      <c r="BE677" t="s">
        <v>13176</v>
      </c>
      <c r="BF677" t="str">
        <f>HYPERLINK("http://dx.doi.org/10.1242/jeb.110684","http://dx.doi.org/10.1242/jeb.110684")</f>
        <v>http://dx.doi.org/10.1242/jeb.110684</v>
      </c>
      <c r="BG677" t="s">
        <v>74</v>
      </c>
      <c r="BH677" t="s">
        <v>74</v>
      </c>
      <c r="BI677">
        <v>7</v>
      </c>
      <c r="BJ677" t="s">
        <v>13177</v>
      </c>
      <c r="BK677" t="s">
        <v>100</v>
      </c>
      <c r="BL677" t="s">
        <v>13178</v>
      </c>
      <c r="BM677" t="s">
        <v>13179</v>
      </c>
      <c r="BN677">
        <v>25524982</v>
      </c>
      <c r="BO677" t="s">
        <v>156</v>
      </c>
      <c r="BP677" t="s">
        <v>74</v>
      </c>
      <c r="BQ677" t="s">
        <v>74</v>
      </c>
      <c r="BR677" t="s">
        <v>104</v>
      </c>
      <c r="BS677" t="s">
        <v>13180</v>
      </c>
      <c r="BT677" t="str">
        <f>HYPERLINK("https%3A%2F%2Fwww.webofscience.com%2Fwos%2Fwoscc%2Ffull-record%2FWOS:000349404300013","View Full Record in Web of Science")</f>
        <v>View Full Record in Web of Science</v>
      </c>
    </row>
    <row r="678" spans="1:72" x14ac:dyDescent="0.15">
      <c r="A678" t="s">
        <v>72</v>
      </c>
      <c r="B678" t="s">
        <v>13181</v>
      </c>
      <c r="C678" t="s">
        <v>74</v>
      </c>
      <c r="D678" t="s">
        <v>74</v>
      </c>
      <c r="E678" t="s">
        <v>74</v>
      </c>
      <c r="F678" t="s">
        <v>13182</v>
      </c>
      <c r="G678" t="s">
        <v>74</v>
      </c>
      <c r="H678" t="s">
        <v>74</v>
      </c>
      <c r="I678" t="s">
        <v>13183</v>
      </c>
      <c r="J678" t="s">
        <v>2358</v>
      </c>
      <c r="K678" t="s">
        <v>74</v>
      </c>
      <c r="L678" t="s">
        <v>74</v>
      </c>
      <c r="M678" t="s">
        <v>78</v>
      </c>
      <c r="N678" t="s">
        <v>79</v>
      </c>
      <c r="O678" t="s">
        <v>74</v>
      </c>
      <c r="P678" t="s">
        <v>74</v>
      </c>
      <c r="Q678" t="s">
        <v>74</v>
      </c>
      <c r="R678" t="s">
        <v>74</v>
      </c>
      <c r="S678" t="s">
        <v>74</v>
      </c>
      <c r="T678" t="s">
        <v>74</v>
      </c>
      <c r="U678" t="s">
        <v>13184</v>
      </c>
      <c r="V678" t="s">
        <v>13185</v>
      </c>
      <c r="W678" t="s">
        <v>13186</v>
      </c>
      <c r="X678" t="s">
        <v>13187</v>
      </c>
      <c r="Y678" t="s">
        <v>13188</v>
      </c>
      <c r="Z678" t="s">
        <v>13189</v>
      </c>
      <c r="AA678" t="s">
        <v>74</v>
      </c>
      <c r="AB678" t="s">
        <v>74</v>
      </c>
      <c r="AC678" t="s">
        <v>13190</v>
      </c>
      <c r="AD678" t="s">
        <v>13191</v>
      </c>
      <c r="AE678" t="s">
        <v>13192</v>
      </c>
      <c r="AF678" t="s">
        <v>74</v>
      </c>
      <c r="AG678">
        <v>28</v>
      </c>
      <c r="AH678">
        <v>16</v>
      </c>
      <c r="AI678">
        <v>20</v>
      </c>
      <c r="AJ678">
        <v>0</v>
      </c>
      <c r="AK678">
        <v>7</v>
      </c>
      <c r="AL678" t="s">
        <v>2192</v>
      </c>
      <c r="AM678" t="s">
        <v>2193</v>
      </c>
      <c r="AN678" t="s">
        <v>2194</v>
      </c>
      <c r="AO678" t="s">
        <v>2370</v>
      </c>
      <c r="AP678" t="s">
        <v>2371</v>
      </c>
      <c r="AQ678" t="s">
        <v>74</v>
      </c>
      <c r="AR678" t="s">
        <v>2372</v>
      </c>
      <c r="AS678" t="s">
        <v>2373</v>
      </c>
      <c r="AT678" t="s">
        <v>12379</v>
      </c>
      <c r="AU678">
        <v>2015</v>
      </c>
      <c r="AV678">
        <v>45</v>
      </c>
      <c r="AW678">
        <v>2</v>
      </c>
      <c r="AX678" t="s">
        <v>74</v>
      </c>
      <c r="AY678" t="s">
        <v>74</v>
      </c>
      <c r="AZ678" t="s">
        <v>74</v>
      </c>
      <c r="BA678" t="s">
        <v>74</v>
      </c>
      <c r="BB678">
        <v>369</v>
      </c>
      <c r="BC678">
        <v>386</v>
      </c>
      <c r="BD678" t="s">
        <v>74</v>
      </c>
      <c r="BE678" t="s">
        <v>13193</v>
      </c>
      <c r="BF678" t="str">
        <f>HYPERLINK("http://dx.doi.org/10.1175/JPO-D-14-0076.1","http://dx.doi.org/10.1175/JPO-D-14-0076.1")</f>
        <v>http://dx.doi.org/10.1175/JPO-D-14-0076.1</v>
      </c>
      <c r="BG678" t="s">
        <v>74</v>
      </c>
      <c r="BH678" t="s">
        <v>74</v>
      </c>
      <c r="BI678">
        <v>18</v>
      </c>
      <c r="BJ678" t="s">
        <v>1540</v>
      </c>
      <c r="BK678" t="s">
        <v>100</v>
      </c>
      <c r="BL678" t="s">
        <v>1540</v>
      </c>
      <c r="BM678" t="s">
        <v>13194</v>
      </c>
      <c r="BN678" t="s">
        <v>74</v>
      </c>
      <c r="BO678" t="s">
        <v>2481</v>
      </c>
      <c r="BP678" t="s">
        <v>74</v>
      </c>
      <c r="BQ678" t="s">
        <v>74</v>
      </c>
      <c r="BR678" t="s">
        <v>104</v>
      </c>
      <c r="BS678" t="s">
        <v>13195</v>
      </c>
      <c r="BT678" t="str">
        <f>HYPERLINK("https%3A%2F%2Fwww.webofscience.com%2Fwos%2Fwoscc%2Ffull-record%2FWOS:000349546200004","View Full Record in Web of Science")</f>
        <v>View Full Record in Web of Science</v>
      </c>
    </row>
    <row r="679" spans="1:72" x14ac:dyDescent="0.15">
      <c r="A679" t="s">
        <v>72</v>
      </c>
      <c r="B679" t="s">
        <v>13196</v>
      </c>
      <c r="C679" t="s">
        <v>74</v>
      </c>
      <c r="D679" t="s">
        <v>74</v>
      </c>
      <c r="E679" t="s">
        <v>74</v>
      </c>
      <c r="F679" t="s">
        <v>13197</v>
      </c>
      <c r="G679" t="s">
        <v>74</v>
      </c>
      <c r="H679" t="s">
        <v>74</v>
      </c>
      <c r="I679" t="s">
        <v>13198</v>
      </c>
      <c r="J679" t="s">
        <v>2358</v>
      </c>
      <c r="K679" t="s">
        <v>74</v>
      </c>
      <c r="L679" t="s">
        <v>74</v>
      </c>
      <c r="M679" t="s">
        <v>78</v>
      </c>
      <c r="N679" t="s">
        <v>79</v>
      </c>
      <c r="O679" t="s">
        <v>74</v>
      </c>
      <c r="P679" t="s">
        <v>74</v>
      </c>
      <c r="Q679" t="s">
        <v>74</v>
      </c>
      <c r="R679" t="s">
        <v>74</v>
      </c>
      <c r="S679" t="s">
        <v>74</v>
      </c>
      <c r="T679" t="s">
        <v>74</v>
      </c>
      <c r="U679" t="s">
        <v>13199</v>
      </c>
      <c r="V679" t="s">
        <v>13200</v>
      </c>
      <c r="W679" t="s">
        <v>13201</v>
      </c>
      <c r="X679" t="s">
        <v>13202</v>
      </c>
      <c r="Y679" t="s">
        <v>13203</v>
      </c>
      <c r="Z679" t="s">
        <v>13204</v>
      </c>
      <c r="AA679" t="s">
        <v>13205</v>
      </c>
      <c r="AB679" t="s">
        <v>13206</v>
      </c>
      <c r="AC679" t="s">
        <v>13207</v>
      </c>
      <c r="AD679" t="s">
        <v>13208</v>
      </c>
      <c r="AE679" t="s">
        <v>13209</v>
      </c>
      <c r="AF679" t="s">
        <v>74</v>
      </c>
      <c r="AG679">
        <v>55</v>
      </c>
      <c r="AH679">
        <v>34</v>
      </c>
      <c r="AI679">
        <v>38</v>
      </c>
      <c r="AJ679">
        <v>0</v>
      </c>
      <c r="AK679">
        <v>10</v>
      </c>
      <c r="AL679" t="s">
        <v>2192</v>
      </c>
      <c r="AM679" t="s">
        <v>2193</v>
      </c>
      <c r="AN679" t="s">
        <v>2194</v>
      </c>
      <c r="AO679" t="s">
        <v>2370</v>
      </c>
      <c r="AP679" t="s">
        <v>2371</v>
      </c>
      <c r="AQ679" t="s">
        <v>74</v>
      </c>
      <c r="AR679" t="s">
        <v>2372</v>
      </c>
      <c r="AS679" t="s">
        <v>2373</v>
      </c>
      <c r="AT679" t="s">
        <v>12379</v>
      </c>
      <c r="AU679">
        <v>2015</v>
      </c>
      <c r="AV679">
        <v>45</v>
      </c>
      <c r="AW679">
        <v>2</v>
      </c>
      <c r="AX679" t="s">
        <v>74</v>
      </c>
      <c r="AY679" t="s">
        <v>74</v>
      </c>
      <c r="AZ679" t="s">
        <v>74</v>
      </c>
      <c r="BA679" t="s">
        <v>74</v>
      </c>
      <c r="BB679">
        <v>562</v>
      </c>
      <c r="BC679">
        <v>588</v>
      </c>
      <c r="BD679" t="s">
        <v>74</v>
      </c>
      <c r="BE679" t="s">
        <v>13210</v>
      </c>
      <c r="BF679" t="str">
        <f>HYPERLINK("http://dx.doi.org/10.1175/JPO-D-14-0096.1","http://dx.doi.org/10.1175/JPO-D-14-0096.1")</f>
        <v>http://dx.doi.org/10.1175/JPO-D-14-0096.1</v>
      </c>
      <c r="BG679" t="s">
        <v>74</v>
      </c>
      <c r="BH679" t="s">
        <v>74</v>
      </c>
      <c r="BI679">
        <v>27</v>
      </c>
      <c r="BJ679" t="s">
        <v>1540</v>
      </c>
      <c r="BK679" t="s">
        <v>100</v>
      </c>
      <c r="BL679" t="s">
        <v>1540</v>
      </c>
      <c r="BM679" t="s">
        <v>13194</v>
      </c>
      <c r="BN679" t="s">
        <v>74</v>
      </c>
      <c r="BO679" t="s">
        <v>2481</v>
      </c>
      <c r="BP679" t="s">
        <v>74</v>
      </c>
      <c r="BQ679" t="s">
        <v>74</v>
      </c>
      <c r="BR679" t="s">
        <v>104</v>
      </c>
      <c r="BS679" t="s">
        <v>13211</v>
      </c>
      <c r="BT679" t="str">
        <f>HYPERLINK("https%3A%2F%2Fwww.webofscience.com%2Fwos%2Fwoscc%2Ffull-record%2FWOS:000349546200015","View Full Record in Web of Science")</f>
        <v>View Full Record in Web of Science</v>
      </c>
    </row>
    <row r="680" spans="1:72" x14ac:dyDescent="0.15">
      <c r="A680" t="s">
        <v>72</v>
      </c>
      <c r="B680" t="s">
        <v>13212</v>
      </c>
      <c r="C680" t="s">
        <v>74</v>
      </c>
      <c r="D680" t="s">
        <v>74</v>
      </c>
      <c r="E680" t="s">
        <v>74</v>
      </c>
      <c r="F680" t="s">
        <v>13213</v>
      </c>
      <c r="G680" t="s">
        <v>74</v>
      </c>
      <c r="H680" t="s">
        <v>74</v>
      </c>
      <c r="I680" t="s">
        <v>13214</v>
      </c>
      <c r="J680" t="s">
        <v>13215</v>
      </c>
      <c r="K680" t="s">
        <v>74</v>
      </c>
      <c r="L680" t="s">
        <v>74</v>
      </c>
      <c r="M680" t="s">
        <v>78</v>
      </c>
      <c r="N680" t="s">
        <v>79</v>
      </c>
      <c r="O680" t="s">
        <v>74</v>
      </c>
      <c r="P680" t="s">
        <v>74</v>
      </c>
      <c r="Q680" t="s">
        <v>74</v>
      </c>
      <c r="R680" t="s">
        <v>74</v>
      </c>
      <c r="S680" t="s">
        <v>74</v>
      </c>
      <c r="T680" t="s">
        <v>13216</v>
      </c>
      <c r="U680" t="s">
        <v>13217</v>
      </c>
      <c r="V680" t="s">
        <v>13218</v>
      </c>
      <c r="W680" t="s">
        <v>13219</v>
      </c>
      <c r="X680" t="s">
        <v>13220</v>
      </c>
      <c r="Y680" t="s">
        <v>13221</v>
      </c>
      <c r="Z680" t="s">
        <v>13222</v>
      </c>
      <c r="AA680" t="s">
        <v>13223</v>
      </c>
      <c r="AB680" t="s">
        <v>13224</v>
      </c>
      <c r="AC680" t="s">
        <v>13225</v>
      </c>
      <c r="AD680" t="s">
        <v>13226</v>
      </c>
      <c r="AE680" t="s">
        <v>13227</v>
      </c>
      <c r="AF680" t="s">
        <v>74</v>
      </c>
      <c r="AG680">
        <v>47</v>
      </c>
      <c r="AH680">
        <v>7</v>
      </c>
      <c r="AI680">
        <v>8</v>
      </c>
      <c r="AJ680">
        <v>0</v>
      </c>
      <c r="AK680">
        <v>17</v>
      </c>
      <c r="AL680" t="s">
        <v>13228</v>
      </c>
      <c r="AM680" t="s">
        <v>423</v>
      </c>
      <c r="AN680" t="s">
        <v>13229</v>
      </c>
      <c r="AO680" t="s">
        <v>13230</v>
      </c>
      <c r="AP680" t="s">
        <v>13231</v>
      </c>
      <c r="AQ680" t="s">
        <v>74</v>
      </c>
      <c r="AR680" t="s">
        <v>13232</v>
      </c>
      <c r="AS680" t="s">
        <v>13233</v>
      </c>
      <c r="AT680" t="s">
        <v>12379</v>
      </c>
      <c r="AU680">
        <v>2015</v>
      </c>
      <c r="AV680">
        <v>58</v>
      </c>
      <c r="AW680">
        <v>1</v>
      </c>
      <c r="AX680" t="s">
        <v>74</v>
      </c>
      <c r="AY680" t="s">
        <v>74</v>
      </c>
      <c r="AZ680" t="s">
        <v>74</v>
      </c>
      <c r="BA680" t="s">
        <v>74</v>
      </c>
      <c r="BB680">
        <v>1</v>
      </c>
      <c r="BC680">
        <v>8</v>
      </c>
      <c r="BD680" t="s">
        <v>74</v>
      </c>
      <c r="BE680" t="s">
        <v>13234</v>
      </c>
      <c r="BF680" t="str">
        <f>HYPERLINK("http://dx.doi.org/10.1515/bot-2014-0085","http://dx.doi.org/10.1515/bot-2014-0085")</f>
        <v>http://dx.doi.org/10.1515/bot-2014-0085</v>
      </c>
      <c r="BG680" t="s">
        <v>74</v>
      </c>
      <c r="BH680" t="s">
        <v>74</v>
      </c>
      <c r="BI680">
        <v>8</v>
      </c>
      <c r="BJ680" t="s">
        <v>7657</v>
      </c>
      <c r="BK680" t="s">
        <v>100</v>
      </c>
      <c r="BL680" t="s">
        <v>7657</v>
      </c>
      <c r="BM680" t="s">
        <v>13235</v>
      </c>
      <c r="BN680" t="s">
        <v>74</v>
      </c>
      <c r="BO680" t="s">
        <v>156</v>
      </c>
      <c r="BP680" t="s">
        <v>74</v>
      </c>
      <c r="BQ680" t="s">
        <v>74</v>
      </c>
      <c r="BR680" t="s">
        <v>104</v>
      </c>
      <c r="BS680" t="s">
        <v>13236</v>
      </c>
      <c r="BT680" t="str">
        <f>HYPERLINK("https%3A%2F%2Fwww.webofscience.com%2Fwos%2Fwoscc%2Ffull-record%2FWOS:000349096300001","View Full Record in Web of Science")</f>
        <v>View Full Record in Web of Science</v>
      </c>
    </row>
    <row r="681" spans="1:72" x14ac:dyDescent="0.15">
      <c r="A681" t="s">
        <v>72</v>
      </c>
      <c r="B681" t="s">
        <v>13237</v>
      </c>
      <c r="C681" t="s">
        <v>74</v>
      </c>
      <c r="D681" t="s">
        <v>74</v>
      </c>
      <c r="E681" t="s">
        <v>74</v>
      </c>
      <c r="F681" t="s">
        <v>13238</v>
      </c>
      <c r="G681" t="s">
        <v>74</v>
      </c>
      <c r="H681" t="s">
        <v>74</v>
      </c>
      <c r="I681" t="s">
        <v>13239</v>
      </c>
      <c r="J681" t="s">
        <v>13240</v>
      </c>
      <c r="K681" t="s">
        <v>74</v>
      </c>
      <c r="L681" t="s">
        <v>74</v>
      </c>
      <c r="M681" t="s">
        <v>78</v>
      </c>
      <c r="N681" t="s">
        <v>79</v>
      </c>
      <c r="O681" t="s">
        <v>74</v>
      </c>
      <c r="P681" t="s">
        <v>74</v>
      </c>
      <c r="Q681" t="s">
        <v>74</v>
      </c>
      <c r="R681" t="s">
        <v>74</v>
      </c>
      <c r="S681" t="s">
        <v>74</v>
      </c>
      <c r="T681" t="s">
        <v>74</v>
      </c>
      <c r="U681" t="s">
        <v>13241</v>
      </c>
      <c r="V681" t="s">
        <v>13242</v>
      </c>
      <c r="W681" t="s">
        <v>13243</v>
      </c>
      <c r="X681" t="s">
        <v>13244</v>
      </c>
      <c r="Y681" t="s">
        <v>13245</v>
      </c>
      <c r="Z681" t="s">
        <v>13246</v>
      </c>
      <c r="AA681" t="s">
        <v>13247</v>
      </c>
      <c r="AB681" t="s">
        <v>13248</v>
      </c>
      <c r="AC681" t="s">
        <v>13249</v>
      </c>
      <c r="AD681" t="s">
        <v>13250</v>
      </c>
      <c r="AE681" t="s">
        <v>13251</v>
      </c>
      <c r="AF681" t="s">
        <v>74</v>
      </c>
      <c r="AG681">
        <v>77</v>
      </c>
      <c r="AH681">
        <v>27</v>
      </c>
      <c r="AI681">
        <v>28</v>
      </c>
      <c r="AJ681">
        <v>0</v>
      </c>
      <c r="AK681">
        <v>29</v>
      </c>
      <c r="AL681" t="s">
        <v>1391</v>
      </c>
      <c r="AM681" t="s">
        <v>1392</v>
      </c>
      <c r="AN681" t="s">
        <v>1393</v>
      </c>
      <c r="AO681" t="s">
        <v>13252</v>
      </c>
      <c r="AP681" t="s">
        <v>13253</v>
      </c>
      <c r="AQ681" t="s">
        <v>74</v>
      </c>
      <c r="AR681" t="s">
        <v>13254</v>
      </c>
      <c r="AS681" t="s">
        <v>13255</v>
      </c>
      <c r="AT681" t="s">
        <v>12379</v>
      </c>
      <c r="AU681">
        <v>2015</v>
      </c>
      <c r="AV681">
        <v>72</v>
      </c>
      <c r="AW681">
        <v>2</v>
      </c>
      <c r="AX681" t="s">
        <v>74</v>
      </c>
      <c r="AY681" t="s">
        <v>74</v>
      </c>
      <c r="AZ681" t="s">
        <v>74</v>
      </c>
      <c r="BA681" t="s">
        <v>74</v>
      </c>
      <c r="BB681">
        <v>252</v>
      </c>
      <c r="BC681">
        <v>261</v>
      </c>
      <c r="BD681" t="s">
        <v>74</v>
      </c>
      <c r="BE681" t="s">
        <v>13256</v>
      </c>
      <c r="BF681" t="str">
        <f>HYPERLINK("http://dx.doi.org/10.1139/cjfas-2014-0290","http://dx.doi.org/10.1139/cjfas-2014-0290")</f>
        <v>http://dx.doi.org/10.1139/cjfas-2014-0290</v>
      </c>
      <c r="BG681" t="s">
        <v>74</v>
      </c>
      <c r="BH681" t="s">
        <v>74</v>
      </c>
      <c r="BI681">
        <v>10</v>
      </c>
      <c r="BJ681" t="s">
        <v>2798</v>
      </c>
      <c r="BK681" t="s">
        <v>100</v>
      </c>
      <c r="BL681" t="s">
        <v>2798</v>
      </c>
      <c r="BM681" t="s">
        <v>13257</v>
      </c>
      <c r="BN681" t="s">
        <v>74</v>
      </c>
      <c r="BO681" t="s">
        <v>13258</v>
      </c>
      <c r="BP681" t="s">
        <v>74</v>
      </c>
      <c r="BQ681" t="s">
        <v>74</v>
      </c>
      <c r="BR681" t="s">
        <v>104</v>
      </c>
      <c r="BS681" t="s">
        <v>13259</v>
      </c>
      <c r="BT681" t="str">
        <f>HYPERLINK("https%3A%2F%2Fwww.webofscience.com%2Fwos%2Fwoscc%2Ffull-record%2FWOS:000348795800010","View Full Record in Web of Science")</f>
        <v>View Full Record in Web of Science</v>
      </c>
    </row>
    <row r="682" spans="1:72" x14ac:dyDescent="0.15">
      <c r="A682" t="s">
        <v>72</v>
      </c>
      <c r="B682" t="s">
        <v>13260</v>
      </c>
      <c r="C682" t="s">
        <v>74</v>
      </c>
      <c r="D682" t="s">
        <v>74</v>
      </c>
      <c r="E682" t="s">
        <v>74</v>
      </c>
      <c r="F682" t="s">
        <v>13261</v>
      </c>
      <c r="G682" t="s">
        <v>74</v>
      </c>
      <c r="H682" t="s">
        <v>74</v>
      </c>
      <c r="I682" t="s">
        <v>13262</v>
      </c>
      <c r="J682" t="s">
        <v>848</v>
      </c>
      <c r="K682" t="s">
        <v>74</v>
      </c>
      <c r="L682" t="s">
        <v>74</v>
      </c>
      <c r="M682" t="s">
        <v>78</v>
      </c>
      <c r="N682" t="s">
        <v>79</v>
      </c>
      <c r="O682" t="s">
        <v>74</v>
      </c>
      <c r="P682" t="s">
        <v>74</v>
      </c>
      <c r="Q682" t="s">
        <v>74</v>
      </c>
      <c r="R682" t="s">
        <v>74</v>
      </c>
      <c r="S682" t="s">
        <v>74</v>
      </c>
      <c r="T682" t="s">
        <v>13263</v>
      </c>
      <c r="U682" t="s">
        <v>13264</v>
      </c>
      <c r="V682" t="s">
        <v>13265</v>
      </c>
      <c r="W682" t="s">
        <v>13266</v>
      </c>
      <c r="X682" t="s">
        <v>13267</v>
      </c>
      <c r="Y682" t="s">
        <v>13268</v>
      </c>
      <c r="Z682" t="s">
        <v>13269</v>
      </c>
      <c r="AA682" t="s">
        <v>13270</v>
      </c>
      <c r="AB682" t="s">
        <v>13271</v>
      </c>
      <c r="AC682" t="s">
        <v>13272</v>
      </c>
      <c r="AD682" t="s">
        <v>13273</v>
      </c>
      <c r="AE682" t="s">
        <v>13274</v>
      </c>
      <c r="AF682" t="s">
        <v>74</v>
      </c>
      <c r="AG682">
        <v>29</v>
      </c>
      <c r="AH682">
        <v>19</v>
      </c>
      <c r="AI682">
        <v>23</v>
      </c>
      <c r="AJ682">
        <v>2</v>
      </c>
      <c r="AK682">
        <v>24</v>
      </c>
      <c r="AL682" t="s">
        <v>1039</v>
      </c>
      <c r="AM682" t="s">
        <v>816</v>
      </c>
      <c r="AN682" t="s">
        <v>1040</v>
      </c>
      <c r="AO682" t="s">
        <v>858</v>
      </c>
      <c r="AP682" t="s">
        <v>859</v>
      </c>
      <c r="AQ682" t="s">
        <v>74</v>
      </c>
      <c r="AR682" t="s">
        <v>860</v>
      </c>
      <c r="AS682" t="s">
        <v>861</v>
      </c>
      <c r="AT682" t="s">
        <v>13115</v>
      </c>
      <c r="AU682">
        <v>2015</v>
      </c>
      <c r="AV682">
        <v>411</v>
      </c>
      <c r="AW682" t="s">
        <v>74</v>
      </c>
      <c r="AX682" t="s">
        <v>74</v>
      </c>
      <c r="AY682" t="s">
        <v>74</v>
      </c>
      <c r="AZ682" t="s">
        <v>74</v>
      </c>
      <c r="BA682" t="s">
        <v>74</v>
      </c>
      <c r="BB682">
        <v>112</v>
      </c>
      <c r="BC682">
        <v>120</v>
      </c>
      <c r="BD682" t="s">
        <v>74</v>
      </c>
      <c r="BE682" t="s">
        <v>13275</v>
      </c>
      <c r="BF682" t="str">
        <f>HYPERLINK("http://dx.doi.org/10.1016/j.epsl.2014.11.025","http://dx.doi.org/10.1016/j.epsl.2014.11.025")</f>
        <v>http://dx.doi.org/10.1016/j.epsl.2014.11.025</v>
      </c>
      <c r="BG682" t="s">
        <v>74</v>
      </c>
      <c r="BH682" t="s">
        <v>74</v>
      </c>
      <c r="BI682">
        <v>9</v>
      </c>
      <c r="BJ682" t="s">
        <v>863</v>
      </c>
      <c r="BK682" t="s">
        <v>100</v>
      </c>
      <c r="BL682" t="s">
        <v>863</v>
      </c>
      <c r="BM682" t="s">
        <v>13276</v>
      </c>
      <c r="BN682" t="s">
        <v>74</v>
      </c>
      <c r="BO682" t="s">
        <v>1123</v>
      </c>
      <c r="BP682" t="s">
        <v>74</v>
      </c>
      <c r="BQ682" t="s">
        <v>74</v>
      </c>
      <c r="BR682" t="s">
        <v>104</v>
      </c>
      <c r="BS682" t="s">
        <v>13277</v>
      </c>
      <c r="BT682" t="str">
        <f>HYPERLINK("https%3A%2F%2Fwww.webofscience.com%2Fwos%2Fwoscc%2Ffull-record%2FWOS:000349197500012","View Full Record in Web of Science")</f>
        <v>View Full Record in Web of Science</v>
      </c>
    </row>
    <row r="683" spans="1:72" x14ac:dyDescent="0.15">
      <c r="A683" t="s">
        <v>72</v>
      </c>
      <c r="B683" t="s">
        <v>13278</v>
      </c>
      <c r="C683" t="s">
        <v>74</v>
      </c>
      <c r="D683" t="s">
        <v>74</v>
      </c>
      <c r="E683" t="s">
        <v>74</v>
      </c>
      <c r="F683" t="s">
        <v>13279</v>
      </c>
      <c r="G683" t="s">
        <v>74</v>
      </c>
      <c r="H683" t="s">
        <v>74</v>
      </c>
      <c r="I683" t="s">
        <v>13280</v>
      </c>
      <c r="J683" t="s">
        <v>13281</v>
      </c>
      <c r="K683" t="s">
        <v>74</v>
      </c>
      <c r="L683" t="s">
        <v>74</v>
      </c>
      <c r="M683" t="s">
        <v>78</v>
      </c>
      <c r="N683" t="s">
        <v>79</v>
      </c>
      <c r="O683" t="s">
        <v>74</v>
      </c>
      <c r="P683" t="s">
        <v>74</v>
      </c>
      <c r="Q683" t="s">
        <v>74</v>
      </c>
      <c r="R683" t="s">
        <v>74</v>
      </c>
      <c r="S683" t="s">
        <v>74</v>
      </c>
      <c r="T683" t="s">
        <v>13282</v>
      </c>
      <c r="U683" t="s">
        <v>13283</v>
      </c>
      <c r="V683" t="s">
        <v>13284</v>
      </c>
      <c r="W683" t="s">
        <v>13285</v>
      </c>
      <c r="X683" t="s">
        <v>13286</v>
      </c>
      <c r="Y683" t="s">
        <v>13287</v>
      </c>
      <c r="Z683" t="s">
        <v>13288</v>
      </c>
      <c r="AA683" t="s">
        <v>13289</v>
      </c>
      <c r="AB683" t="s">
        <v>13290</v>
      </c>
      <c r="AC683" t="s">
        <v>74</v>
      </c>
      <c r="AD683" t="s">
        <v>74</v>
      </c>
      <c r="AE683" t="s">
        <v>74</v>
      </c>
      <c r="AF683" t="s">
        <v>74</v>
      </c>
      <c r="AG683">
        <v>25</v>
      </c>
      <c r="AH683">
        <v>34</v>
      </c>
      <c r="AI683">
        <v>36</v>
      </c>
      <c r="AJ683">
        <v>2</v>
      </c>
      <c r="AK683">
        <v>36</v>
      </c>
      <c r="AL683" t="s">
        <v>120</v>
      </c>
      <c r="AM683" t="s">
        <v>2560</v>
      </c>
      <c r="AN683" t="s">
        <v>2561</v>
      </c>
      <c r="AO683" t="s">
        <v>13291</v>
      </c>
      <c r="AP683" t="s">
        <v>13292</v>
      </c>
      <c r="AQ683" t="s">
        <v>74</v>
      </c>
      <c r="AR683" t="s">
        <v>13293</v>
      </c>
      <c r="AS683" t="s">
        <v>13294</v>
      </c>
      <c r="AT683" t="s">
        <v>12379</v>
      </c>
      <c r="AU683">
        <v>2015</v>
      </c>
      <c r="AV683">
        <v>187</v>
      </c>
      <c r="AW683">
        <v>2</v>
      </c>
      <c r="AX683" t="s">
        <v>74</v>
      </c>
      <c r="AY683" t="s">
        <v>74</v>
      </c>
      <c r="AZ683" t="s">
        <v>74</v>
      </c>
      <c r="BA683" t="s">
        <v>74</v>
      </c>
      <c r="BB683" t="s">
        <v>74</v>
      </c>
      <c r="BC683" t="s">
        <v>74</v>
      </c>
      <c r="BD683">
        <v>51</v>
      </c>
      <c r="BE683" t="s">
        <v>13295</v>
      </c>
      <c r="BF683" t="str">
        <f>HYPERLINK("http://dx.doi.org/10.1007/s10661-015-4291-2","http://dx.doi.org/10.1007/s10661-015-4291-2")</f>
        <v>http://dx.doi.org/10.1007/s10661-015-4291-2</v>
      </c>
      <c r="BG683" t="s">
        <v>74</v>
      </c>
      <c r="BH683" t="s">
        <v>74</v>
      </c>
      <c r="BI683">
        <v>11</v>
      </c>
      <c r="BJ683" t="s">
        <v>2957</v>
      </c>
      <c r="BK683" t="s">
        <v>100</v>
      </c>
      <c r="BL683" t="s">
        <v>1048</v>
      </c>
      <c r="BM683" t="s">
        <v>13296</v>
      </c>
      <c r="BN683">
        <v>25638059</v>
      </c>
      <c r="BO683" t="s">
        <v>74</v>
      </c>
      <c r="BP683" t="s">
        <v>74</v>
      </c>
      <c r="BQ683" t="s">
        <v>74</v>
      </c>
      <c r="BR683" t="s">
        <v>104</v>
      </c>
      <c r="BS683" t="s">
        <v>13297</v>
      </c>
      <c r="BT683" t="str">
        <f>HYPERLINK("https%3A%2F%2Fwww.webofscience.com%2Fwos%2Fwoscc%2Ffull-record%2FWOS:000349012200051","View Full Record in Web of Science")</f>
        <v>View Full Record in Web of Science</v>
      </c>
    </row>
    <row r="684" spans="1:72" x14ac:dyDescent="0.15">
      <c r="A684" t="s">
        <v>72</v>
      </c>
      <c r="B684" t="s">
        <v>13298</v>
      </c>
      <c r="C684" t="s">
        <v>74</v>
      </c>
      <c r="D684" t="s">
        <v>74</v>
      </c>
      <c r="E684" t="s">
        <v>74</v>
      </c>
      <c r="F684" t="s">
        <v>13299</v>
      </c>
      <c r="G684" t="s">
        <v>74</v>
      </c>
      <c r="H684" t="s">
        <v>74</v>
      </c>
      <c r="I684" t="s">
        <v>13300</v>
      </c>
      <c r="J684" t="s">
        <v>10850</v>
      </c>
      <c r="K684" t="s">
        <v>74</v>
      </c>
      <c r="L684" t="s">
        <v>74</v>
      </c>
      <c r="M684" t="s">
        <v>78</v>
      </c>
      <c r="N684" t="s">
        <v>79</v>
      </c>
      <c r="O684" t="s">
        <v>74</v>
      </c>
      <c r="P684" t="s">
        <v>74</v>
      </c>
      <c r="Q684" t="s">
        <v>74</v>
      </c>
      <c r="R684" t="s">
        <v>74</v>
      </c>
      <c r="S684" t="s">
        <v>74</v>
      </c>
      <c r="T684" t="s">
        <v>13301</v>
      </c>
      <c r="U684" t="s">
        <v>13302</v>
      </c>
      <c r="V684" t="s">
        <v>13303</v>
      </c>
      <c r="W684" t="s">
        <v>13304</v>
      </c>
      <c r="X684" t="s">
        <v>13305</v>
      </c>
      <c r="Y684" t="s">
        <v>13306</v>
      </c>
      <c r="Z684" t="s">
        <v>13307</v>
      </c>
      <c r="AA684" t="s">
        <v>13308</v>
      </c>
      <c r="AB684" t="s">
        <v>13309</v>
      </c>
      <c r="AC684" t="s">
        <v>13310</v>
      </c>
      <c r="AD684" t="s">
        <v>13310</v>
      </c>
      <c r="AE684" t="s">
        <v>13311</v>
      </c>
      <c r="AF684" t="s">
        <v>74</v>
      </c>
      <c r="AG684">
        <v>60</v>
      </c>
      <c r="AH684">
        <v>23</v>
      </c>
      <c r="AI684">
        <v>25</v>
      </c>
      <c r="AJ684">
        <v>5</v>
      </c>
      <c r="AK684">
        <v>45</v>
      </c>
      <c r="AL684" t="s">
        <v>2659</v>
      </c>
      <c r="AM684" t="s">
        <v>2660</v>
      </c>
      <c r="AN684" t="s">
        <v>2661</v>
      </c>
      <c r="AO684" t="s">
        <v>10863</v>
      </c>
      <c r="AP684" t="s">
        <v>10864</v>
      </c>
      <c r="AQ684" t="s">
        <v>74</v>
      </c>
      <c r="AR684" t="s">
        <v>10865</v>
      </c>
      <c r="AS684" t="s">
        <v>10866</v>
      </c>
      <c r="AT684" t="s">
        <v>12379</v>
      </c>
      <c r="AU684">
        <v>2015</v>
      </c>
      <c r="AV684">
        <v>22</v>
      </c>
      <c r="AW684">
        <v>3</v>
      </c>
      <c r="AX684" t="s">
        <v>74</v>
      </c>
      <c r="AY684" t="s">
        <v>74</v>
      </c>
      <c r="AZ684" t="s">
        <v>74</v>
      </c>
      <c r="BA684" t="s">
        <v>74</v>
      </c>
      <c r="BB684">
        <v>2041</v>
      </c>
      <c r="BC684">
        <v>2050</v>
      </c>
      <c r="BD684" t="s">
        <v>74</v>
      </c>
      <c r="BE684" t="s">
        <v>13312</v>
      </c>
      <c r="BF684" t="str">
        <f>HYPERLINK("http://dx.doi.org/10.1007/s11356-014-3452-0","http://dx.doi.org/10.1007/s11356-014-3452-0")</f>
        <v>http://dx.doi.org/10.1007/s11356-014-3452-0</v>
      </c>
      <c r="BG684" t="s">
        <v>74</v>
      </c>
      <c r="BH684" t="s">
        <v>74</v>
      </c>
      <c r="BI684">
        <v>10</v>
      </c>
      <c r="BJ684" t="s">
        <v>2957</v>
      </c>
      <c r="BK684" t="s">
        <v>100</v>
      </c>
      <c r="BL684" t="s">
        <v>1048</v>
      </c>
      <c r="BM684" t="s">
        <v>13313</v>
      </c>
      <c r="BN684">
        <v>25167815</v>
      </c>
      <c r="BO684" t="s">
        <v>74</v>
      </c>
      <c r="BP684" t="s">
        <v>74</v>
      </c>
      <c r="BQ684" t="s">
        <v>74</v>
      </c>
      <c r="BR684" t="s">
        <v>104</v>
      </c>
      <c r="BS684" t="s">
        <v>13314</v>
      </c>
      <c r="BT684" t="str">
        <f>HYPERLINK("https%3A%2F%2Fwww.webofscience.com%2Fwos%2Fwoscc%2Ffull-record%2FWOS:000348917400051","View Full Record in Web of Science")</f>
        <v>View Full Record in Web of Science</v>
      </c>
    </row>
    <row r="685" spans="1:72" x14ac:dyDescent="0.15">
      <c r="A685" t="s">
        <v>72</v>
      </c>
      <c r="B685" t="s">
        <v>13315</v>
      </c>
      <c r="C685" t="s">
        <v>74</v>
      </c>
      <c r="D685" t="s">
        <v>74</v>
      </c>
      <c r="E685" t="s">
        <v>74</v>
      </c>
      <c r="F685" t="s">
        <v>13316</v>
      </c>
      <c r="G685" t="s">
        <v>74</v>
      </c>
      <c r="H685" t="s">
        <v>74</v>
      </c>
      <c r="I685" t="s">
        <v>13317</v>
      </c>
      <c r="J685" t="s">
        <v>135</v>
      </c>
      <c r="K685" t="s">
        <v>74</v>
      </c>
      <c r="L685" t="s">
        <v>74</v>
      </c>
      <c r="M685" t="s">
        <v>78</v>
      </c>
      <c r="N685" t="s">
        <v>1291</v>
      </c>
      <c r="O685" t="s">
        <v>74</v>
      </c>
      <c r="P685" t="s">
        <v>74</v>
      </c>
      <c r="Q685" t="s">
        <v>74</v>
      </c>
      <c r="R685" t="s">
        <v>74</v>
      </c>
      <c r="S685" t="s">
        <v>74</v>
      </c>
      <c r="T685" t="s">
        <v>13318</v>
      </c>
      <c r="U685" t="s">
        <v>13319</v>
      </c>
      <c r="V685" t="s">
        <v>13320</v>
      </c>
      <c r="W685" t="s">
        <v>13321</v>
      </c>
      <c r="X685" t="s">
        <v>13322</v>
      </c>
      <c r="Y685" t="s">
        <v>13323</v>
      </c>
      <c r="Z685" t="s">
        <v>13324</v>
      </c>
      <c r="AA685" t="s">
        <v>13325</v>
      </c>
      <c r="AB685" t="s">
        <v>13326</v>
      </c>
      <c r="AC685" t="s">
        <v>13327</v>
      </c>
      <c r="AD685" t="s">
        <v>13328</v>
      </c>
      <c r="AE685" t="s">
        <v>13329</v>
      </c>
      <c r="AF685" t="s">
        <v>74</v>
      </c>
      <c r="AG685">
        <v>108</v>
      </c>
      <c r="AH685">
        <v>60</v>
      </c>
      <c r="AI685">
        <v>61</v>
      </c>
      <c r="AJ685">
        <v>3</v>
      </c>
      <c r="AK685">
        <v>164</v>
      </c>
      <c r="AL685" t="s">
        <v>91</v>
      </c>
      <c r="AM685" t="s">
        <v>92</v>
      </c>
      <c r="AN685" t="s">
        <v>93</v>
      </c>
      <c r="AO685" t="s">
        <v>148</v>
      </c>
      <c r="AP685" t="s">
        <v>149</v>
      </c>
      <c r="AQ685" t="s">
        <v>74</v>
      </c>
      <c r="AR685" t="s">
        <v>150</v>
      </c>
      <c r="AS685" t="s">
        <v>151</v>
      </c>
      <c r="AT685" t="s">
        <v>12379</v>
      </c>
      <c r="AU685">
        <v>2015</v>
      </c>
      <c r="AV685">
        <v>21</v>
      </c>
      <c r="AW685">
        <v>2</v>
      </c>
      <c r="AX685" t="s">
        <v>74</v>
      </c>
      <c r="AY685" t="s">
        <v>74</v>
      </c>
      <c r="AZ685" t="s">
        <v>74</v>
      </c>
      <c r="BA685" t="s">
        <v>74</v>
      </c>
      <c r="BB685">
        <v>515</v>
      </c>
      <c r="BC685">
        <v>527</v>
      </c>
      <c r="BD685" t="s">
        <v>74</v>
      </c>
      <c r="BE685" t="s">
        <v>13330</v>
      </c>
      <c r="BF685" t="str">
        <f>HYPERLINK("http://dx.doi.org/10.1111/gcb.12739","http://dx.doi.org/10.1111/gcb.12739")</f>
        <v>http://dx.doi.org/10.1111/gcb.12739</v>
      </c>
      <c r="BG685" t="s">
        <v>74</v>
      </c>
      <c r="BH685" t="s">
        <v>74</v>
      </c>
      <c r="BI685">
        <v>13</v>
      </c>
      <c r="BJ685" t="s">
        <v>153</v>
      </c>
      <c r="BK685" t="s">
        <v>100</v>
      </c>
      <c r="BL685" t="s">
        <v>154</v>
      </c>
      <c r="BM685" t="s">
        <v>13331</v>
      </c>
      <c r="BN685">
        <v>25402975</v>
      </c>
      <c r="BO685" t="s">
        <v>248</v>
      </c>
      <c r="BP685" t="s">
        <v>74</v>
      </c>
      <c r="BQ685" t="s">
        <v>74</v>
      </c>
      <c r="BR685" t="s">
        <v>104</v>
      </c>
      <c r="BS685" t="s">
        <v>13332</v>
      </c>
      <c r="BT685" t="str">
        <f>HYPERLINK("https%3A%2F%2Fwww.webofscience.com%2Fwos%2Fwoscc%2Ffull-record%2FWOS:000348652400003","View Full Record in Web of Science")</f>
        <v>View Full Record in Web of Science</v>
      </c>
    </row>
    <row r="686" spans="1:72" x14ac:dyDescent="0.15">
      <c r="A686" t="s">
        <v>72</v>
      </c>
      <c r="B686" t="s">
        <v>13333</v>
      </c>
      <c r="C686" t="s">
        <v>74</v>
      </c>
      <c r="D686" t="s">
        <v>74</v>
      </c>
      <c r="E686" t="s">
        <v>74</v>
      </c>
      <c r="F686" t="s">
        <v>13334</v>
      </c>
      <c r="G686" t="s">
        <v>74</v>
      </c>
      <c r="H686" t="s">
        <v>74</v>
      </c>
      <c r="I686" t="s">
        <v>13335</v>
      </c>
      <c r="J686" t="s">
        <v>135</v>
      </c>
      <c r="K686" t="s">
        <v>74</v>
      </c>
      <c r="L686" t="s">
        <v>74</v>
      </c>
      <c r="M686" t="s">
        <v>78</v>
      </c>
      <c r="N686" t="s">
        <v>79</v>
      </c>
      <c r="O686" t="s">
        <v>74</v>
      </c>
      <c r="P686" t="s">
        <v>74</v>
      </c>
      <c r="Q686" t="s">
        <v>74</v>
      </c>
      <c r="R686" t="s">
        <v>74</v>
      </c>
      <c r="S686" t="s">
        <v>74</v>
      </c>
      <c r="T686" t="s">
        <v>13336</v>
      </c>
      <c r="U686" t="s">
        <v>13337</v>
      </c>
      <c r="V686" t="s">
        <v>13338</v>
      </c>
      <c r="W686" t="s">
        <v>13339</v>
      </c>
      <c r="X686" t="s">
        <v>13340</v>
      </c>
      <c r="Y686" t="s">
        <v>13341</v>
      </c>
      <c r="Z686" t="s">
        <v>13342</v>
      </c>
      <c r="AA686" t="s">
        <v>13343</v>
      </c>
      <c r="AB686" t="s">
        <v>13344</v>
      </c>
      <c r="AC686" t="s">
        <v>13345</v>
      </c>
      <c r="AD686" t="s">
        <v>13346</v>
      </c>
      <c r="AE686" t="s">
        <v>13347</v>
      </c>
      <c r="AF686" t="s">
        <v>74</v>
      </c>
      <c r="AG686">
        <v>88</v>
      </c>
      <c r="AH686">
        <v>29</v>
      </c>
      <c r="AI686">
        <v>32</v>
      </c>
      <c r="AJ686">
        <v>0</v>
      </c>
      <c r="AK686">
        <v>67</v>
      </c>
      <c r="AL686" t="s">
        <v>91</v>
      </c>
      <c r="AM686" t="s">
        <v>92</v>
      </c>
      <c r="AN686" t="s">
        <v>93</v>
      </c>
      <c r="AO686" t="s">
        <v>148</v>
      </c>
      <c r="AP686" t="s">
        <v>149</v>
      </c>
      <c r="AQ686" t="s">
        <v>74</v>
      </c>
      <c r="AR686" t="s">
        <v>150</v>
      </c>
      <c r="AS686" t="s">
        <v>151</v>
      </c>
      <c r="AT686" t="s">
        <v>12379</v>
      </c>
      <c r="AU686">
        <v>2015</v>
      </c>
      <c r="AV686">
        <v>21</v>
      </c>
      <c r="AW686">
        <v>2</v>
      </c>
      <c r="AX686" t="s">
        <v>74</v>
      </c>
      <c r="AY686" t="s">
        <v>74</v>
      </c>
      <c r="AZ686" t="s">
        <v>74</v>
      </c>
      <c r="BA686" t="s">
        <v>74</v>
      </c>
      <c r="BB686">
        <v>605</v>
      </c>
      <c r="BC686">
        <v>617</v>
      </c>
      <c r="BD686" t="s">
        <v>74</v>
      </c>
      <c r="BE686" t="s">
        <v>13348</v>
      </c>
      <c r="BF686" t="str">
        <f>HYPERLINK("http://dx.doi.org/10.1111/gcb.12735","http://dx.doi.org/10.1111/gcb.12735")</f>
        <v>http://dx.doi.org/10.1111/gcb.12735</v>
      </c>
      <c r="BG686" t="s">
        <v>74</v>
      </c>
      <c r="BH686" t="s">
        <v>74</v>
      </c>
      <c r="BI686">
        <v>13</v>
      </c>
      <c r="BJ686" t="s">
        <v>153</v>
      </c>
      <c r="BK686" t="s">
        <v>100</v>
      </c>
      <c r="BL686" t="s">
        <v>154</v>
      </c>
      <c r="BM686" t="s">
        <v>13331</v>
      </c>
      <c r="BN686">
        <v>25270127</v>
      </c>
      <c r="BO686" t="s">
        <v>74</v>
      </c>
      <c r="BP686" t="s">
        <v>74</v>
      </c>
      <c r="BQ686" t="s">
        <v>74</v>
      </c>
      <c r="BR686" t="s">
        <v>104</v>
      </c>
      <c r="BS686" t="s">
        <v>13349</v>
      </c>
      <c r="BT686" t="str">
        <f>HYPERLINK("https%3A%2F%2Fwww.webofscience.com%2Fwos%2Fwoscc%2Ffull-record%2FWOS:000348652400010","View Full Record in Web of Science")</f>
        <v>View Full Record in Web of Science</v>
      </c>
    </row>
    <row r="687" spans="1:72" x14ac:dyDescent="0.15">
      <c r="A687" t="s">
        <v>72</v>
      </c>
      <c r="B687" t="s">
        <v>13350</v>
      </c>
      <c r="C687" t="s">
        <v>74</v>
      </c>
      <c r="D687" t="s">
        <v>74</v>
      </c>
      <c r="E687" t="s">
        <v>74</v>
      </c>
      <c r="F687" t="s">
        <v>13351</v>
      </c>
      <c r="G687" t="s">
        <v>74</v>
      </c>
      <c r="H687" t="s">
        <v>74</v>
      </c>
      <c r="I687" t="s">
        <v>13352</v>
      </c>
      <c r="J687" t="s">
        <v>2647</v>
      </c>
      <c r="K687" t="s">
        <v>74</v>
      </c>
      <c r="L687" t="s">
        <v>74</v>
      </c>
      <c r="M687" t="s">
        <v>78</v>
      </c>
      <c r="N687" t="s">
        <v>79</v>
      </c>
      <c r="O687" t="s">
        <v>74</v>
      </c>
      <c r="P687" t="s">
        <v>74</v>
      </c>
      <c r="Q687" t="s">
        <v>74</v>
      </c>
      <c r="R687" t="s">
        <v>74</v>
      </c>
      <c r="S687" t="s">
        <v>74</v>
      </c>
      <c r="T687" t="s">
        <v>74</v>
      </c>
      <c r="U687" t="s">
        <v>13353</v>
      </c>
      <c r="V687" t="s">
        <v>13354</v>
      </c>
      <c r="W687" t="s">
        <v>13355</v>
      </c>
      <c r="X687" t="s">
        <v>6320</v>
      </c>
      <c r="Y687" t="s">
        <v>13221</v>
      </c>
      <c r="Z687" t="s">
        <v>13222</v>
      </c>
      <c r="AA687" t="s">
        <v>13356</v>
      </c>
      <c r="AB687" t="s">
        <v>13357</v>
      </c>
      <c r="AC687" t="s">
        <v>13358</v>
      </c>
      <c r="AD687" t="s">
        <v>7397</v>
      </c>
      <c r="AE687" t="s">
        <v>13359</v>
      </c>
      <c r="AF687" t="s">
        <v>74</v>
      </c>
      <c r="AG687">
        <v>79</v>
      </c>
      <c r="AH687">
        <v>18</v>
      </c>
      <c r="AI687">
        <v>21</v>
      </c>
      <c r="AJ687">
        <v>0</v>
      </c>
      <c r="AK687">
        <v>47</v>
      </c>
      <c r="AL687" t="s">
        <v>2659</v>
      </c>
      <c r="AM687" t="s">
        <v>2660</v>
      </c>
      <c r="AN687" t="s">
        <v>2661</v>
      </c>
      <c r="AO687" t="s">
        <v>2662</v>
      </c>
      <c r="AP687" t="s">
        <v>2663</v>
      </c>
      <c r="AQ687" t="s">
        <v>74</v>
      </c>
      <c r="AR687" t="s">
        <v>2664</v>
      </c>
      <c r="AS687" t="s">
        <v>2665</v>
      </c>
      <c r="AT687" t="s">
        <v>12379</v>
      </c>
      <c r="AU687">
        <v>2015</v>
      </c>
      <c r="AV687">
        <v>162</v>
      </c>
      <c r="AW687">
        <v>2</v>
      </c>
      <c r="AX687" t="s">
        <v>74</v>
      </c>
      <c r="AY687" t="s">
        <v>74</v>
      </c>
      <c r="AZ687" t="s">
        <v>74</v>
      </c>
      <c r="BA687" t="s">
        <v>74</v>
      </c>
      <c r="BB687">
        <v>377</v>
      </c>
      <c r="BC687">
        <v>389</v>
      </c>
      <c r="BD687" t="s">
        <v>74</v>
      </c>
      <c r="BE687" t="s">
        <v>13360</v>
      </c>
      <c r="BF687" t="str">
        <f>HYPERLINK("http://dx.doi.org/10.1007/s00227-014-2582-8","http://dx.doi.org/10.1007/s00227-014-2582-8")</f>
        <v>http://dx.doi.org/10.1007/s00227-014-2582-8</v>
      </c>
      <c r="BG687" t="s">
        <v>74</v>
      </c>
      <c r="BH687" t="s">
        <v>74</v>
      </c>
      <c r="BI687">
        <v>13</v>
      </c>
      <c r="BJ687" t="s">
        <v>2667</v>
      </c>
      <c r="BK687" t="s">
        <v>100</v>
      </c>
      <c r="BL687" t="s">
        <v>2667</v>
      </c>
      <c r="BM687" t="s">
        <v>13361</v>
      </c>
      <c r="BN687" t="s">
        <v>74</v>
      </c>
      <c r="BO687" t="s">
        <v>74</v>
      </c>
      <c r="BP687" t="s">
        <v>74</v>
      </c>
      <c r="BQ687" t="s">
        <v>74</v>
      </c>
      <c r="BR687" t="s">
        <v>104</v>
      </c>
      <c r="BS687" t="s">
        <v>13362</v>
      </c>
      <c r="BT687" t="str">
        <f>HYPERLINK("https%3A%2F%2Fwww.webofscience.com%2Fwos%2Fwoscc%2Ffull-record%2FWOS:000348564300013","View Full Record in Web of Science")</f>
        <v>View Full Record in Web of Science</v>
      </c>
    </row>
    <row r="688" spans="1:72" x14ac:dyDescent="0.15">
      <c r="A688" t="s">
        <v>72</v>
      </c>
      <c r="B688" t="s">
        <v>13363</v>
      </c>
      <c r="C688" t="s">
        <v>74</v>
      </c>
      <c r="D688" t="s">
        <v>74</v>
      </c>
      <c r="E688" t="s">
        <v>74</v>
      </c>
      <c r="F688" t="s">
        <v>13364</v>
      </c>
      <c r="G688" t="s">
        <v>74</v>
      </c>
      <c r="H688" t="s">
        <v>74</v>
      </c>
      <c r="I688" t="s">
        <v>13365</v>
      </c>
      <c r="J688" t="s">
        <v>2647</v>
      </c>
      <c r="K688" t="s">
        <v>74</v>
      </c>
      <c r="L688" t="s">
        <v>74</v>
      </c>
      <c r="M688" t="s">
        <v>78</v>
      </c>
      <c r="N688" t="s">
        <v>79</v>
      </c>
      <c r="O688" t="s">
        <v>74</v>
      </c>
      <c r="P688" t="s">
        <v>74</v>
      </c>
      <c r="Q688" t="s">
        <v>74</v>
      </c>
      <c r="R688" t="s">
        <v>74</v>
      </c>
      <c r="S688" t="s">
        <v>74</v>
      </c>
      <c r="T688" t="s">
        <v>74</v>
      </c>
      <c r="U688" t="s">
        <v>13366</v>
      </c>
      <c r="V688" t="s">
        <v>13367</v>
      </c>
      <c r="W688" t="s">
        <v>13368</v>
      </c>
      <c r="X688" t="s">
        <v>13220</v>
      </c>
      <c r="Y688" t="s">
        <v>13369</v>
      </c>
      <c r="Z688" t="s">
        <v>6321</v>
      </c>
      <c r="AA688" t="s">
        <v>8427</v>
      </c>
      <c r="AB688" t="s">
        <v>13370</v>
      </c>
      <c r="AC688" t="s">
        <v>13371</v>
      </c>
      <c r="AD688" t="s">
        <v>13372</v>
      </c>
      <c r="AE688" t="s">
        <v>13373</v>
      </c>
      <c r="AF688" t="s">
        <v>74</v>
      </c>
      <c r="AG688">
        <v>35</v>
      </c>
      <c r="AH688">
        <v>13</v>
      </c>
      <c r="AI688">
        <v>14</v>
      </c>
      <c r="AJ688">
        <v>0</v>
      </c>
      <c r="AK688">
        <v>35</v>
      </c>
      <c r="AL688" t="s">
        <v>2659</v>
      </c>
      <c r="AM688" t="s">
        <v>2660</v>
      </c>
      <c r="AN688" t="s">
        <v>2661</v>
      </c>
      <c r="AO688" t="s">
        <v>2662</v>
      </c>
      <c r="AP688" t="s">
        <v>2663</v>
      </c>
      <c r="AQ688" t="s">
        <v>74</v>
      </c>
      <c r="AR688" t="s">
        <v>2664</v>
      </c>
      <c r="AS688" t="s">
        <v>2665</v>
      </c>
      <c r="AT688" t="s">
        <v>12379</v>
      </c>
      <c r="AU688">
        <v>2015</v>
      </c>
      <c r="AV688">
        <v>162</v>
      </c>
      <c r="AW688">
        <v>2</v>
      </c>
      <c r="AX688" t="s">
        <v>74</v>
      </c>
      <c r="AY688" t="s">
        <v>74</v>
      </c>
      <c r="AZ688" t="s">
        <v>74</v>
      </c>
      <c r="BA688" t="s">
        <v>74</v>
      </c>
      <c r="BB688">
        <v>425</v>
      </c>
      <c r="BC688">
        <v>433</v>
      </c>
      <c r="BD688" t="s">
        <v>74</v>
      </c>
      <c r="BE688" t="s">
        <v>13374</v>
      </c>
      <c r="BF688" t="str">
        <f>HYPERLINK("http://dx.doi.org/10.1007/s00227-014-2590-8","http://dx.doi.org/10.1007/s00227-014-2590-8")</f>
        <v>http://dx.doi.org/10.1007/s00227-014-2590-8</v>
      </c>
      <c r="BG688" t="s">
        <v>74</v>
      </c>
      <c r="BH688" t="s">
        <v>74</v>
      </c>
      <c r="BI688">
        <v>9</v>
      </c>
      <c r="BJ688" t="s">
        <v>2667</v>
      </c>
      <c r="BK688" t="s">
        <v>100</v>
      </c>
      <c r="BL688" t="s">
        <v>2667</v>
      </c>
      <c r="BM688" t="s">
        <v>13361</v>
      </c>
      <c r="BN688" t="s">
        <v>74</v>
      </c>
      <c r="BO688" t="s">
        <v>74</v>
      </c>
      <c r="BP688" t="s">
        <v>74</v>
      </c>
      <c r="BQ688" t="s">
        <v>74</v>
      </c>
      <c r="BR688" t="s">
        <v>104</v>
      </c>
      <c r="BS688" t="s">
        <v>13375</v>
      </c>
      <c r="BT688" t="str">
        <f>HYPERLINK("https%3A%2F%2Fwww.webofscience.com%2Fwos%2Fwoscc%2Ffull-record%2FWOS:000348564300017","View Full Record in Web of Science")</f>
        <v>View Full Record in Web of Science</v>
      </c>
    </row>
    <row r="689" spans="1:72" x14ac:dyDescent="0.15">
      <c r="A689" t="s">
        <v>72</v>
      </c>
      <c r="B689" t="s">
        <v>13376</v>
      </c>
      <c r="C689" t="s">
        <v>74</v>
      </c>
      <c r="D689" t="s">
        <v>74</v>
      </c>
      <c r="E689" t="s">
        <v>74</v>
      </c>
      <c r="F689" t="s">
        <v>13377</v>
      </c>
      <c r="G689" t="s">
        <v>74</v>
      </c>
      <c r="H689" t="s">
        <v>74</v>
      </c>
      <c r="I689" t="s">
        <v>13378</v>
      </c>
      <c r="J689" t="s">
        <v>3901</v>
      </c>
      <c r="K689" t="s">
        <v>74</v>
      </c>
      <c r="L689" t="s">
        <v>74</v>
      </c>
      <c r="M689" t="s">
        <v>78</v>
      </c>
      <c r="N689" t="s">
        <v>79</v>
      </c>
      <c r="O689" t="s">
        <v>74</v>
      </c>
      <c r="P689" t="s">
        <v>74</v>
      </c>
      <c r="Q689" t="s">
        <v>74</v>
      </c>
      <c r="R689" t="s">
        <v>74</v>
      </c>
      <c r="S689" t="s">
        <v>74</v>
      </c>
      <c r="T689" t="s">
        <v>74</v>
      </c>
      <c r="U689" t="s">
        <v>13379</v>
      </c>
      <c r="V689" t="s">
        <v>13380</v>
      </c>
      <c r="W689" t="s">
        <v>13381</v>
      </c>
      <c r="X689" t="s">
        <v>8275</v>
      </c>
      <c r="Y689" t="s">
        <v>13382</v>
      </c>
      <c r="Z689" t="s">
        <v>13383</v>
      </c>
      <c r="AA689" t="s">
        <v>13384</v>
      </c>
      <c r="AB689" t="s">
        <v>13385</v>
      </c>
      <c r="AC689" t="s">
        <v>74</v>
      </c>
      <c r="AD689" t="s">
        <v>74</v>
      </c>
      <c r="AE689" t="s">
        <v>74</v>
      </c>
      <c r="AF689" t="s">
        <v>74</v>
      </c>
      <c r="AG689">
        <v>42</v>
      </c>
      <c r="AH689">
        <v>34</v>
      </c>
      <c r="AI689">
        <v>37</v>
      </c>
      <c r="AJ689">
        <v>2</v>
      </c>
      <c r="AK689">
        <v>51</v>
      </c>
      <c r="AL689" t="s">
        <v>3913</v>
      </c>
      <c r="AM689" t="s">
        <v>3914</v>
      </c>
      <c r="AN689" t="s">
        <v>3915</v>
      </c>
      <c r="AO689" t="s">
        <v>3916</v>
      </c>
      <c r="AP689" t="s">
        <v>3917</v>
      </c>
      <c r="AQ689" t="s">
        <v>74</v>
      </c>
      <c r="AR689" t="s">
        <v>3918</v>
      </c>
      <c r="AS689" t="s">
        <v>3919</v>
      </c>
      <c r="AT689" t="s">
        <v>12379</v>
      </c>
      <c r="AU689">
        <v>2015</v>
      </c>
      <c r="AV689">
        <v>119</v>
      </c>
      <c r="AW689" t="s">
        <v>3920</v>
      </c>
      <c r="AX689" t="s">
        <v>74</v>
      </c>
      <c r="AY689" t="s">
        <v>74</v>
      </c>
      <c r="AZ689" t="s">
        <v>74</v>
      </c>
      <c r="BA689" t="s">
        <v>74</v>
      </c>
      <c r="BB689">
        <v>567</v>
      </c>
      <c r="BC689">
        <v>583</v>
      </c>
      <c r="BD689" t="s">
        <v>74</v>
      </c>
      <c r="BE689" t="s">
        <v>13386</v>
      </c>
      <c r="BF689" t="str">
        <f>HYPERLINK("http://dx.doi.org/10.1007/s00704-014-1106-2","http://dx.doi.org/10.1007/s00704-014-1106-2")</f>
        <v>http://dx.doi.org/10.1007/s00704-014-1106-2</v>
      </c>
      <c r="BG689" t="s">
        <v>74</v>
      </c>
      <c r="BH689" t="s">
        <v>74</v>
      </c>
      <c r="BI689">
        <v>17</v>
      </c>
      <c r="BJ689" t="s">
        <v>406</v>
      </c>
      <c r="BK689" t="s">
        <v>100</v>
      </c>
      <c r="BL689" t="s">
        <v>406</v>
      </c>
      <c r="BM689" t="s">
        <v>13387</v>
      </c>
      <c r="BN689" t="s">
        <v>74</v>
      </c>
      <c r="BO689" t="s">
        <v>74</v>
      </c>
      <c r="BP689" t="s">
        <v>74</v>
      </c>
      <c r="BQ689" t="s">
        <v>74</v>
      </c>
      <c r="BR689" t="s">
        <v>104</v>
      </c>
      <c r="BS689" t="s">
        <v>13388</v>
      </c>
      <c r="BT689" t="str">
        <f>HYPERLINK("https%3A%2F%2Fwww.webofscience.com%2Fwos%2Fwoscc%2Ffull-record%2FWOS:000349020900013","View Full Record in Web of Science")</f>
        <v>View Full Record in Web of Science</v>
      </c>
    </row>
    <row r="690" spans="1:72" x14ac:dyDescent="0.15">
      <c r="A690" t="s">
        <v>72</v>
      </c>
      <c r="B690" t="s">
        <v>13389</v>
      </c>
      <c r="C690" t="s">
        <v>74</v>
      </c>
      <c r="D690" t="s">
        <v>74</v>
      </c>
      <c r="E690" t="s">
        <v>74</v>
      </c>
      <c r="F690" t="s">
        <v>13390</v>
      </c>
      <c r="G690" t="s">
        <v>74</v>
      </c>
      <c r="H690" t="s">
        <v>74</v>
      </c>
      <c r="I690" t="s">
        <v>13391</v>
      </c>
      <c r="J690" t="s">
        <v>3901</v>
      </c>
      <c r="K690" t="s">
        <v>74</v>
      </c>
      <c r="L690" t="s">
        <v>74</v>
      </c>
      <c r="M690" t="s">
        <v>78</v>
      </c>
      <c r="N690" t="s">
        <v>79</v>
      </c>
      <c r="O690" t="s">
        <v>74</v>
      </c>
      <c r="P690" t="s">
        <v>74</v>
      </c>
      <c r="Q690" t="s">
        <v>74</v>
      </c>
      <c r="R690" t="s">
        <v>74</v>
      </c>
      <c r="S690" t="s">
        <v>74</v>
      </c>
      <c r="T690" t="s">
        <v>74</v>
      </c>
      <c r="U690" t="s">
        <v>13392</v>
      </c>
      <c r="V690" t="s">
        <v>13393</v>
      </c>
      <c r="W690" t="s">
        <v>13394</v>
      </c>
      <c r="X690" t="s">
        <v>13395</v>
      </c>
      <c r="Y690" t="s">
        <v>13396</v>
      </c>
      <c r="Z690" t="s">
        <v>13397</v>
      </c>
      <c r="AA690" t="s">
        <v>13398</v>
      </c>
      <c r="AB690" t="s">
        <v>13399</v>
      </c>
      <c r="AC690" t="s">
        <v>13400</v>
      </c>
      <c r="AD690" t="s">
        <v>13401</v>
      </c>
      <c r="AE690" t="s">
        <v>13402</v>
      </c>
      <c r="AF690" t="s">
        <v>74</v>
      </c>
      <c r="AG690">
        <v>49</v>
      </c>
      <c r="AH690">
        <v>8</v>
      </c>
      <c r="AI690">
        <v>8</v>
      </c>
      <c r="AJ690">
        <v>1</v>
      </c>
      <c r="AK690">
        <v>39</v>
      </c>
      <c r="AL690" t="s">
        <v>3913</v>
      </c>
      <c r="AM690" t="s">
        <v>3914</v>
      </c>
      <c r="AN690" t="s">
        <v>3915</v>
      </c>
      <c r="AO690" t="s">
        <v>3916</v>
      </c>
      <c r="AP690" t="s">
        <v>3917</v>
      </c>
      <c r="AQ690" t="s">
        <v>74</v>
      </c>
      <c r="AR690" t="s">
        <v>3918</v>
      </c>
      <c r="AS690" t="s">
        <v>3919</v>
      </c>
      <c r="AT690" t="s">
        <v>12379</v>
      </c>
      <c r="AU690">
        <v>2015</v>
      </c>
      <c r="AV690">
        <v>119</v>
      </c>
      <c r="AW690" t="s">
        <v>3920</v>
      </c>
      <c r="AX690" t="s">
        <v>74</v>
      </c>
      <c r="AY690" t="s">
        <v>74</v>
      </c>
      <c r="AZ690" t="s">
        <v>74</v>
      </c>
      <c r="BA690" t="s">
        <v>74</v>
      </c>
      <c r="BB690">
        <v>757</v>
      </c>
      <c r="BC690">
        <v>769</v>
      </c>
      <c r="BD690" t="s">
        <v>74</v>
      </c>
      <c r="BE690" t="s">
        <v>13403</v>
      </c>
      <c r="BF690" t="str">
        <f>HYPERLINK("http://dx.doi.org/10.1007/s00704-014-1146-7","http://dx.doi.org/10.1007/s00704-014-1146-7")</f>
        <v>http://dx.doi.org/10.1007/s00704-014-1146-7</v>
      </c>
      <c r="BG690" t="s">
        <v>74</v>
      </c>
      <c r="BH690" t="s">
        <v>74</v>
      </c>
      <c r="BI690">
        <v>13</v>
      </c>
      <c r="BJ690" t="s">
        <v>406</v>
      </c>
      <c r="BK690" t="s">
        <v>100</v>
      </c>
      <c r="BL690" t="s">
        <v>406</v>
      </c>
      <c r="BM690" t="s">
        <v>13387</v>
      </c>
      <c r="BN690" t="s">
        <v>74</v>
      </c>
      <c r="BO690" t="s">
        <v>74</v>
      </c>
      <c r="BP690" t="s">
        <v>74</v>
      </c>
      <c r="BQ690" t="s">
        <v>74</v>
      </c>
      <c r="BR690" t="s">
        <v>104</v>
      </c>
      <c r="BS690" t="s">
        <v>13404</v>
      </c>
      <c r="BT690" t="str">
        <f>HYPERLINK("https%3A%2F%2Fwww.webofscience.com%2Fwos%2Fwoscc%2Ffull-record%2FWOS:000349020900025","View Full Record in Web of Science")</f>
        <v>View Full Record in Web of Science</v>
      </c>
    </row>
    <row r="691" spans="1:72" x14ac:dyDescent="0.15">
      <c r="A691" t="s">
        <v>72</v>
      </c>
      <c r="B691" t="s">
        <v>13405</v>
      </c>
      <c r="C691" t="s">
        <v>74</v>
      </c>
      <c r="D691" t="s">
        <v>74</v>
      </c>
      <c r="E691" t="s">
        <v>74</v>
      </c>
      <c r="F691" t="s">
        <v>13406</v>
      </c>
      <c r="G691" t="s">
        <v>74</v>
      </c>
      <c r="H691" t="s">
        <v>74</v>
      </c>
      <c r="I691" t="s">
        <v>13407</v>
      </c>
      <c r="J691" t="s">
        <v>3274</v>
      </c>
      <c r="K691" t="s">
        <v>74</v>
      </c>
      <c r="L691" t="s">
        <v>74</v>
      </c>
      <c r="M691" t="s">
        <v>78</v>
      </c>
      <c r="N691" t="s">
        <v>79</v>
      </c>
      <c r="O691" t="s">
        <v>74</v>
      </c>
      <c r="P691" t="s">
        <v>74</v>
      </c>
      <c r="Q691" t="s">
        <v>74</v>
      </c>
      <c r="R691" t="s">
        <v>74</v>
      </c>
      <c r="S691" t="s">
        <v>74</v>
      </c>
      <c r="T691" t="s">
        <v>13408</v>
      </c>
      <c r="U691" t="s">
        <v>13409</v>
      </c>
      <c r="V691" t="s">
        <v>13410</v>
      </c>
      <c r="W691" t="s">
        <v>13411</v>
      </c>
      <c r="X691" t="s">
        <v>13412</v>
      </c>
      <c r="Y691" t="s">
        <v>13413</v>
      </c>
      <c r="Z691" t="s">
        <v>13414</v>
      </c>
      <c r="AA691" t="s">
        <v>74</v>
      </c>
      <c r="AB691" t="s">
        <v>74</v>
      </c>
      <c r="AC691" t="s">
        <v>13415</v>
      </c>
      <c r="AD691" t="s">
        <v>13416</v>
      </c>
      <c r="AE691" t="s">
        <v>13417</v>
      </c>
      <c r="AF691" t="s">
        <v>74</v>
      </c>
      <c r="AG691">
        <v>45</v>
      </c>
      <c r="AH691">
        <v>18</v>
      </c>
      <c r="AI691">
        <v>19</v>
      </c>
      <c r="AJ691">
        <v>0</v>
      </c>
      <c r="AK691">
        <v>24</v>
      </c>
      <c r="AL691" t="s">
        <v>1039</v>
      </c>
      <c r="AM691" t="s">
        <v>816</v>
      </c>
      <c r="AN691" t="s">
        <v>1040</v>
      </c>
      <c r="AO691" t="s">
        <v>3287</v>
      </c>
      <c r="AP691" t="s">
        <v>3288</v>
      </c>
      <c r="AQ691" t="s">
        <v>74</v>
      </c>
      <c r="AR691" t="s">
        <v>3289</v>
      </c>
      <c r="AS691" t="s">
        <v>3290</v>
      </c>
      <c r="AT691" t="s">
        <v>12379</v>
      </c>
      <c r="AU691">
        <v>2015</v>
      </c>
      <c r="AV691">
        <v>463</v>
      </c>
      <c r="AW691" t="s">
        <v>74</v>
      </c>
      <c r="AX691" t="s">
        <v>74</v>
      </c>
      <c r="AY691" t="s">
        <v>74</v>
      </c>
      <c r="AZ691" t="s">
        <v>74</v>
      </c>
      <c r="BA691" t="s">
        <v>74</v>
      </c>
      <c r="BB691">
        <v>150</v>
      </c>
      <c r="BC691">
        <v>157</v>
      </c>
      <c r="BD691" t="s">
        <v>74</v>
      </c>
      <c r="BE691" t="s">
        <v>13418</v>
      </c>
      <c r="BF691" t="str">
        <f>HYPERLINK("http://dx.doi.org/10.1016/j.jembe.2014.11.009","http://dx.doi.org/10.1016/j.jembe.2014.11.009")</f>
        <v>http://dx.doi.org/10.1016/j.jembe.2014.11.009</v>
      </c>
      <c r="BG691" t="s">
        <v>74</v>
      </c>
      <c r="BH691" t="s">
        <v>74</v>
      </c>
      <c r="BI691">
        <v>8</v>
      </c>
      <c r="BJ691" t="s">
        <v>3292</v>
      </c>
      <c r="BK691" t="s">
        <v>100</v>
      </c>
      <c r="BL691" t="s">
        <v>3293</v>
      </c>
      <c r="BM691" t="s">
        <v>13419</v>
      </c>
      <c r="BN691" t="s">
        <v>74</v>
      </c>
      <c r="BO691" t="s">
        <v>559</v>
      </c>
      <c r="BP691" t="s">
        <v>74</v>
      </c>
      <c r="BQ691" t="s">
        <v>74</v>
      </c>
      <c r="BR691" t="s">
        <v>104</v>
      </c>
      <c r="BS691" t="s">
        <v>13420</v>
      </c>
      <c r="BT691" t="str">
        <f>HYPERLINK("https%3A%2F%2Fwww.webofscience.com%2Fwos%2Fwoscc%2Ffull-record%2FWOS:000348628400019","View Full Record in Web of Science")</f>
        <v>View Full Record in Web of Science</v>
      </c>
    </row>
    <row r="692" spans="1:72" x14ac:dyDescent="0.15">
      <c r="A692" t="s">
        <v>72</v>
      </c>
      <c r="B692" t="s">
        <v>13421</v>
      </c>
      <c r="C692" t="s">
        <v>74</v>
      </c>
      <c r="D692" t="s">
        <v>74</v>
      </c>
      <c r="E692" t="s">
        <v>74</v>
      </c>
      <c r="F692" t="s">
        <v>13422</v>
      </c>
      <c r="G692" t="s">
        <v>74</v>
      </c>
      <c r="H692" t="s">
        <v>74</v>
      </c>
      <c r="I692" t="s">
        <v>13423</v>
      </c>
      <c r="J692" t="s">
        <v>1290</v>
      </c>
      <c r="K692" t="s">
        <v>74</v>
      </c>
      <c r="L692" t="s">
        <v>74</v>
      </c>
      <c r="M692" t="s">
        <v>78</v>
      </c>
      <c r="N692" t="s">
        <v>79</v>
      </c>
      <c r="O692" t="s">
        <v>74</v>
      </c>
      <c r="P692" t="s">
        <v>74</v>
      </c>
      <c r="Q692" t="s">
        <v>74</v>
      </c>
      <c r="R692" t="s">
        <v>74</v>
      </c>
      <c r="S692" t="s">
        <v>74</v>
      </c>
      <c r="T692" t="s">
        <v>13424</v>
      </c>
      <c r="U692" t="s">
        <v>13425</v>
      </c>
      <c r="V692" t="s">
        <v>13426</v>
      </c>
      <c r="W692" t="s">
        <v>13427</v>
      </c>
      <c r="X692" t="s">
        <v>13428</v>
      </c>
      <c r="Y692" t="s">
        <v>13429</v>
      </c>
      <c r="Z692" t="s">
        <v>3704</v>
      </c>
      <c r="AA692" t="s">
        <v>13430</v>
      </c>
      <c r="AB692" t="s">
        <v>13431</v>
      </c>
      <c r="AC692" t="s">
        <v>13432</v>
      </c>
      <c r="AD692" t="s">
        <v>13433</v>
      </c>
      <c r="AE692" t="s">
        <v>13434</v>
      </c>
      <c r="AF692" t="s">
        <v>74</v>
      </c>
      <c r="AG692">
        <v>42</v>
      </c>
      <c r="AH692">
        <v>11</v>
      </c>
      <c r="AI692">
        <v>11</v>
      </c>
      <c r="AJ692">
        <v>0</v>
      </c>
      <c r="AK692">
        <v>33</v>
      </c>
      <c r="AL692" t="s">
        <v>120</v>
      </c>
      <c r="AM692" t="s">
        <v>121</v>
      </c>
      <c r="AN692" t="s">
        <v>1304</v>
      </c>
      <c r="AO692" t="s">
        <v>1305</v>
      </c>
      <c r="AP692" t="s">
        <v>1306</v>
      </c>
      <c r="AQ692" t="s">
        <v>74</v>
      </c>
      <c r="AR692" t="s">
        <v>1307</v>
      </c>
      <c r="AS692" t="s">
        <v>1308</v>
      </c>
      <c r="AT692" t="s">
        <v>12379</v>
      </c>
      <c r="AU692">
        <v>2015</v>
      </c>
      <c r="AV692">
        <v>38</v>
      </c>
      <c r="AW692">
        <v>2</v>
      </c>
      <c r="AX692" t="s">
        <v>74</v>
      </c>
      <c r="AY692" t="s">
        <v>74</v>
      </c>
      <c r="AZ692" t="s">
        <v>74</v>
      </c>
      <c r="BA692" t="s">
        <v>74</v>
      </c>
      <c r="BB692">
        <v>117</v>
      </c>
      <c r="BC692">
        <v>130</v>
      </c>
      <c r="BD692" t="s">
        <v>74</v>
      </c>
      <c r="BE692" t="s">
        <v>13435</v>
      </c>
      <c r="BF692" t="str">
        <f>HYPERLINK("http://dx.doi.org/10.1007/s00300-014-1569-8","http://dx.doi.org/10.1007/s00300-014-1569-8")</f>
        <v>http://dx.doi.org/10.1007/s00300-014-1569-8</v>
      </c>
      <c r="BG692" t="s">
        <v>74</v>
      </c>
      <c r="BH692" t="s">
        <v>74</v>
      </c>
      <c r="BI692">
        <v>14</v>
      </c>
      <c r="BJ692" t="s">
        <v>1311</v>
      </c>
      <c r="BK692" t="s">
        <v>100</v>
      </c>
      <c r="BL692" t="s">
        <v>154</v>
      </c>
      <c r="BM692" t="s">
        <v>13436</v>
      </c>
      <c r="BN692" t="s">
        <v>74</v>
      </c>
      <c r="BO692" t="s">
        <v>74</v>
      </c>
      <c r="BP692" t="s">
        <v>74</v>
      </c>
      <c r="BQ692" t="s">
        <v>74</v>
      </c>
      <c r="BR692" t="s">
        <v>104</v>
      </c>
      <c r="BS692" t="s">
        <v>13437</v>
      </c>
      <c r="BT692" t="str">
        <f>HYPERLINK("https%3A%2F%2Fwww.webofscience.com%2Fwos%2Fwoscc%2Ffull-record%2FWOS:000348310200001","View Full Record in Web of Science")</f>
        <v>View Full Record in Web of Science</v>
      </c>
    </row>
    <row r="693" spans="1:72" x14ac:dyDescent="0.15">
      <c r="A693" t="s">
        <v>72</v>
      </c>
      <c r="B693" t="s">
        <v>13438</v>
      </c>
      <c r="C693" t="s">
        <v>74</v>
      </c>
      <c r="D693" t="s">
        <v>74</v>
      </c>
      <c r="E693" t="s">
        <v>74</v>
      </c>
      <c r="F693" t="s">
        <v>13439</v>
      </c>
      <c r="G693" t="s">
        <v>74</v>
      </c>
      <c r="H693" t="s">
        <v>74</v>
      </c>
      <c r="I693" t="s">
        <v>13440</v>
      </c>
      <c r="J693" t="s">
        <v>1290</v>
      </c>
      <c r="K693" t="s">
        <v>74</v>
      </c>
      <c r="L693" t="s">
        <v>74</v>
      </c>
      <c r="M693" t="s">
        <v>78</v>
      </c>
      <c r="N693" t="s">
        <v>79</v>
      </c>
      <c r="O693" t="s">
        <v>74</v>
      </c>
      <c r="P693" t="s">
        <v>74</v>
      </c>
      <c r="Q693" t="s">
        <v>74</v>
      </c>
      <c r="R693" t="s">
        <v>74</v>
      </c>
      <c r="S693" t="s">
        <v>74</v>
      </c>
      <c r="T693" t="s">
        <v>13441</v>
      </c>
      <c r="U693" t="s">
        <v>13442</v>
      </c>
      <c r="V693" t="s">
        <v>13443</v>
      </c>
      <c r="W693" t="s">
        <v>13444</v>
      </c>
      <c r="X693" t="s">
        <v>13445</v>
      </c>
      <c r="Y693" t="s">
        <v>13446</v>
      </c>
      <c r="Z693" t="s">
        <v>13447</v>
      </c>
      <c r="AA693" t="s">
        <v>13448</v>
      </c>
      <c r="AB693" t="s">
        <v>13449</v>
      </c>
      <c r="AC693" t="s">
        <v>13450</v>
      </c>
      <c r="AD693" t="s">
        <v>13451</v>
      </c>
      <c r="AE693" t="s">
        <v>13452</v>
      </c>
      <c r="AF693" t="s">
        <v>74</v>
      </c>
      <c r="AG693">
        <v>67</v>
      </c>
      <c r="AH693">
        <v>25</v>
      </c>
      <c r="AI693">
        <v>26</v>
      </c>
      <c r="AJ693">
        <v>0</v>
      </c>
      <c r="AK693">
        <v>65</v>
      </c>
      <c r="AL693" t="s">
        <v>120</v>
      </c>
      <c r="AM693" t="s">
        <v>121</v>
      </c>
      <c r="AN693" t="s">
        <v>122</v>
      </c>
      <c r="AO693" t="s">
        <v>1305</v>
      </c>
      <c r="AP693" t="s">
        <v>1306</v>
      </c>
      <c r="AQ693" t="s">
        <v>74</v>
      </c>
      <c r="AR693" t="s">
        <v>1307</v>
      </c>
      <c r="AS693" t="s">
        <v>1308</v>
      </c>
      <c r="AT693" t="s">
        <v>12379</v>
      </c>
      <c r="AU693">
        <v>2015</v>
      </c>
      <c r="AV693">
        <v>38</v>
      </c>
      <c r="AW693">
        <v>2</v>
      </c>
      <c r="AX693" t="s">
        <v>74</v>
      </c>
      <c r="AY693" t="s">
        <v>74</v>
      </c>
      <c r="AZ693" t="s">
        <v>74</v>
      </c>
      <c r="BA693" t="s">
        <v>74</v>
      </c>
      <c r="BB693">
        <v>163</v>
      </c>
      <c r="BC693">
        <v>177</v>
      </c>
      <c r="BD693" t="s">
        <v>74</v>
      </c>
      <c r="BE693" t="s">
        <v>13453</v>
      </c>
      <c r="BF693" t="str">
        <f>HYPERLINK("http://dx.doi.org/10.1007/s00300-014-1575-x","http://dx.doi.org/10.1007/s00300-014-1575-x")</f>
        <v>http://dx.doi.org/10.1007/s00300-014-1575-x</v>
      </c>
      <c r="BG693" t="s">
        <v>74</v>
      </c>
      <c r="BH693" t="s">
        <v>74</v>
      </c>
      <c r="BI693">
        <v>15</v>
      </c>
      <c r="BJ693" t="s">
        <v>1311</v>
      </c>
      <c r="BK693" t="s">
        <v>100</v>
      </c>
      <c r="BL693" t="s">
        <v>154</v>
      </c>
      <c r="BM693" t="s">
        <v>13436</v>
      </c>
      <c r="BN693" t="s">
        <v>74</v>
      </c>
      <c r="BO693" t="s">
        <v>74</v>
      </c>
      <c r="BP693" t="s">
        <v>74</v>
      </c>
      <c r="BQ693" t="s">
        <v>74</v>
      </c>
      <c r="BR693" t="s">
        <v>104</v>
      </c>
      <c r="BS693" t="s">
        <v>13454</v>
      </c>
      <c r="BT693" t="str">
        <f>HYPERLINK("https%3A%2F%2Fwww.webofscience.com%2Fwos%2Fwoscc%2Ffull-record%2FWOS:000348310200005","View Full Record in Web of Science")</f>
        <v>View Full Record in Web of Science</v>
      </c>
    </row>
    <row r="694" spans="1:72" x14ac:dyDescent="0.15">
      <c r="A694" t="s">
        <v>72</v>
      </c>
      <c r="B694" t="s">
        <v>13455</v>
      </c>
      <c r="C694" t="s">
        <v>74</v>
      </c>
      <c r="D694" t="s">
        <v>74</v>
      </c>
      <c r="E694" t="s">
        <v>74</v>
      </c>
      <c r="F694" t="s">
        <v>13456</v>
      </c>
      <c r="G694" t="s">
        <v>74</v>
      </c>
      <c r="H694" t="s">
        <v>74</v>
      </c>
      <c r="I694" t="s">
        <v>13457</v>
      </c>
      <c r="J694" t="s">
        <v>1290</v>
      </c>
      <c r="K694" t="s">
        <v>74</v>
      </c>
      <c r="L694" t="s">
        <v>74</v>
      </c>
      <c r="M694" t="s">
        <v>78</v>
      </c>
      <c r="N694" t="s">
        <v>79</v>
      </c>
      <c r="O694" t="s">
        <v>74</v>
      </c>
      <c r="P694" t="s">
        <v>74</v>
      </c>
      <c r="Q694" t="s">
        <v>74</v>
      </c>
      <c r="R694" t="s">
        <v>74</v>
      </c>
      <c r="S694" t="s">
        <v>74</v>
      </c>
      <c r="T694" t="s">
        <v>13458</v>
      </c>
      <c r="U694" t="s">
        <v>13459</v>
      </c>
      <c r="V694" t="s">
        <v>13460</v>
      </c>
      <c r="W694" t="s">
        <v>13461</v>
      </c>
      <c r="X694" t="s">
        <v>13462</v>
      </c>
      <c r="Y694" t="s">
        <v>13463</v>
      </c>
      <c r="Z694" t="s">
        <v>13464</v>
      </c>
      <c r="AA694" t="s">
        <v>13465</v>
      </c>
      <c r="AB694" t="s">
        <v>13466</v>
      </c>
      <c r="AC694" t="s">
        <v>13467</v>
      </c>
      <c r="AD694" t="s">
        <v>13467</v>
      </c>
      <c r="AE694" t="s">
        <v>13468</v>
      </c>
      <c r="AF694" t="s">
        <v>74</v>
      </c>
      <c r="AG694">
        <v>112</v>
      </c>
      <c r="AH694">
        <v>13</v>
      </c>
      <c r="AI694">
        <v>16</v>
      </c>
      <c r="AJ694">
        <v>0</v>
      </c>
      <c r="AK694">
        <v>45</v>
      </c>
      <c r="AL694" t="s">
        <v>120</v>
      </c>
      <c r="AM694" t="s">
        <v>121</v>
      </c>
      <c r="AN694" t="s">
        <v>1304</v>
      </c>
      <c r="AO694" t="s">
        <v>1305</v>
      </c>
      <c r="AP694" t="s">
        <v>1306</v>
      </c>
      <c r="AQ694" t="s">
        <v>74</v>
      </c>
      <c r="AR694" t="s">
        <v>1307</v>
      </c>
      <c r="AS694" t="s">
        <v>1308</v>
      </c>
      <c r="AT694" t="s">
        <v>12379</v>
      </c>
      <c r="AU694">
        <v>2015</v>
      </c>
      <c r="AV694">
        <v>38</v>
      </c>
      <c r="AW694">
        <v>2</v>
      </c>
      <c r="AX694" t="s">
        <v>74</v>
      </c>
      <c r="AY694" t="s">
        <v>74</v>
      </c>
      <c r="AZ694" t="s">
        <v>74</v>
      </c>
      <c r="BA694" t="s">
        <v>74</v>
      </c>
      <c r="BB694">
        <v>189</v>
      </c>
      <c r="BC694">
        <v>205</v>
      </c>
      <c r="BD694" t="s">
        <v>74</v>
      </c>
      <c r="BE694" t="s">
        <v>13469</v>
      </c>
      <c r="BF694" t="str">
        <f>HYPERLINK("http://dx.doi.org/10.1007/s00300-014-1578-7","http://dx.doi.org/10.1007/s00300-014-1578-7")</f>
        <v>http://dx.doi.org/10.1007/s00300-014-1578-7</v>
      </c>
      <c r="BG694" t="s">
        <v>74</v>
      </c>
      <c r="BH694" t="s">
        <v>74</v>
      </c>
      <c r="BI694">
        <v>17</v>
      </c>
      <c r="BJ694" t="s">
        <v>1311</v>
      </c>
      <c r="BK694" t="s">
        <v>100</v>
      </c>
      <c r="BL694" t="s">
        <v>154</v>
      </c>
      <c r="BM694" t="s">
        <v>13436</v>
      </c>
      <c r="BN694" t="s">
        <v>74</v>
      </c>
      <c r="BO694" t="s">
        <v>74</v>
      </c>
      <c r="BP694" t="s">
        <v>74</v>
      </c>
      <c r="BQ694" t="s">
        <v>74</v>
      </c>
      <c r="BR694" t="s">
        <v>104</v>
      </c>
      <c r="BS694" t="s">
        <v>13470</v>
      </c>
      <c r="BT694" t="str">
        <f>HYPERLINK("https%3A%2F%2Fwww.webofscience.com%2Fwos%2Fwoscc%2Ffull-record%2FWOS:000348310200007","View Full Record in Web of Science")</f>
        <v>View Full Record in Web of Science</v>
      </c>
    </row>
    <row r="695" spans="1:72" x14ac:dyDescent="0.15">
      <c r="A695" t="s">
        <v>72</v>
      </c>
      <c r="B695" t="s">
        <v>13471</v>
      </c>
      <c r="C695" t="s">
        <v>74</v>
      </c>
      <c r="D695" t="s">
        <v>74</v>
      </c>
      <c r="E695" t="s">
        <v>74</v>
      </c>
      <c r="F695" t="s">
        <v>13472</v>
      </c>
      <c r="G695" t="s">
        <v>74</v>
      </c>
      <c r="H695" t="s">
        <v>74</v>
      </c>
      <c r="I695" t="s">
        <v>13473</v>
      </c>
      <c r="J695" t="s">
        <v>1290</v>
      </c>
      <c r="K695" t="s">
        <v>74</v>
      </c>
      <c r="L695" t="s">
        <v>74</v>
      </c>
      <c r="M695" t="s">
        <v>78</v>
      </c>
      <c r="N695" t="s">
        <v>79</v>
      </c>
      <c r="O695" t="s">
        <v>74</v>
      </c>
      <c r="P695" t="s">
        <v>74</v>
      </c>
      <c r="Q695" t="s">
        <v>74</v>
      </c>
      <c r="R695" t="s">
        <v>74</v>
      </c>
      <c r="S695" t="s">
        <v>74</v>
      </c>
      <c r="T695" t="s">
        <v>13474</v>
      </c>
      <c r="U695" t="s">
        <v>13475</v>
      </c>
      <c r="V695" t="s">
        <v>13476</v>
      </c>
      <c r="W695" t="s">
        <v>13477</v>
      </c>
      <c r="X695" t="s">
        <v>13478</v>
      </c>
      <c r="Y695" t="s">
        <v>13479</v>
      </c>
      <c r="Z695" t="s">
        <v>13480</v>
      </c>
      <c r="AA695" t="s">
        <v>13481</v>
      </c>
      <c r="AB695" t="s">
        <v>13482</v>
      </c>
      <c r="AC695" t="s">
        <v>13483</v>
      </c>
      <c r="AD695" t="s">
        <v>13484</v>
      </c>
      <c r="AE695" t="s">
        <v>13485</v>
      </c>
      <c r="AF695" t="s">
        <v>74</v>
      </c>
      <c r="AG695">
        <v>73</v>
      </c>
      <c r="AH695">
        <v>9</v>
      </c>
      <c r="AI695">
        <v>9</v>
      </c>
      <c r="AJ695">
        <v>0</v>
      </c>
      <c r="AK695">
        <v>19</v>
      </c>
      <c r="AL695" t="s">
        <v>120</v>
      </c>
      <c r="AM695" t="s">
        <v>121</v>
      </c>
      <c r="AN695" t="s">
        <v>1304</v>
      </c>
      <c r="AO695" t="s">
        <v>1305</v>
      </c>
      <c r="AP695" t="s">
        <v>1306</v>
      </c>
      <c r="AQ695" t="s">
        <v>74</v>
      </c>
      <c r="AR695" t="s">
        <v>1307</v>
      </c>
      <c r="AS695" t="s">
        <v>1308</v>
      </c>
      <c r="AT695" t="s">
        <v>12379</v>
      </c>
      <c r="AU695">
        <v>2015</v>
      </c>
      <c r="AV695">
        <v>38</v>
      </c>
      <c r="AW695">
        <v>2</v>
      </c>
      <c r="AX695" t="s">
        <v>74</v>
      </c>
      <c r="AY695" t="s">
        <v>74</v>
      </c>
      <c r="AZ695" t="s">
        <v>74</v>
      </c>
      <c r="BA695" t="s">
        <v>74</v>
      </c>
      <c r="BB695">
        <v>231</v>
      </c>
      <c r="BC695">
        <v>249</v>
      </c>
      <c r="BD695" t="s">
        <v>74</v>
      </c>
      <c r="BE695" t="s">
        <v>13486</v>
      </c>
      <c r="BF695" t="str">
        <f>HYPERLINK("http://dx.doi.org/10.1007/s00300-014-1581-z","http://dx.doi.org/10.1007/s00300-014-1581-z")</f>
        <v>http://dx.doi.org/10.1007/s00300-014-1581-z</v>
      </c>
      <c r="BG695" t="s">
        <v>74</v>
      </c>
      <c r="BH695" t="s">
        <v>74</v>
      </c>
      <c r="BI695">
        <v>19</v>
      </c>
      <c r="BJ695" t="s">
        <v>1311</v>
      </c>
      <c r="BK695" t="s">
        <v>100</v>
      </c>
      <c r="BL695" t="s">
        <v>154</v>
      </c>
      <c r="BM695" t="s">
        <v>13436</v>
      </c>
      <c r="BN695" t="s">
        <v>74</v>
      </c>
      <c r="BO695" t="s">
        <v>74</v>
      </c>
      <c r="BP695" t="s">
        <v>74</v>
      </c>
      <c r="BQ695" t="s">
        <v>74</v>
      </c>
      <c r="BR695" t="s">
        <v>104</v>
      </c>
      <c r="BS695" t="s">
        <v>13487</v>
      </c>
      <c r="BT695" t="str">
        <f>HYPERLINK("https%3A%2F%2Fwww.webofscience.com%2Fwos%2Fwoscc%2Ffull-record%2FWOS:000348310200010","View Full Record in Web of Science")</f>
        <v>View Full Record in Web of Science</v>
      </c>
    </row>
    <row r="696" spans="1:72" x14ac:dyDescent="0.15">
      <c r="A696" t="s">
        <v>72</v>
      </c>
      <c r="B696" t="s">
        <v>13488</v>
      </c>
      <c r="C696" t="s">
        <v>74</v>
      </c>
      <c r="D696" t="s">
        <v>74</v>
      </c>
      <c r="E696" t="s">
        <v>74</v>
      </c>
      <c r="F696" t="s">
        <v>13489</v>
      </c>
      <c r="G696" t="s">
        <v>74</v>
      </c>
      <c r="H696" t="s">
        <v>74</v>
      </c>
      <c r="I696" t="s">
        <v>13490</v>
      </c>
      <c r="J696" t="s">
        <v>13491</v>
      </c>
      <c r="K696" t="s">
        <v>74</v>
      </c>
      <c r="L696" t="s">
        <v>74</v>
      </c>
      <c r="M696" t="s">
        <v>78</v>
      </c>
      <c r="N696" t="s">
        <v>79</v>
      </c>
      <c r="O696" t="s">
        <v>74</v>
      </c>
      <c r="P696" t="s">
        <v>74</v>
      </c>
      <c r="Q696" t="s">
        <v>74</v>
      </c>
      <c r="R696" t="s">
        <v>74</v>
      </c>
      <c r="S696" t="s">
        <v>74</v>
      </c>
      <c r="T696" t="s">
        <v>13492</v>
      </c>
      <c r="U696" t="s">
        <v>13493</v>
      </c>
      <c r="V696" t="s">
        <v>13494</v>
      </c>
      <c r="W696" t="s">
        <v>13495</v>
      </c>
      <c r="X696" t="s">
        <v>13496</v>
      </c>
      <c r="Y696" t="s">
        <v>13497</v>
      </c>
      <c r="Z696" t="s">
        <v>13498</v>
      </c>
      <c r="AA696" t="s">
        <v>74</v>
      </c>
      <c r="AB696" t="s">
        <v>13499</v>
      </c>
      <c r="AC696" t="s">
        <v>13500</v>
      </c>
      <c r="AD696" t="s">
        <v>13500</v>
      </c>
      <c r="AE696" t="s">
        <v>13501</v>
      </c>
      <c r="AF696" t="s">
        <v>74</v>
      </c>
      <c r="AG696">
        <v>34</v>
      </c>
      <c r="AH696">
        <v>6</v>
      </c>
      <c r="AI696">
        <v>8</v>
      </c>
      <c r="AJ696">
        <v>1</v>
      </c>
      <c r="AK696">
        <v>50</v>
      </c>
      <c r="AL696" t="s">
        <v>120</v>
      </c>
      <c r="AM696" t="s">
        <v>2560</v>
      </c>
      <c r="AN696" t="s">
        <v>2561</v>
      </c>
      <c r="AO696" t="s">
        <v>13502</v>
      </c>
      <c r="AP696" t="s">
        <v>13503</v>
      </c>
      <c r="AQ696" t="s">
        <v>74</v>
      </c>
      <c r="AR696" t="s">
        <v>13504</v>
      </c>
      <c r="AS696" t="s">
        <v>13505</v>
      </c>
      <c r="AT696" t="s">
        <v>12379</v>
      </c>
      <c r="AU696">
        <v>2015</v>
      </c>
      <c r="AV696">
        <v>17</v>
      </c>
      <c r="AW696">
        <v>2</v>
      </c>
      <c r="AX696" t="s">
        <v>74</v>
      </c>
      <c r="AY696" t="s">
        <v>74</v>
      </c>
      <c r="AZ696" t="s">
        <v>74</v>
      </c>
      <c r="BA696" t="s">
        <v>74</v>
      </c>
      <c r="BB696">
        <v>545</v>
      </c>
      <c r="BC696">
        <v>554</v>
      </c>
      <c r="BD696" t="s">
        <v>74</v>
      </c>
      <c r="BE696" t="s">
        <v>13506</v>
      </c>
      <c r="BF696" t="str">
        <f>HYPERLINK("http://dx.doi.org/10.1007/s10530-014-0766-2","http://dx.doi.org/10.1007/s10530-014-0766-2")</f>
        <v>http://dx.doi.org/10.1007/s10530-014-0766-2</v>
      </c>
      <c r="BG696" t="s">
        <v>74</v>
      </c>
      <c r="BH696" t="s">
        <v>74</v>
      </c>
      <c r="BI696">
        <v>10</v>
      </c>
      <c r="BJ696" t="s">
        <v>1311</v>
      </c>
      <c r="BK696" t="s">
        <v>100</v>
      </c>
      <c r="BL696" t="s">
        <v>154</v>
      </c>
      <c r="BM696" t="s">
        <v>13507</v>
      </c>
      <c r="BN696" t="s">
        <v>74</v>
      </c>
      <c r="BO696" t="s">
        <v>74</v>
      </c>
      <c r="BP696" t="s">
        <v>74</v>
      </c>
      <c r="BQ696" t="s">
        <v>74</v>
      </c>
      <c r="BR696" t="s">
        <v>104</v>
      </c>
      <c r="BS696" t="s">
        <v>13508</v>
      </c>
      <c r="BT696" t="str">
        <f>HYPERLINK("https%3A%2F%2Fwww.webofscience.com%2Fwos%2Fwoscc%2Ffull-record%2FWOS:000348149700003","View Full Record in Web of Science")</f>
        <v>View Full Record in Web of Science</v>
      </c>
    </row>
    <row r="697" spans="1:72" x14ac:dyDescent="0.15">
      <c r="A697" t="s">
        <v>72</v>
      </c>
      <c r="B697" t="s">
        <v>13509</v>
      </c>
      <c r="C697" t="s">
        <v>74</v>
      </c>
      <c r="D697" t="s">
        <v>74</v>
      </c>
      <c r="E697" t="s">
        <v>74</v>
      </c>
      <c r="F697" t="s">
        <v>13510</v>
      </c>
      <c r="G697" t="s">
        <v>74</v>
      </c>
      <c r="H697" t="s">
        <v>74</v>
      </c>
      <c r="I697" t="s">
        <v>13511</v>
      </c>
      <c r="J697" t="s">
        <v>2940</v>
      </c>
      <c r="K697" t="s">
        <v>74</v>
      </c>
      <c r="L697" t="s">
        <v>74</v>
      </c>
      <c r="M697" t="s">
        <v>78</v>
      </c>
      <c r="N697" t="s">
        <v>79</v>
      </c>
      <c r="O697" t="s">
        <v>74</v>
      </c>
      <c r="P697" t="s">
        <v>74</v>
      </c>
      <c r="Q697" t="s">
        <v>74</v>
      </c>
      <c r="R697" t="s">
        <v>74</v>
      </c>
      <c r="S697" t="s">
        <v>74</v>
      </c>
      <c r="T697" t="s">
        <v>13512</v>
      </c>
      <c r="U697" t="s">
        <v>13513</v>
      </c>
      <c r="V697" t="s">
        <v>13514</v>
      </c>
      <c r="W697" t="s">
        <v>13515</v>
      </c>
      <c r="X697" t="s">
        <v>7491</v>
      </c>
      <c r="Y697" t="s">
        <v>13516</v>
      </c>
      <c r="Z697" t="s">
        <v>13517</v>
      </c>
      <c r="AA697" t="s">
        <v>6711</v>
      </c>
      <c r="AB697" t="s">
        <v>13518</v>
      </c>
      <c r="AC697" t="s">
        <v>13519</v>
      </c>
      <c r="AD697" t="s">
        <v>13520</v>
      </c>
      <c r="AE697" t="s">
        <v>13521</v>
      </c>
      <c r="AF697" t="s">
        <v>74</v>
      </c>
      <c r="AG697">
        <v>43</v>
      </c>
      <c r="AH697">
        <v>26</v>
      </c>
      <c r="AI697">
        <v>26</v>
      </c>
      <c r="AJ697">
        <v>0</v>
      </c>
      <c r="AK697">
        <v>32</v>
      </c>
      <c r="AL697" t="s">
        <v>786</v>
      </c>
      <c r="AM697" t="s">
        <v>787</v>
      </c>
      <c r="AN697" t="s">
        <v>788</v>
      </c>
      <c r="AO697" t="s">
        <v>2953</v>
      </c>
      <c r="AP697" t="s">
        <v>2954</v>
      </c>
      <c r="AQ697" t="s">
        <v>74</v>
      </c>
      <c r="AR697" t="s">
        <v>2940</v>
      </c>
      <c r="AS697" t="s">
        <v>2955</v>
      </c>
      <c r="AT697" t="s">
        <v>12379</v>
      </c>
      <c r="AU697">
        <v>2015</v>
      </c>
      <c r="AV697">
        <v>120</v>
      </c>
      <c r="AW697" t="s">
        <v>74</v>
      </c>
      <c r="AX697" t="s">
        <v>74</v>
      </c>
      <c r="AY697" t="s">
        <v>74</v>
      </c>
      <c r="AZ697" t="s">
        <v>74</v>
      </c>
      <c r="BA697" t="s">
        <v>74</v>
      </c>
      <c r="BB697">
        <v>267</v>
      </c>
      <c r="BC697">
        <v>272</v>
      </c>
      <c r="BD697" t="s">
        <v>74</v>
      </c>
      <c r="BE697" t="s">
        <v>13522</v>
      </c>
      <c r="BF697" t="str">
        <f>HYPERLINK("http://dx.doi.org/10.1016/j.chemosphere.2014.07.051","http://dx.doi.org/10.1016/j.chemosphere.2014.07.051")</f>
        <v>http://dx.doi.org/10.1016/j.chemosphere.2014.07.051</v>
      </c>
      <c r="BG697" t="s">
        <v>74</v>
      </c>
      <c r="BH697" t="s">
        <v>74</v>
      </c>
      <c r="BI697">
        <v>6</v>
      </c>
      <c r="BJ697" t="s">
        <v>2957</v>
      </c>
      <c r="BK697" t="s">
        <v>100</v>
      </c>
      <c r="BL697" t="s">
        <v>1048</v>
      </c>
      <c r="BM697" t="s">
        <v>13523</v>
      </c>
      <c r="BN697">
        <v>25128632</v>
      </c>
      <c r="BO697" t="s">
        <v>74</v>
      </c>
      <c r="BP697" t="s">
        <v>74</v>
      </c>
      <c r="BQ697" t="s">
        <v>74</v>
      </c>
      <c r="BR697" t="s">
        <v>104</v>
      </c>
      <c r="BS697" t="s">
        <v>13524</v>
      </c>
      <c r="BT697" t="str">
        <f>HYPERLINK("https%3A%2F%2Fwww.webofscience.com%2Fwos%2Fwoscc%2Ffull-record%2FWOS:000348003200037","View Full Record in Web of Science")</f>
        <v>View Full Record in Web of Science</v>
      </c>
    </row>
    <row r="698" spans="1:72" x14ac:dyDescent="0.15">
      <c r="A698" t="s">
        <v>72</v>
      </c>
      <c r="B698" t="s">
        <v>13525</v>
      </c>
      <c r="C698" t="s">
        <v>74</v>
      </c>
      <c r="D698" t="s">
        <v>74</v>
      </c>
      <c r="E698" t="s">
        <v>74</v>
      </c>
      <c r="F698" t="s">
        <v>13526</v>
      </c>
      <c r="G698" t="s">
        <v>74</v>
      </c>
      <c r="H698" t="s">
        <v>74</v>
      </c>
      <c r="I698" t="s">
        <v>13527</v>
      </c>
      <c r="J698" t="s">
        <v>4231</v>
      </c>
      <c r="K698" t="s">
        <v>74</v>
      </c>
      <c r="L698" t="s">
        <v>74</v>
      </c>
      <c r="M698" t="s">
        <v>78</v>
      </c>
      <c r="N698" t="s">
        <v>79</v>
      </c>
      <c r="O698" t="s">
        <v>74</v>
      </c>
      <c r="P698" t="s">
        <v>74</v>
      </c>
      <c r="Q698" t="s">
        <v>74</v>
      </c>
      <c r="R698" t="s">
        <v>74</v>
      </c>
      <c r="S698" t="s">
        <v>74</v>
      </c>
      <c r="T698" t="s">
        <v>74</v>
      </c>
      <c r="U698" t="s">
        <v>13528</v>
      </c>
      <c r="V698" t="s">
        <v>13529</v>
      </c>
      <c r="W698" t="s">
        <v>13530</v>
      </c>
      <c r="X698" t="s">
        <v>13531</v>
      </c>
      <c r="Y698" t="s">
        <v>13532</v>
      </c>
      <c r="Z698" t="s">
        <v>13533</v>
      </c>
      <c r="AA698" t="s">
        <v>74</v>
      </c>
      <c r="AB698" t="s">
        <v>13534</v>
      </c>
      <c r="AC698" t="s">
        <v>13535</v>
      </c>
      <c r="AD698" t="s">
        <v>13536</v>
      </c>
      <c r="AE698" t="s">
        <v>13537</v>
      </c>
      <c r="AF698" t="s">
        <v>74</v>
      </c>
      <c r="AG698">
        <v>65</v>
      </c>
      <c r="AH698">
        <v>6</v>
      </c>
      <c r="AI698">
        <v>7</v>
      </c>
      <c r="AJ698">
        <v>0</v>
      </c>
      <c r="AK698">
        <v>28</v>
      </c>
      <c r="AL698" t="s">
        <v>1039</v>
      </c>
      <c r="AM698" t="s">
        <v>816</v>
      </c>
      <c r="AN698" t="s">
        <v>1040</v>
      </c>
      <c r="AO698" t="s">
        <v>4244</v>
      </c>
      <c r="AP698" t="s">
        <v>4245</v>
      </c>
      <c r="AQ698" t="s">
        <v>74</v>
      </c>
      <c r="AR698" t="s">
        <v>4231</v>
      </c>
      <c r="AS698" t="s">
        <v>4246</v>
      </c>
      <c r="AT698" t="s">
        <v>12379</v>
      </c>
      <c r="AU698">
        <v>2015</v>
      </c>
      <c r="AV698">
        <v>239</v>
      </c>
      <c r="AW698" t="s">
        <v>74</v>
      </c>
      <c r="AX698" t="s">
        <v>74</v>
      </c>
      <c r="AY698" t="s">
        <v>74</v>
      </c>
      <c r="AZ698" t="s">
        <v>74</v>
      </c>
      <c r="BA698" t="s">
        <v>74</v>
      </c>
      <c r="BB698">
        <v>195</v>
      </c>
      <c r="BC698">
        <v>205</v>
      </c>
      <c r="BD698" t="s">
        <v>74</v>
      </c>
      <c r="BE698" t="s">
        <v>13538</v>
      </c>
      <c r="BF698" t="str">
        <f>HYPERLINK("http://dx.doi.org/10.1016/j.geoderma.2014.10.007","http://dx.doi.org/10.1016/j.geoderma.2014.10.007")</f>
        <v>http://dx.doi.org/10.1016/j.geoderma.2014.10.007</v>
      </c>
      <c r="BG698" t="s">
        <v>74</v>
      </c>
      <c r="BH698" t="s">
        <v>74</v>
      </c>
      <c r="BI698">
        <v>11</v>
      </c>
      <c r="BJ698" t="s">
        <v>4248</v>
      </c>
      <c r="BK698" t="s">
        <v>100</v>
      </c>
      <c r="BL698" t="s">
        <v>4249</v>
      </c>
      <c r="BM698" t="s">
        <v>13539</v>
      </c>
      <c r="BN698" t="s">
        <v>74</v>
      </c>
      <c r="BO698" t="s">
        <v>74</v>
      </c>
      <c r="BP698" t="s">
        <v>74</v>
      </c>
      <c r="BQ698" t="s">
        <v>74</v>
      </c>
      <c r="BR698" t="s">
        <v>104</v>
      </c>
      <c r="BS698" t="s">
        <v>13540</v>
      </c>
      <c r="BT698" t="str">
        <f>HYPERLINK("https%3A%2F%2Fwww.webofscience.com%2Fwos%2Fwoscc%2Ffull-record%2FWOS:000347768000019","View Full Record in Web of Science")</f>
        <v>View Full Record in Web of Science</v>
      </c>
    </row>
    <row r="699" spans="1:72" x14ac:dyDescent="0.15">
      <c r="A699" t="s">
        <v>72</v>
      </c>
      <c r="B699" t="s">
        <v>13541</v>
      </c>
      <c r="C699" t="s">
        <v>74</v>
      </c>
      <c r="D699" t="s">
        <v>74</v>
      </c>
      <c r="E699" t="s">
        <v>74</v>
      </c>
      <c r="F699" t="s">
        <v>13542</v>
      </c>
      <c r="G699" t="s">
        <v>74</v>
      </c>
      <c r="H699" t="s">
        <v>74</v>
      </c>
      <c r="I699" t="s">
        <v>13543</v>
      </c>
      <c r="J699" t="s">
        <v>13544</v>
      </c>
      <c r="K699" t="s">
        <v>74</v>
      </c>
      <c r="L699" t="s">
        <v>74</v>
      </c>
      <c r="M699" t="s">
        <v>78</v>
      </c>
      <c r="N699" t="s">
        <v>79</v>
      </c>
      <c r="O699" t="s">
        <v>74</v>
      </c>
      <c r="P699" t="s">
        <v>74</v>
      </c>
      <c r="Q699" t="s">
        <v>74</v>
      </c>
      <c r="R699" t="s">
        <v>74</v>
      </c>
      <c r="S699" t="s">
        <v>74</v>
      </c>
      <c r="T699" t="s">
        <v>13545</v>
      </c>
      <c r="U699" t="s">
        <v>13546</v>
      </c>
      <c r="V699" t="s">
        <v>13547</v>
      </c>
      <c r="W699" t="s">
        <v>13548</v>
      </c>
      <c r="X699" t="s">
        <v>13549</v>
      </c>
      <c r="Y699" t="s">
        <v>13550</v>
      </c>
      <c r="Z699" t="s">
        <v>13551</v>
      </c>
      <c r="AA699" t="s">
        <v>74</v>
      </c>
      <c r="AB699" t="s">
        <v>13552</v>
      </c>
      <c r="AC699" t="s">
        <v>13553</v>
      </c>
      <c r="AD699" t="s">
        <v>13553</v>
      </c>
      <c r="AE699" t="s">
        <v>13554</v>
      </c>
      <c r="AF699" t="s">
        <v>74</v>
      </c>
      <c r="AG699">
        <v>34</v>
      </c>
      <c r="AH699">
        <v>19</v>
      </c>
      <c r="AI699">
        <v>22</v>
      </c>
      <c r="AJ699">
        <v>7</v>
      </c>
      <c r="AK699">
        <v>63</v>
      </c>
      <c r="AL699" t="s">
        <v>13555</v>
      </c>
      <c r="AM699" t="s">
        <v>13556</v>
      </c>
      <c r="AN699" t="s">
        <v>13557</v>
      </c>
      <c r="AO699" t="s">
        <v>13558</v>
      </c>
      <c r="AP699" t="s">
        <v>13559</v>
      </c>
      <c r="AQ699" t="s">
        <v>74</v>
      </c>
      <c r="AR699" t="s">
        <v>13560</v>
      </c>
      <c r="AS699" t="s">
        <v>13561</v>
      </c>
      <c r="AT699" t="s">
        <v>12379</v>
      </c>
      <c r="AU699">
        <v>2015</v>
      </c>
      <c r="AV699">
        <v>141</v>
      </c>
      <c r="AW699">
        <v>2</v>
      </c>
      <c r="AX699" t="s">
        <v>74</v>
      </c>
      <c r="AY699" t="s">
        <v>74</v>
      </c>
      <c r="AZ699" t="s">
        <v>74</v>
      </c>
      <c r="BA699" t="s">
        <v>74</v>
      </c>
      <c r="BB699" t="s">
        <v>74</v>
      </c>
      <c r="BC699" t="s">
        <v>74</v>
      </c>
      <c r="BD699">
        <v>4014091</v>
      </c>
      <c r="BE699" t="s">
        <v>13562</v>
      </c>
      <c r="BF699" t="str">
        <f>HYPERLINK("http://dx.doi.org/10.1061/(ASCE)GT.1943-5606.0001209","http://dx.doi.org/10.1061/(ASCE)GT.1943-5606.0001209")</f>
        <v>http://dx.doi.org/10.1061/(ASCE)GT.1943-5606.0001209</v>
      </c>
      <c r="BG699" t="s">
        <v>74</v>
      </c>
      <c r="BH699" t="s">
        <v>74</v>
      </c>
      <c r="BI699">
        <v>14</v>
      </c>
      <c r="BJ699" t="s">
        <v>13563</v>
      </c>
      <c r="BK699" t="s">
        <v>100</v>
      </c>
      <c r="BL699" t="s">
        <v>4015</v>
      </c>
      <c r="BM699" t="s">
        <v>13564</v>
      </c>
      <c r="BN699" t="s">
        <v>74</v>
      </c>
      <c r="BO699" t="s">
        <v>74</v>
      </c>
      <c r="BP699" t="s">
        <v>74</v>
      </c>
      <c r="BQ699" t="s">
        <v>74</v>
      </c>
      <c r="BR699" t="s">
        <v>104</v>
      </c>
      <c r="BS699" t="s">
        <v>13565</v>
      </c>
      <c r="BT699" t="str">
        <f>HYPERLINK("https%3A%2F%2Fwww.webofscience.com%2Fwos%2Fwoscc%2Ffull-record%2FWOS:000348032400006","View Full Record in Web of Science")</f>
        <v>View Full Record in Web of Science</v>
      </c>
    </row>
    <row r="700" spans="1:72" x14ac:dyDescent="0.15">
      <c r="A700" t="s">
        <v>72</v>
      </c>
      <c r="B700" t="s">
        <v>13566</v>
      </c>
      <c r="C700" t="s">
        <v>74</v>
      </c>
      <c r="D700" t="s">
        <v>74</v>
      </c>
      <c r="E700" t="s">
        <v>74</v>
      </c>
      <c r="F700" t="s">
        <v>13567</v>
      </c>
      <c r="G700" t="s">
        <v>74</v>
      </c>
      <c r="H700" t="s">
        <v>74</v>
      </c>
      <c r="I700" t="s">
        <v>13568</v>
      </c>
      <c r="J700" t="s">
        <v>13569</v>
      </c>
      <c r="K700" t="s">
        <v>74</v>
      </c>
      <c r="L700" t="s">
        <v>74</v>
      </c>
      <c r="M700" t="s">
        <v>78</v>
      </c>
      <c r="N700" t="s">
        <v>79</v>
      </c>
      <c r="O700" t="s">
        <v>74</v>
      </c>
      <c r="P700" t="s">
        <v>74</v>
      </c>
      <c r="Q700" t="s">
        <v>74</v>
      </c>
      <c r="R700" t="s">
        <v>74</v>
      </c>
      <c r="S700" t="s">
        <v>74</v>
      </c>
      <c r="T700" t="s">
        <v>13570</v>
      </c>
      <c r="U700" t="s">
        <v>13571</v>
      </c>
      <c r="V700" t="s">
        <v>13572</v>
      </c>
      <c r="W700" t="s">
        <v>13573</v>
      </c>
      <c r="X700" t="s">
        <v>13574</v>
      </c>
      <c r="Y700" t="s">
        <v>13575</v>
      </c>
      <c r="Z700" t="s">
        <v>12761</v>
      </c>
      <c r="AA700" t="s">
        <v>13576</v>
      </c>
      <c r="AB700" t="s">
        <v>13577</v>
      </c>
      <c r="AC700" t="s">
        <v>13578</v>
      </c>
      <c r="AD700" t="s">
        <v>13579</v>
      </c>
      <c r="AE700" t="s">
        <v>13580</v>
      </c>
      <c r="AF700" t="s">
        <v>74</v>
      </c>
      <c r="AG700">
        <v>115</v>
      </c>
      <c r="AH700">
        <v>83</v>
      </c>
      <c r="AI700">
        <v>94</v>
      </c>
      <c r="AJ700">
        <v>3</v>
      </c>
      <c r="AK700">
        <v>131</v>
      </c>
      <c r="AL700" t="s">
        <v>1039</v>
      </c>
      <c r="AM700" t="s">
        <v>816</v>
      </c>
      <c r="AN700" t="s">
        <v>1040</v>
      </c>
      <c r="AO700" t="s">
        <v>13581</v>
      </c>
      <c r="AP700" t="s">
        <v>13582</v>
      </c>
      <c r="AQ700" t="s">
        <v>74</v>
      </c>
      <c r="AR700" t="s">
        <v>13583</v>
      </c>
      <c r="AS700" t="s">
        <v>13584</v>
      </c>
      <c r="AT700" t="s">
        <v>13115</v>
      </c>
      <c r="AU700">
        <v>2015</v>
      </c>
      <c r="AV700">
        <v>505</v>
      </c>
      <c r="AW700" t="s">
        <v>74</v>
      </c>
      <c r="AX700" t="s">
        <v>74</v>
      </c>
      <c r="AY700" t="s">
        <v>74</v>
      </c>
      <c r="AZ700" t="s">
        <v>74</v>
      </c>
      <c r="BA700" t="s">
        <v>74</v>
      </c>
      <c r="BB700">
        <v>180</v>
      </c>
      <c r="BC700">
        <v>188</v>
      </c>
      <c r="BD700" t="s">
        <v>74</v>
      </c>
      <c r="BE700" t="s">
        <v>13585</v>
      </c>
      <c r="BF700" t="str">
        <f>HYPERLINK("http://dx.doi.org/10.1016/j.scitotenv.2014.10.008","http://dx.doi.org/10.1016/j.scitotenv.2014.10.008")</f>
        <v>http://dx.doi.org/10.1016/j.scitotenv.2014.10.008</v>
      </c>
      <c r="BG700" t="s">
        <v>74</v>
      </c>
      <c r="BH700" t="s">
        <v>74</v>
      </c>
      <c r="BI700">
        <v>9</v>
      </c>
      <c r="BJ700" t="s">
        <v>2957</v>
      </c>
      <c r="BK700" t="s">
        <v>100</v>
      </c>
      <c r="BL700" t="s">
        <v>1048</v>
      </c>
      <c r="BM700" t="s">
        <v>13586</v>
      </c>
      <c r="BN700">
        <v>25461020</v>
      </c>
      <c r="BO700" t="s">
        <v>248</v>
      </c>
      <c r="BP700" t="s">
        <v>74</v>
      </c>
      <c r="BQ700" t="s">
        <v>74</v>
      </c>
      <c r="BR700" t="s">
        <v>104</v>
      </c>
      <c r="BS700" t="s">
        <v>13587</v>
      </c>
      <c r="BT700" t="str">
        <f>HYPERLINK("https%3A%2F%2Fwww.webofscience.com%2Fwos%2Fwoscc%2Ffull-record%2FWOS:000347654900018","View Full Record in Web of Science")</f>
        <v>View Full Record in Web of Science</v>
      </c>
    </row>
    <row r="701" spans="1:72" x14ac:dyDescent="0.15">
      <c r="A701" t="s">
        <v>72</v>
      </c>
      <c r="B701" t="s">
        <v>13588</v>
      </c>
      <c r="C701" t="s">
        <v>74</v>
      </c>
      <c r="D701" t="s">
        <v>74</v>
      </c>
      <c r="E701" t="s">
        <v>74</v>
      </c>
      <c r="F701" t="s">
        <v>13589</v>
      </c>
      <c r="G701" t="s">
        <v>74</v>
      </c>
      <c r="H701" t="s">
        <v>74</v>
      </c>
      <c r="I701" t="s">
        <v>13590</v>
      </c>
      <c r="J701" t="s">
        <v>13591</v>
      </c>
      <c r="K701" t="s">
        <v>74</v>
      </c>
      <c r="L701" t="s">
        <v>74</v>
      </c>
      <c r="M701" t="s">
        <v>78</v>
      </c>
      <c r="N701" t="s">
        <v>79</v>
      </c>
      <c r="O701" t="s">
        <v>74</v>
      </c>
      <c r="P701" t="s">
        <v>74</v>
      </c>
      <c r="Q701" t="s">
        <v>74</v>
      </c>
      <c r="R701" t="s">
        <v>74</v>
      </c>
      <c r="S701" t="s">
        <v>74</v>
      </c>
      <c r="T701" t="s">
        <v>13592</v>
      </c>
      <c r="U701" t="s">
        <v>13593</v>
      </c>
      <c r="V701" t="s">
        <v>13594</v>
      </c>
      <c r="W701" t="s">
        <v>13595</v>
      </c>
      <c r="X701" t="s">
        <v>1406</v>
      </c>
      <c r="Y701" t="s">
        <v>13596</v>
      </c>
      <c r="Z701" t="s">
        <v>1408</v>
      </c>
      <c r="AA701" t="s">
        <v>74</v>
      </c>
      <c r="AB701" t="s">
        <v>74</v>
      </c>
      <c r="AC701" t="s">
        <v>13597</v>
      </c>
      <c r="AD701" t="s">
        <v>13597</v>
      </c>
      <c r="AE701" t="s">
        <v>13598</v>
      </c>
      <c r="AF701" t="s">
        <v>74</v>
      </c>
      <c r="AG701">
        <v>29</v>
      </c>
      <c r="AH701">
        <v>8</v>
      </c>
      <c r="AI701">
        <v>9</v>
      </c>
      <c r="AJ701">
        <v>5</v>
      </c>
      <c r="AK701">
        <v>75</v>
      </c>
      <c r="AL701" t="s">
        <v>120</v>
      </c>
      <c r="AM701" t="s">
        <v>121</v>
      </c>
      <c r="AN701" t="s">
        <v>122</v>
      </c>
      <c r="AO701" t="s">
        <v>13599</v>
      </c>
      <c r="AP701" t="s">
        <v>13600</v>
      </c>
      <c r="AQ701" t="s">
        <v>74</v>
      </c>
      <c r="AR701" t="s">
        <v>13601</v>
      </c>
      <c r="AS701" t="s">
        <v>13602</v>
      </c>
      <c r="AT701" t="s">
        <v>12379</v>
      </c>
      <c r="AU701">
        <v>2015</v>
      </c>
      <c r="AV701">
        <v>240</v>
      </c>
      <c r="AW701">
        <v>2</v>
      </c>
      <c r="AX701" t="s">
        <v>74</v>
      </c>
      <c r="AY701" t="s">
        <v>74</v>
      </c>
      <c r="AZ701" t="s">
        <v>74</v>
      </c>
      <c r="BA701" t="s">
        <v>74</v>
      </c>
      <c r="BB701">
        <v>295</v>
      </c>
      <c r="BC701">
        <v>299</v>
      </c>
      <c r="BD701" t="s">
        <v>74</v>
      </c>
      <c r="BE701" t="s">
        <v>13603</v>
      </c>
      <c r="BF701" t="str">
        <f>HYPERLINK("http://dx.doi.org/10.1007/s00217-014-2327-4","http://dx.doi.org/10.1007/s00217-014-2327-4")</f>
        <v>http://dx.doi.org/10.1007/s00217-014-2327-4</v>
      </c>
      <c r="BG701" t="s">
        <v>74</v>
      </c>
      <c r="BH701" t="s">
        <v>74</v>
      </c>
      <c r="BI701">
        <v>5</v>
      </c>
      <c r="BJ701" t="s">
        <v>11086</v>
      </c>
      <c r="BK701" t="s">
        <v>100</v>
      </c>
      <c r="BL701" t="s">
        <v>11086</v>
      </c>
      <c r="BM701" t="s">
        <v>13604</v>
      </c>
      <c r="BN701" t="s">
        <v>74</v>
      </c>
      <c r="BO701" t="s">
        <v>74</v>
      </c>
      <c r="BP701" t="s">
        <v>74</v>
      </c>
      <c r="BQ701" t="s">
        <v>74</v>
      </c>
      <c r="BR701" t="s">
        <v>104</v>
      </c>
      <c r="BS701" t="s">
        <v>13605</v>
      </c>
      <c r="BT701" t="str">
        <f>HYPERLINK("https%3A%2F%2Fwww.webofscience.com%2Fwos%2Fwoscc%2Ffull-record%2FWOS:000347824600004","View Full Record in Web of Science")</f>
        <v>View Full Record in Web of Science</v>
      </c>
    </row>
    <row r="702" spans="1:72" x14ac:dyDescent="0.15">
      <c r="A702" t="s">
        <v>72</v>
      </c>
      <c r="B702" t="s">
        <v>13606</v>
      </c>
      <c r="C702" t="s">
        <v>74</v>
      </c>
      <c r="D702" t="s">
        <v>74</v>
      </c>
      <c r="E702" t="s">
        <v>74</v>
      </c>
      <c r="F702" t="s">
        <v>13607</v>
      </c>
      <c r="G702" t="s">
        <v>74</v>
      </c>
      <c r="H702" t="s">
        <v>74</v>
      </c>
      <c r="I702" t="s">
        <v>13608</v>
      </c>
      <c r="J702" t="s">
        <v>2610</v>
      </c>
      <c r="K702" t="s">
        <v>74</v>
      </c>
      <c r="L702" t="s">
        <v>74</v>
      </c>
      <c r="M702" t="s">
        <v>78</v>
      </c>
      <c r="N702" t="s">
        <v>79</v>
      </c>
      <c r="O702" t="s">
        <v>74</v>
      </c>
      <c r="P702" t="s">
        <v>74</v>
      </c>
      <c r="Q702" t="s">
        <v>74</v>
      </c>
      <c r="R702" t="s">
        <v>74</v>
      </c>
      <c r="S702" t="s">
        <v>74</v>
      </c>
      <c r="T702" t="s">
        <v>13609</v>
      </c>
      <c r="U702" t="s">
        <v>13610</v>
      </c>
      <c r="V702" t="s">
        <v>13611</v>
      </c>
      <c r="W702" t="s">
        <v>13612</v>
      </c>
      <c r="X702" t="s">
        <v>13613</v>
      </c>
      <c r="Y702" t="s">
        <v>13614</v>
      </c>
      <c r="Z702" t="s">
        <v>13615</v>
      </c>
      <c r="AA702" t="s">
        <v>13616</v>
      </c>
      <c r="AB702" t="s">
        <v>13617</v>
      </c>
      <c r="AC702" t="s">
        <v>13618</v>
      </c>
      <c r="AD702" t="s">
        <v>13619</v>
      </c>
      <c r="AE702" t="s">
        <v>13620</v>
      </c>
      <c r="AF702" t="s">
        <v>74</v>
      </c>
      <c r="AG702">
        <v>37</v>
      </c>
      <c r="AH702">
        <v>10</v>
      </c>
      <c r="AI702">
        <v>10</v>
      </c>
      <c r="AJ702">
        <v>0</v>
      </c>
      <c r="AK702">
        <v>20</v>
      </c>
      <c r="AL702" t="s">
        <v>1039</v>
      </c>
      <c r="AM702" t="s">
        <v>816</v>
      </c>
      <c r="AN702" t="s">
        <v>1040</v>
      </c>
      <c r="AO702" t="s">
        <v>2617</v>
      </c>
      <c r="AP702" t="s">
        <v>2618</v>
      </c>
      <c r="AQ702" t="s">
        <v>74</v>
      </c>
      <c r="AR702" t="s">
        <v>2619</v>
      </c>
      <c r="AS702" t="s">
        <v>2620</v>
      </c>
      <c r="AT702" t="s">
        <v>12379</v>
      </c>
      <c r="AU702">
        <v>2015</v>
      </c>
      <c r="AV702">
        <v>162</v>
      </c>
      <c r="AW702" t="s">
        <v>74</v>
      </c>
      <c r="AX702" t="s">
        <v>74</v>
      </c>
      <c r="AY702" t="s">
        <v>74</v>
      </c>
      <c r="AZ702" t="s">
        <v>74</v>
      </c>
      <c r="BA702" t="s">
        <v>74</v>
      </c>
      <c r="BB702">
        <v>29</v>
      </c>
      <c r="BC702">
        <v>36</v>
      </c>
      <c r="BD702" t="s">
        <v>74</v>
      </c>
      <c r="BE702" t="s">
        <v>13621</v>
      </c>
      <c r="BF702" t="str">
        <f>HYPERLINK("http://dx.doi.org/10.1016/j.fishres.2014.09.015","http://dx.doi.org/10.1016/j.fishres.2014.09.015")</f>
        <v>http://dx.doi.org/10.1016/j.fishres.2014.09.015</v>
      </c>
      <c r="BG702" t="s">
        <v>74</v>
      </c>
      <c r="BH702" t="s">
        <v>74</v>
      </c>
      <c r="BI702">
        <v>8</v>
      </c>
      <c r="BJ702" t="s">
        <v>2622</v>
      </c>
      <c r="BK702" t="s">
        <v>100</v>
      </c>
      <c r="BL702" t="s">
        <v>2622</v>
      </c>
      <c r="BM702" t="s">
        <v>13622</v>
      </c>
      <c r="BN702" t="s">
        <v>74</v>
      </c>
      <c r="BO702" t="s">
        <v>74</v>
      </c>
      <c r="BP702" t="s">
        <v>74</v>
      </c>
      <c r="BQ702" t="s">
        <v>74</v>
      </c>
      <c r="BR702" t="s">
        <v>104</v>
      </c>
      <c r="BS702" t="s">
        <v>13623</v>
      </c>
      <c r="BT702" t="str">
        <f>HYPERLINK("https%3A%2F%2Fwww.webofscience.com%2Fwos%2Fwoscc%2Ffull-record%2FWOS:000347761700004","View Full Record in Web of Science")</f>
        <v>View Full Record in Web of Science</v>
      </c>
    </row>
    <row r="703" spans="1:72" x14ac:dyDescent="0.15">
      <c r="A703" t="s">
        <v>72</v>
      </c>
      <c r="B703" t="s">
        <v>13624</v>
      </c>
      <c r="C703" t="s">
        <v>74</v>
      </c>
      <c r="D703" t="s">
        <v>74</v>
      </c>
      <c r="E703" t="s">
        <v>74</v>
      </c>
      <c r="F703" t="s">
        <v>13625</v>
      </c>
      <c r="G703" t="s">
        <v>74</v>
      </c>
      <c r="H703" t="s">
        <v>74</v>
      </c>
      <c r="I703" t="s">
        <v>13626</v>
      </c>
      <c r="J703" t="s">
        <v>4206</v>
      </c>
      <c r="K703" t="s">
        <v>74</v>
      </c>
      <c r="L703" t="s">
        <v>74</v>
      </c>
      <c r="M703" t="s">
        <v>78</v>
      </c>
      <c r="N703" t="s">
        <v>79</v>
      </c>
      <c r="O703" t="s">
        <v>74</v>
      </c>
      <c r="P703" t="s">
        <v>74</v>
      </c>
      <c r="Q703" t="s">
        <v>74</v>
      </c>
      <c r="R703" t="s">
        <v>74</v>
      </c>
      <c r="S703" t="s">
        <v>74</v>
      </c>
      <c r="T703" t="s">
        <v>13627</v>
      </c>
      <c r="U703" t="s">
        <v>13628</v>
      </c>
      <c r="V703" t="s">
        <v>13629</v>
      </c>
      <c r="W703" t="s">
        <v>13630</v>
      </c>
      <c r="X703" t="s">
        <v>13631</v>
      </c>
      <c r="Y703" t="s">
        <v>13632</v>
      </c>
      <c r="Z703" t="s">
        <v>13633</v>
      </c>
      <c r="AA703" t="s">
        <v>13634</v>
      </c>
      <c r="AB703" t="s">
        <v>13635</v>
      </c>
      <c r="AC703" t="s">
        <v>13636</v>
      </c>
      <c r="AD703" t="s">
        <v>13637</v>
      </c>
      <c r="AE703" t="s">
        <v>13638</v>
      </c>
      <c r="AF703" t="s">
        <v>74</v>
      </c>
      <c r="AG703">
        <v>106</v>
      </c>
      <c r="AH703">
        <v>33</v>
      </c>
      <c r="AI703">
        <v>34</v>
      </c>
      <c r="AJ703">
        <v>1</v>
      </c>
      <c r="AK703">
        <v>34</v>
      </c>
      <c r="AL703" t="s">
        <v>815</v>
      </c>
      <c r="AM703" t="s">
        <v>816</v>
      </c>
      <c r="AN703" t="s">
        <v>817</v>
      </c>
      <c r="AO703" t="s">
        <v>4219</v>
      </c>
      <c r="AP703" t="s">
        <v>4220</v>
      </c>
      <c r="AQ703" t="s">
        <v>74</v>
      </c>
      <c r="AR703" t="s">
        <v>4221</v>
      </c>
      <c r="AS703" t="s">
        <v>4222</v>
      </c>
      <c r="AT703" t="s">
        <v>12379</v>
      </c>
      <c r="AU703">
        <v>2015</v>
      </c>
      <c r="AV703">
        <v>142</v>
      </c>
      <c r="AW703" t="s">
        <v>74</v>
      </c>
      <c r="AX703" t="s">
        <v>74</v>
      </c>
      <c r="AY703" t="s">
        <v>74</v>
      </c>
      <c r="AZ703" t="s">
        <v>74</v>
      </c>
      <c r="BA703" t="s">
        <v>74</v>
      </c>
      <c r="BB703">
        <v>62</v>
      </c>
      <c r="BC703">
        <v>74</v>
      </c>
      <c r="BD703" t="s">
        <v>74</v>
      </c>
      <c r="BE703" t="s">
        <v>13639</v>
      </c>
      <c r="BF703" t="str">
        <f>HYPERLINK("http://dx.doi.org/10.1016/j.jmarsys.2014.10.002","http://dx.doi.org/10.1016/j.jmarsys.2014.10.002")</f>
        <v>http://dx.doi.org/10.1016/j.jmarsys.2014.10.002</v>
      </c>
      <c r="BG703" t="s">
        <v>74</v>
      </c>
      <c r="BH703" t="s">
        <v>74</v>
      </c>
      <c r="BI703">
        <v>13</v>
      </c>
      <c r="BJ703" t="s">
        <v>4224</v>
      </c>
      <c r="BK703" t="s">
        <v>100</v>
      </c>
      <c r="BL703" t="s">
        <v>4225</v>
      </c>
      <c r="BM703" t="s">
        <v>13640</v>
      </c>
      <c r="BN703" t="s">
        <v>74</v>
      </c>
      <c r="BO703" t="s">
        <v>248</v>
      </c>
      <c r="BP703" t="s">
        <v>74</v>
      </c>
      <c r="BQ703" t="s">
        <v>74</v>
      </c>
      <c r="BR703" t="s">
        <v>104</v>
      </c>
      <c r="BS703" t="s">
        <v>13641</v>
      </c>
      <c r="BT703" t="str">
        <f>HYPERLINK("https%3A%2F%2Fwww.webofscience.com%2Fwos%2Fwoscc%2Ffull-record%2FWOS:000347740300006","View Full Record in Web of Science")</f>
        <v>View Full Record in Web of Science</v>
      </c>
    </row>
    <row r="704" spans="1:72" x14ac:dyDescent="0.15">
      <c r="A704" t="s">
        <v>72</v>
      </c>
      <c r="B704" t="s">
        <v>13642</v>
      </c>
      <c r="C704" t="s">
        <v>74</v>
      </c>
      <c r="D704" t="s">
        <v>74</v>
      </c>
      <c r="E704" t="s">
        <v>74</v>
      </c>
      <c r="F704" t="s">
        <v>13643</v>
      </c>
      <c r="G704" t="s">
        <v>74</v>
      </c>
      <c r="H704" t="s">
        <v>74</v>
      </c>
      <c r="I704" t="s">
        <v>13644</v>
      </c>
      <c r="J704" t="s">
        <v>6435</v>
      </c>
      <c r="K704" t="s">
        <v>74</v>
      </c>
      <c r="L704" t="s">
        <v>74</v>
      </c>
      <c r="M704" t="s">
        <v>78</v>
      </c>
      <c r="N704" t="s">
        <v>1291</v>
      </c>
      <c r="O704" t="s">
        <v>74</v>
      </c>
      <c r="P704" t="s">
        <v>74</v>
      </c>
      <c r="Q704" t="s">
        <v>74</v>
      </c>
      <c r="R704" t="s">
        <v>74</v>
      </c>
      <c r="S704" t="s">
        <v>74</v>
      </c>
      <c r="T704" t="s">
        <v>13645</v>
      </c>
      <c r="U704" t="s">
        <v>13646</v>
      </c>
      <c r="V704" t="s">
        <v>13647</v>
      </c>
      <c r="W704" t="s">
        <v>13648</v>
      </c>
      <c r="X704" t="s">
        <v>13649</v>
      </c>
      <c r="Y704" t="s">
        <v>13650</v>
      </c>
      <c r="Z704" t="s">
        <v>13651</v>
      </c>
      <c r="AA704" t="s">
        <v>13652</v>
      </c>
      <c r="AB704" t="s">
        <v>13653</v>
      </c>
      <c r="AC704" t="s">
        <v>13654</v>
      </c>
      <c r="AD704" t="s">
        <v>13655</v>
      </c>
      <c r="AE704" t="s">
        <v>13656</v>
      </c>
      <c r="AF704" t="s">
        <v>74</v>
      </c>
      <c r="AG704">
        <v>194</v>
      </c>
      <c r="AH704">
        <v>31</v>
      </c>
      <c r="AI704">
        <v>38</v>
      </c>
      <c r="AJ704">
        <v>7</v>
      </c>
      <c r="AK704">
        <v>171</v>
      </c>
      <c r="AL704" t="s">
        <v>2028</v>
      </c>
      <c r="AM704" t="s">
        <v>2029</v>
      </c>
      <c r="AN704" t="s">
        <v>2030</v>
      </c>
      <c r="AO704" t="s">
        <v>6448</v>
      </c>
      <c r="AP704" t="s">
        <v>6449</v>
      </c>
      <c r="AQ704" t="s">
        <v>74</v>
      </c>
      <c r="AR704" t="s">
        <v>6450</v>
      </c>
      <c r="AS704" t="s">
        <v>6451</v>
      </c>
      <c r="AT704" t="s">
        <v>12379</v>
      </c>
      <c r="AU704">
        <v>2015</v>
      </c>
      <c r="AV704">
        <v>32</v>
      </c>
      <c r="AW704">
        <v>2</v>
      </c>
      <c r="AX704" t="s">
        <v>74</v>
      </c>
      <c r="AY704" t="s">
        <v>74</v>
      </c>
      <c r="AZ704" t="s">
        <v>74</v>
      </c>
      <c r="BA704" t="s">
        <v>74</v>
      </c>
      <c r="BB704">
        <v>206</v>
      </c>
      <c r="BC704">
        <v>229</v>
      </c>
      <c r="BD704" t="s">
        <v>74</v>
      </c>
      <c r="BE704" t="s">
        <v>13657</v>
      </c>
      <c r="BF704" t="str">
        <f>HYPERLINK("http://dx.doi.org/10.1007/s00376-014-0015-8","http://dx.doi.org/10.1007/s00376-014-0015-8")</f>
        <v>http://dx.doi.org/10.1007/s00376-014-0015-8</v>
      </c>
      <c r="BG704" t="s">
        <v>74</v>
      </c>
      <c r="BH704" t="s">
        <v>74</v>
      </c>
      <c r="BI704">
        <v>24</v>
      </c>
      <c r="BJ704" t="s">
        <v>406</v>
      </c>
      <c r="BK704" t="s">
        <v>100</v>
      </c>
      <c r="BL704" t="s">
        <v>406</v>
      </c>
      <c r="BM704" t="s">
        <v>13658</v>
      </c>
      <c r="BN704" t="s">
        <v>74</v>
      </c>
      <c r="BO704" t="s">
        <v>74</v>
      </c>
      <c r="BP704" t="s">
        <v>74</v>
      </c>
      <c r="BQ704" t="s">
        <v>74</v>
      </c>
      <c r="BR704" t="s">
        <v>104</v>
      </c>
      <c r="BS704" t="s">
        <v>13659</v>
      </c>
      <c r="BT704" t="str">
        <f>HYPERLINK("https%3A%2F%2Fwww.webofscience.com%2Fwos%2Fwoscc%2Ffull-record%2FWOS:000347284900004","View Full Record in Web of Science")</f>
        <v>View Full Record in Web of Science</v>
      </c>
    </row>
    <row r="705" spans="1:72" x14ac:dyDescent="0.15">
      <c r="A705" t="s">
        <v>72</v>
      </c>
      <c r="B705" t="s">
        <v>13660</v>
      </c>
      <c r="C705" t="s">
        <v>74</v>
      </c>
      <c r="D705" t="s">
        <v>74</v>
      </c>
      <c r="E705" t="s">
        <v>74</v>
      </c>
      <c r="F705" t="s">
        <v>13661</v>
      </c>
      <c r="G705" t="s">
        <v>74</v>
      </c>
      <c r="H705" t="s">
        <v>74</v>
      </c>
      <c r="I705" t="s">
        <v>13662</v>
      </c>
      <c r="J705" t="s">
        <v>6435</v>
      </c>
      <c r="K705" t="s">
        <v>74</v>
      </c>
      <c r="L705" t="s">
        <v>74</v>
      </c>
      <c r="M705" t="s">
        <v>78</v>
      </c>
      <c r="N705" t="s">
        <v>1291</v>
      </c>
      <c r="O705" t="s">
        <v>74</v>
      </c>
      <c r="P705" t="s">
        <v>74</v>
      </c>
      <c r="Q705" t="s">
        <v>74</v>
      </c>
      <c r="R705" t="s">
        <v>74</v>
      </c>
      <c r="S705" t="s">
        <v>74</v>
      </c>
      <c r="T705" t="s">
        <v>13663</v>
      </c>
      <c r="U705" t="s">
        <v>13664</v>
      </c>
      <c r="V705" t="s">
        <v>13665</v>
      </c>
      <c r="W705" t="s">
        <v>13666</v>
      </c>
      <c r="X705" t="s">
        <v>13667</v>
      </c>
      <c r="Y705" t="s">
        <v>13668</v>
      </c>
      <c r="Z705" t="s">
        <v>13669</v>
      </c>
      <c r="AA705" t="s">
        <v>13670</v>
      </c>
      <c r="AB705" t="s">
        <v>13671</v>
      </c>
      <c r="AC705" t="s">
        <v>13672</v>
      </c>
      <c r="AD705" t="s">
        <v>2824</v>
      </c>
      <c r="AE705" t="s">
        <v>13673</v>
      </c>
      <c r="AF705" t="s">
        <v>74</v>
      </c>
      <c r="AG705">
        <v>205</v>
      </c>
      <c r="AH705">
        <v>51</v>
      </c>
      <c r="AI705">
        <v>68</v>
      </c>
      <c r="AJ705">
        <v>9</v>
      </c>
      <c r="AK705">
        <v>165</v>
      </c>
      <c r="AL705" t="s">
        <v>2028</v>
      </c>
      <c r="AM705" t="s">
        <v>2029</v>
      </c>
      <c r="AN705" t="s">
        <v>2030</v>
      </c>
      <c r="AO705" t="s">
        <v>6448</v>
      </c>
      <c r="AP705" t="s">
        <v>6449</v>
      </c>
      <c r="AQ705" t="s">
        <v>74</v>
      </c>
      <c r="AR705" t="s">
        <v>6450</v>
      </c>
      <c r="AS705" t="s">
        <v>6451</v>
      </c>
      <c r="AT705" t="s">
        <v>12379</v>
      </c>
      <c r="AU705">
        <v>2015</v>
      </c>
      <c r="AV705">
        <v>32</v>
      </c>
      <c r="AW705">
        <v>2</v>
      </c>
      <c r="AX705" t="s">
        <v>74</v>
      </c>
      <c r="AY705" t="s">
        <v>74</v>
      </c>
      <c r="AZ705" t="s">
        <v>74</v>
      </c>
      <c r="BA705" t="s">
        <v>74</v>
      </c>
      <c r="BB705">
        <v>149</v>
      </c>
      <c r="BC705">
        <v>168</v>
      </c>
      <c r="BD705" t="s">
        <v>74</v>
      </c>
      <c r="BE705" t="s">
        <v>13674</v>
      </c>
      <c r="BF705" t="str">
        <f>HYPERLINK("http://dx.doi.org/10.1007/s00376-014-0016-7","http://dx.doi.org/10.1007/s00376-014-0016-7")</f>
        <v>http://dx.doi.org/10.1007/s00376-014-0016-7</v>
      </c>
      <c r="BG705" t="s">
        <v>74</v>
      </c>
      <c r="BH705" t="s">
        <v>74</v>
      </c>
      <c r="BI705">
        <v>20</v>
      </c>
      <c r="BJ705" t="s">
        <v>406</v>
      </c>
      <c r="BK705" t="s">
        <v>100</v>
      </c>
      <c r="BL705" t="s">
        <v>406</v>
      </c>
      <c r="BM705" t="s">
        <v>13658</v>
      </c>
      <c r="BN705" t="s">
        <v>74</v>
      </c>
      <c r="BO705" t="s">
        <v>74</v>
      </c>
      <c r="BP705" t="s">
        <v>74</v>
      </c>
      <c r="BQ705" t="s">
        <v>74</v>
      </c>
      <c r="BR705" t="s">
        <v>104</v>
      </c>
      <c r="BS705" t="s">
        <v>13675</v>
      </c>
      <c r="BT705" t="str">
        <f>HYPERLINK("https%3A%2F%2Fwww.webofscience.com%2Fwos%2Fwoscc%2Ffull-record%2FWOS:000347284900001","View Full Record in Web of Science")</f>
        <v>View Full Record in Web of Science</v>
      </c>
    </row>
    <row r="706" spans="1:72" x14ac:dyDescent="0.15">
      <c r="A706" t="s">
        <v>72</v>
      </c>
      <c r="B706" t="s">
        <v>13676</v>
      </c>
      <c r="C706" t="s">
        <v>74</v>
      </c>
      <c r="D706" t="s">
        <v>74</v>
      </c>
      <c r="E706" t="s">
        <v>74</v>
      </c>
      <c r="F706" t="s">
        <v>13677</v>
      </c>
      <c r="G706" t="s">
        <v>74</v>
      </c>
      <c r="H706" t="s">
        <v>74</v>
      </c>
      <c r="I706" t="s">
        <v>13678</v>
      </c>
      <c r="J706" t="s">
        <v>6524</v>
      </c>
      <c r="K706" t="s">
        <v>74</v>
      </c>
      <c r="L706" t="s">
        <v>74</v>
      </c>
      <c r="M706" t="s">
        <v>78</v>
      </c>
      <c r="N706" t="s">
        <v>2805</v>
      </c>
      <c r="O706" t="s">
        <v>74</v>
      </c>
      <c r="P706" t="s">
        <v>74</v>
      </c>
      <c r="Q706" t="s">
        <v>74</v>
      </c>
      <c r="R706" t="s">
        <v>74</v>
      </c>
      <c r="S706" t="s">
        <v>74</v>
      </c>
      <c r="T706" t="s">
        <v>74</v>
      </c>
      <c r="U706" t="s">
        <v>74</v>
      </c>
      <c r="V706" t="s">
        <v>74</v>
      </c>
      <c r="W706" t="s">
        <v>74</v>
      </c>
      <c r="X706" t="s">
        <v>74</v>
      </c>
      <c r="Y706" t="s">
        <v>74</v>
      </c>
      <c r="Z706" t="s">
        <v>74</v>
      </c>
      <c r="AA706" t="s">
        <v>13679</v>
      </c>
      <c r="AB706" t="s">
        <v>74</v>
      </c>
      <c r="AC706" t="s">
        <v>4291</v>
      </c>
      <c r="AD706" t="s">
        <v>713</v>
      </c>
      <c r="AE706" t="s">
        <v>74</v>
      </c>
      <c r="AF706" t="s">
        <v>74</v>
      </c>
      <c r="AG706">
        <v>0</v>
      </c>
      <c r="AH706">
        <v>1</v>
      </c>
      <c r="AI706">
        <v>1</v>
      </c>
      <c r="AJ706">
        <v>0</v>
      </c>
      <c r="AK706">
        <v>3</v>
      </c>
      <c r="AL706" t="s">
        <v>2167</v>
      </c>
      <c r="AM706" t="s">
        <v>121</v>
      </c>
      <c r="AN706" t="s">
        <v>5926</v>
      </c>
      <c r="AO706" t="s">
        <v>6537</v>
      </c>
      <c r="AP706" t="s">
        <v>6538</v>
      </c>
      <c r="AQ706" t="s">
        <v>74</v>
      </c>
      <c r="AR706" t="s">
        <v>6539</v>
      </c>
      <c r="AS706" t="s">
        <v>6540</v>
      </c>
      <c r="AT706" t="s">
        <v>12379</v>
      </c>
      <c r="AU706">
        <v>2015</v>
      </c>
      <c r="AV706">
        <v>27</v>
      </c>
      <c r="AW706">
        <v>1</v>
      </c>
      <c r="AX706" t="s">
        <v>74</v>
      </c>
      <c r="AY706" t="s">
        <v>74</v>
      </c>
      <c r="AZ706" t="s">
        <v>74</v>
      </c>
      <c r="BA706" t="s">
        <v>74</v>
      </c>
      <c r="BB706">
        <v>1</v>
      </c>
      <c r="BC706">
        <v>1</v>
      </c>
      <c r="BD706" t="s">
        <v>74</v>
      </c>
      <c r="BE706" t="s">
        <v>13680</v>
      </c>
      <c r="BF706" t="str">
        <f>HYPERLINK("http://dx.doi.org/10.1017/S0954102014000844","http://dx.doi.org/10.1017/S0954102014000844")</f>
        <v>http://dx.doi.org/10.1017/S0954102014000844</v>
      </c>
      <c r="BG706" t="s">
        <v>74</v>
      </c>
      <c r="BH706" t="s">
        <v>74</v>
      </c>
      <c r="BI706">
        <v>1</v>
      </c>
      <c r="BJ706" t="s">
        <v>6542</v>
      </c>
      <c r="BK706" t="s">
        <v>100</v>
      </c>
      <c r="BL706" t="s">
        <v>6543</v>
      </c>
      <c r="BM706" t="s">
        <v>12564</v>
      </c>
      <c r="BN706" t="s">
        <v>74</v>
      </c>
      <c r="BO706" t="s">
        <v>2201</v>
      </c>
      <c r="BP706" t="s">
        <v>74</v>
      </c>
      <c r="BQ706" t="s">
        <v>74</v>
      </c>
      <c r="BR706" t="s">
        <v>104</v>
      </c>
      <c r="BS706" t="s">
        <v>13681</v>
      </c>
      <c r="BT706" t="str">
        <f>HYPERLINK("https%3A%2F%2Fwww.webofscience.com%2Fwos%2Fwoscc%2Ffull-record%2FWOS:000351294900001","View Full Record in Web of Science")</f>
        <v>View Full Record in Web of Science</v>
      </c>
    </row>
    <row r="707" spans="1:72" x14ac:dyDescent="0.15">
      <c r="A707" t="s">
        <v>72</v>
      </c>
      <c r="B707" t="s">
        <v>13682</v>
      </c>
      <c r="C707" t="s">
        <v>74</v>
      </c>
      <c r="D707" t="s">
        <v>74</v>
      </c>
      <c r="E707" t="s">
        <v>74</v>
      </c>
      <c r="F707" t="s">
        <v>13683</v>
      </c>
      <c r="G707" t="s">
        <v>74</v>
      </c>
      <c r="H707" t="s">
        <v>74</v>
      </c>
      <c r="I707" t="s">
        <v>13684</v>
      </c>
      <c r="J707" t="s">
        <v>6524</v>
      </c>
      <c r="K707" t="s">
        <v>74</v>
      </c>
      <c r="L707" t="s">
        <v>74</v>
      </c>
      <c r="M707" t="s">
        <v>78</v>
      </c>
      <c r="N707" t="s">
        <v>79</v>
      </c>
      <c r="O707" t="s">
        <v>74</v>
      </c>
      <c r="P707" t="s">
        <v>74</v>
      </c>
      <c r="Q707" t="s">
        <v>74</v>
      </c>
      <c r="R707" t="s">
        <v>74</v>
      </c>
      <c r="S707" t="s">
        <v>74</v>
      </c>
      <c r="T707" t="s">
        <v>13685</v>
      </c>
      <c r="U707" t="s">
        <v>13686</v>
      </c>
      <c r="V707" t="s">
        <v>13687</v>
      </c>
      <c r="W707" t="s">
        <v>13688</v>
      </c>
      <c r="X707" t="s">
        <v>13689</v>
      </c>
      <c r="Y707" t="s">
        <v>13690</v>
      </c>
      <c r="Z707" t="s">
        <v>13691</v>
      </c>
      <c r="AA707" t="s">
        <v>13692</v>
      </c>
      <c r="AB707" t="s">
        <v>13693</v>
      </c>
      <c r="AC707" t="s">
        <v>13694</v>
      </c>
      <c r="AD707" t="s">
        <v>13695</v>
      </c>
      <c r="AE707" t="s">
        <v>13696</v>
      </c>
      <c r="AF707" t="s">
        <v>74</v>
      </c>
      <c r="AG707">
        <v>108</v>
      </c>
      <c r="AH707">
        <v>127</v>
      </c>
      <c r="AI707">
        <v>136</v>
      </c>
      <c r="AJ707">
        <v>4</v>
      </c>
      <c r="AK707">
        <v>125</v>
      </c>
      <c r="AL707" t="s">
        <v>2167</v>
      </c>
      <c r="AM707" t="s">
        <v>121</v>
      </c>
      <c r="AN707" t="s">
        <v>5926</v>
      </c>
      <c r="AO707" t="s">
        <v>6537</v>
      </c>
      <c r="AP707" t="s">
        <v>6538</v>
      </c>
      <c r="AQ707" t="s">
        <v>74</v>
      </c>
      <c r="AR707" t="s">
        <v>6539</v>
      </c>
      <c r="AS707" t="s">
        <v>6540</v>
      </c>
      <c r="AT707" t="s">
        <v>12379</v>
      </c>
      <c r="AU707">
        <v>2015</v>
      </c>
      <c r="AV707">
        <v>27</v>
      </c>
      <c r="AW707">
        <v>1</v>
      </c>
      <c r="AX707" t="s">
        <v>74</v>
      </c>
      <c r="AY707" t="s">
        <v>74</v>
      </c>
      <c r="AZ707" t="s">
        <v>74</v>
      </c>
      <c r="BA707" t="s">
        <v>74</v>
      </c>
      <c r="BB707">
        <v>3</v>
      </c>
      <c r="BC707">
        <v>18</v>
      </c>
      <c r="BD707" t="s">
        <v>74</v>
      </c>
      <c r="BE707" t="s">
        <v>13697</v>
      </c>
      <c r="BF707" t="str">
        <f>HYPERLINK("http://dx.doi.org/10.1017/S0954102014000674","http://dx.doi.org/10.1017/S0954102014000674")</f>
        <v>http://dx.doi.org/10.1017/S0954102014000674</v>
      </c>
      <c r="BG707" t="s">
        <v>74</v>
      </c>
      <c r="BH707" t="s">
        <v>74</v>
      </c>
      <c r="BI707">
        <v>16</v>
      </c>
      <c r="BJ707" t="s">
        <v>6542</v>
      </c>
      <c r="BK707" t="s">
        <v>100</v>
      </c>
      <c r="BL707" t="s">
        <v>6543</v>
      </c>
      <c r="BM707" t="s">
        <v>12564</v>
      </c>
      <c r="BN707" t="s">
        <v>74</v>
      </c>
      <c r="BO707" t="s">
        <v>13698</v>
      </c>
      <c r="BP707" t="s">
        <v>74</v>
      </c>
      <c r="BQ707" t="s">
        <v>74</v>
      </c>
      <c r="BR707" t="s">
        <v>104</v>
      </c>
      <c r="BS707" t="s">
        <v>13699</v>
      </c>
      <c r="BT707" t="str">
        <f>HYPERLINK("https%3A%2F%2Fwww.webofscience.com%2Fwos%2Fwoscc%2Ffull-record%2FWOS:000351294900003","View Full Record in Web of Science")</f>
        <v>View Full Record in Web of Science</v>
      </c>
    </row>
    <row r="708" spans="1:72" x14ac:dyDescent="0.15">
      <c r="A708" t="s">
        <v>72</v>
      </c>
      <c r="B708" t="s">
        <v>13700</v>
      </c>
      <c r="C708" t="s">
        <v>74</v>
      </c>
      <c r="D708" t="s">
        <v>74</v>
      </c>
      <c r="E708" t="s">
        <v>74</v>
      </c>
      <c r="F708" t="s">
        <v>13701</v>
      </c>
      <c r="G708" t="s">
        <v>74</v>
      </c>
      <c r="H708" t="s">
        <v>74</v>
      </c>
      <c r="I708" t="s">
        <v>13702</v>
      </c>
      <c r="J708" t="s">
        <v>6524</v>
      </c>
      <c r="K708" t="s">
        <v>74</v>
      </c>
      <c r="L708" t="s">
        <v>74</v>
      </c>
      <c r="M708" t="s">
        <v>78</v>
      </c>
      <c r="N708" t="s">
        <v>79</v>
      </c>
      <c r="O708" t="s">
        <v>74</v>
      </c>
      <c r="P708" t="s">
        <v>74</v>
      </c>
      <c r="Q708" t="s">
        <v>74</v>
      </c>
      <c r="R708" t="s">
        <v>74</v>
      </c>
      <c r="S708" t="s">
        <v>74</v>
      </c>
      <c r="T708" t="s">
        <v>13703</v>
      </c>
      <c r="U708" t="s">
        <v>13704</v>
      </c>
      <c r="V708" t="s">
        <v>13705</v>
      </c>
      <c r="W708" t="s">
        <v>13706</v>
      </c>
      <c r="X708" t="s">
        <v>13707</v>
      </c>
      <c r="Y708" t="s">
        <v>10332</v>
      </c>
      <c r="Z708" t="s">
        <v>10333</v>
      </c>
      <c r="AA708" t="s">
        <v>13708</v>
      </c>
      <c r="AB708" t="s">
        <v>13709</v>
      </c>
      <c r="AC708" t="s">
        <v>13710</v>
      </c>
      <c r="AD708" t="s">
        <v>13711</v>
      </c>
      <c r="AE708" t="s">
        <v>13712</v>
      </c>
      <c r="AF708" t="s">
        <v>74</v>
      </c>
      <c r="AG708">
        <v>40</v>
      </c>
      <c r="AH708">
        <v>21</v>
      </c>
      <c r="AI708">
        <v>21</v>
      </c>
      <c r="AJ708">
        <v>0</v>
      </c>
      <c r="AK708">
        <v>5</v>
      </c>
      <c r="AL708" t="s">
        <v>2167</v>
      </c>
      <c r="AM708" t="s">
        <v>121</v>
      </c>
      <c r="AN708" t="s">
        <v>5926</v>
      </c>
      <c r="AO708" t="s">
        <v>6537</v>
      </c>
      <c r="AP708" t="s">
        <v>6538</v>
      </c>
      <c r="AQ708" t="s">
        <v>74</v>
      </c>
      <c r="AR708" t="s">
        <v>6539</v>
      </c>
      <c r="AS708" t="s">
        <v>6540</v>
      </c>
      <c r="AT708" t="s">
        <v>12379</v>
      </c>
      <c r="AU708">
        <v>2015</v>
      </c>
      <c r="AV708">
        <v>27</v>
      </c>
      <c r="AW708">
        <v>1</v>
      </c>
      <c r="AX708" t="s">
        <v>74</v>
      </c>
      <c r="AY708" t="s">
        <v>74</v>
      </c>
      <c r="AZ708" t="s">
        <v>74</v>
      </c>
      <c r="BA708" t="s">
        <v>74</v>
      </c>
      <c r="BB708">
        <v>19</v>
      </c>
      <c r="BC708">
        <v>30</v>
      </c>
      <c r="BD708" t="s">
        <v>74</v>
      </c>
      <c r="BE708" t="s">
        <v>13713</v>
      </c>
      <c r="BF708" t="str">
        <f>HYPERLINK("http://dx.doi.org/10.1017/S0954102014000303","http://dx.doi.org/10.1017/S0954102014000303")</f>
        <v>http://dx.doi.org/10.1017/S0954102014000303</v>
      </c>
      <c r="BG708" t="s">
        <v>74</v>
      </c>
      <c r="BH708" t="s">
        <v>74</v>
      </c>
      <c r="BI708">
        <v>12</v>
      </c>
      <c r="BJ708" t="s">
        <v>6542</v>
      </c>
      <c r="BK708" t="s">
        <v>100</v>
      </c>
      <c r="BL708" t="s">
        <v>6543</v>
      </c>
      <c r="BM708" t="s">
        <v>12564</v>
      </c>
      <c r="BN708" t="s">
        <v>74</v>
      </c>
      <c r="BO708" t="s">
        <v>74</v>
      </c>
      <c r="BP708" t="s">
        <v>74</v>
      </c>
      <c r="BQ708" t="s">
        <v>74</v>
      </c>
      <c r="BR708" t="s">
        <v>104</v>
      </c>
      <c r="BS708" t="s">
        <v>13714</v>
      </c>
      <c r="BT708" t="str">
        <f>HYPERLINK("https%3A%2F%2Fwww.webofscience.com%2Fwos%2Fwoscc%2Ffull-record%2FWOS:000351294900004","View Full Record in Web of Science")</f>
        <v>View Full Record in Web of Science</v>
      </c>
    </row>
    <row r="709" spans="1:72" x14ac:dyDescent="0.15">
      <c r="A709" t="s">
        <v>72</v>
      </c>
      <c r="B709" t="s">
        <v>13715</v>
      </c>
      <c r="C709" t="s">
        <v>74</v>
      </c>
      <c r="D709" t="s">
        <v>74</v>
      </c>
      <c r="E709" t="s">
        <v>74</v>
      </c>
      <c r="F709" t="s">
        <v>13716</v>
      </c>
      <c r="G709" t="s">
        <v>74</v>
      </c>
      <c r="H709" t="s">
        <v>74</v>
      </c>
      <c r="I709" t="s">
        <v>13717</v>
      </c>
      <c r="J709" t="s">
        <v>6524</v>
      </c>
      <c r="K709" t="s">
        <v>74</v>
      </c>
      <c r="L709" t="s">
        <v>74</v>
      </c>
      <c r="M709" t="s">
        <v>78</v>
      </c>
      <c r="N709" t="s">
        <v>79</v>
      </c>
      <c r="O709" t="s">
        <v>74</v>
      </c>
      <c r="P709" t="s">
        <v>74</v>
      </c>
      <c r="Q709" t="s">
        <v>74</v>
      </c>
      <c r="R709" t="s">
        <v>74</v>
      </c>
      <c r="S709" t="s">
        <v>74</v>
      </c>
      <c r="T709" t="s">
        <v>13718</v>
      </c>
      <c r="U709" t="s">
        <v>13719</v>
      </c>
      <c r="V709" t="s">
        <v>13720</v>
      </c>
      <c r="W709" t="s">
        <v>13721</v>
      </c>
      <c r="X709" t="s">
        <v>13722</v>
      </c>
      <c r="Y709" t="s">
        <v>13723</v>
      </c>
      <c r="Z709" t="s">
        <v>13464</v>
      </c>
      <c r="AA709" t="s">
        <v>13724</v>
      </c>
      <c r="AB709" t="s">
        <v>13725</v>
      </c>
      <c r="AC709" t="s">
        <v>13726</v>
      </c>
      <c r="AD709" t="s">
        <v>13727</v>
      </c>
      <c r="AE709" t="s">
        <v>13728</v>
      </c>
      <c r="AF709" t="s">
        <v>74</v>
      </c>
      <c r="AG709">
        <v>40</v>
      </c>
      <c r="AH709">
        <v>11</v>
      </c>
      <c r="AI709">
        <v>11</v>
      </c>
      <c r="AJ709">
        <v>0</v>
      </c>
      <c r="AK709">
        <v>16</v>
      </c>
      <c r="AL709" t="s">
        <v>2167</v>
      </c>
      <c r="AM709" t="s">
        <v>121</v>
      </c>
      <c r="AN709" t="s">
        <v>5926</v>
      </c>
      <c r="AO709" t="s">
        <v>6537</v>
      </c>
      <c r="AP709" t="s">
        <v>6538</v>
      </c>
      <c r="AQ709" t="s">
        <v>74</v>
      </c>
      <c r="AR709" t="s">
        <v>6539</v>
      </c>
      <c r="AS709" t="s">
        <v>6540</v>
      </c>
      <c r="AT709" t="s">
        <v>12379</v>
      </c>
      <c r="AU709">
        <v>2015</v>
      </c>
      <c r="AV709">
        <v>27</v>
      </c>
      <c r="AW709">
        <v>1</v>
      </c>
      <c r="AX709" t="s">
        <v>74</v>
      </c>
      <c r="AY709" t="s">
        <v>74</v>
      </c>
      <c r="AZ709" t="s">
        <v>74</v>
      </c>
      <c r="BA709" t="s">
        <v>74</v>
      </c>
      <c r="BB709">
        <v>44</v>
      </c>
      <c r="BC709">
        <v>56</v>
      </c>
      <c r="BD709" t="s">
        <v>74</v>
      </c>
      <c r="BE709" t="s">
        <v>13729</v>
      </c>
      <c r="BF709" t="str">
        <f>HYPERLINK("http://dx.doi.org/10.1017/S0954102014000327","http://dx.doi.org/10.1017/S0954102014000327")</f>
        <v>http://dx.doi.org/10.1017/S0954102014000327</v>
      </c>
      <c r="BG709" t="s">
        <v>74</v>
      </c>
      <c r="BH709" t="s">
        <v>74</v>
      </c>
      <c r="BI709">
        <v>13</v>
      </c>
      <c r="BJ709" t="s">
        <v>6542</v>
      </c>
      <c r="BK709" t="s">
        <v>100</v>
      </c>
      <c r="BL709" t="s">
        <v>6543</v>
      </c>
      <c r="BM709" t="s">
        <v>12564</v>
      </c>
      <c r="BN709" t="s">
        <v>74</v>
      </c>
      <c r="BO709" t="s">
        <v>74</v>
      </c>
      <c r="BP709" t="s">
        <v>74</v>
      </c>
      <c r="BQ709" t="s">
        <v>74</v>
      </c>
      <c r="BR709" t="s">
        <v>104</v>
      </c>
      <c r="BS709" t="s">
        <v>13730</v>
      </c>
      <c r="BT709" t="str">
        <f>HYPERLINK("https%3A%2F%2Fwww.webofscience.com%2Fwos%2Fwoscc%2Ffull-record%2FWOS:000351294900006","View Full Record in Web of Science")</f>
        <v>View Full Record in Web of Science</v>
      </c>
    </row>
    <row r="710" spans="1:72" x14ac:dyDescent="0.15">
      <c r="A710" t="s">
        <v>72</v>
      </c>
      <c r="B710" t="s">
        <v>13731</v>
      </c>
      <c r="C710" t="s">
        <v>74</v>
      </c>
      <c r="D710" t="s">
        <v>74</v>
      </c>
      <c r="E710" t="s">
        <v>74</v>
      </c>
      <c r="F710" t="s">
        <v>13732</v>
      </c>
      <c r="G710" t="s">
        <v>74</v>
      </c>
      <c r="H710" t="s">
        <v>74</v>
      </c>
      <c r="I710" t="s">
        <v>13733</v>
      </c>
      <c r="J710" t="s">
        <v>6524</v>
      </c>
      <c r="K710" t="s">
        <v>74</v>
      </c>
      <c r="L710" t="s">
        <v>74</v>
      </c>
      <c r="M710" t="s">
        <v>78</v>
      </c>
      <c r="N710" t="s">
        <v>79</v>
      </c>
      <c r="O710" t="s">
        <v>74</v>
      </c>
      <c r="P710" t="s">
        <v>74</v>
      </c>
      <c r="Q710" t="s">
        <v>74</v>
      </c>
      <c r="R710" t="s">
        <v>74</v>
      </c>
      <c r="S710" t="s">
        <v>74</v>
      </c>
      <c r="T710" t="s">
        <v>13734</v>
      </c>
      <c r="U710" t="s">
        <v>13735</v>
      </c>
      <c r="V710" t="s">
        <v>13736</v>
      </c>
      <c r="W710" t="s">
        <v>13737</v>
      </c>
      <c r="X710" t="s">
        <v>13738</v>
      </c>
      <c r="Y710" t="s">
        <v>13739</v>
      </c>
      <c r="Z710" t="s">
        <v>13740</v>
      </c>
      <c r="AA710" t="s">
        <v>13741</v>
      </c>
      <c r="AB710" t="s">
        <v>13742</v>
      </c>
      <c r="AC710" t="s">
        <v>13743</v>
      </c>
      <c r="AD710" t="s">
        <v>13744</v>
      </c>
      <c r="AE710" t="s">
        <v>13745</v>
      </c>
      <c r="AF710" t="s">
        <v>74</v>
      </c>
      <c r="AG710">
        <v>39</v>
      </c>
      <c r="AH710">
        <v>2</v>
      </c>
      <c r="AI710">
        <v>2</v>
      </c>
      <c r="AJ710">
        <v>0</v>
      </c>
      <c r="AK710">
        <v>12</v>
      </c>
      <c r="AL710" t="s">
        <v>2167</v>
      </c>
      <c r="AM710" t="s">
        <v>121</v>
      </c>
      <c r="AN710" t="s">
        <v>5926</v>
      </c>
      <c r="AO710" t="s">
        <v>6537</v>
      </c>
      <c r="AP710" t="s">
        <v>6538</v>
      </c>
      <c r="AQ710" t="s">
        <v>74</v>
      </c>
      <c r="AR710" t="s">
        <v>6539</v>
      </c>
      <c r="AS710" t="s">
        <v>6540</v>
      </c>
      <c r="AT710" t="s">
        <v>12379</v>
      </c>
      <c r="AU710">
        <v>2015</v>
      </c>
      <c r="AV710">
        <v>27</v>
      </c>
      <c r="AW710">
        <v>1</v>
      </c>
      <c r="AX710" t="s">
        <v>74</v>
      </c>
      <c r="AY710" t="s">
        <v>74</v>
      </c>
      <c r="AZ710" t="s">
        <v>74</v>
      </c>
      <c r="BA710" t="s">
        <v>74</v>
      </c>
      <c r="BB710">
        <v>85</v>
      </c>
      <c r="BC710">
        <v>100</v>
      </c>
      <c r="BD710" t="s">
        <v>74</v>
      </c>
      <c r="BE710" t="s">
        <v>13746</v>
      </c>
      <c r="BF710" t="str">
        <f>HYPERLINK("http://dx.doi.org/10.1017/S0954102014000534","http://dx.doi.org/10.1017/S0954102014000534")</f>
        <v>http://dx.doi.org/10.1017/S0954102014000534</v>
      </c>
      <c r="BG710" t="s">
        <v>74</v>
      </c>
      <c r="BH710" t="s">
        <v>74</v>
      </c>
      <c r="BI710">
        <v>16</v>
      </c>
      <c r="BJ710" t="s">
        <v>6542</v>
      </c>
      <c r="BK710" t="s">
        <v>100</v>
      </c>
      <c r="BL710" t="s">
        <v>6543</v>
      </c>
      <c r="BM710" t="s">
        <v>12564</v>
      </c>
      <c r="BN710" t="s">
        <v>74</v>
      </c>
      <c r="BO710" t="s">
        <v>74</v>
      </c>
      <c r="BP710" t="s">
        <v>74</v>
      </c>
      <c r="BQ710" t="s">
        <v>74</v>
      </c>
      <c r="BR710" t="s">
        <v>104</v>
      </c>
      <c r="BS710" t="s">
        <v>13747</v>
      </c>
      <c r="BT710" t="str">
        <f>HYPERLINK("https%3A%2F%2Fwww.webofscience.com%2Fwos%2Fwoscc%2Ffull-record%2FWOS:000351294900011","View Full Record in Web of Science")</f>
        <v>View Full Record in Web of Science</v>
      </c>
    </row>
    <row r="711" spans="1:72" x14ac:dyDescent="0.15">
      <c r="A711" t="s">
        <v>72</v>
      </c>
      <c r="B711" t="s">
        <v>13748</v>
      </c>
      <c r="C711" t="s">
        <v>74</v>
      </c>
      <c r="D711" t="s">
        <v>74</v>
      </c>
      <c r="E711" t="s">
        <v>74</v>
      </c>
      <c r="F711" t="s">
        <v>13749</v>
      </c>
      <c r="G711" t="s">
        <v>74</v>
      </c>
      <c r="H711" t="s">
        <v>74</v>
      </c>
      <c r="I711" t="s">
        <v>13750</v>
      </c>
      <c r="J711" t="s">
        <v>1792</v>
      </c>
      <c r="K711" t="s">
        <v>74</v>
      </c>
      <c r="L711" t="s">
        <v>74</v>
      </c>
      <c r="M711" t="s">
        <v>78</v>
      </c>
      <c r="N711" t="s">
        <v>79</v>
      </c>
      <c r="O711" t="s">
        <v>74</v>
      </c>
      <c r="P711" t="s">
        <v>74</v>
      </c>
      <c r="Q711" t="s">
        <v>74</v>
      </c>
      <c r="R711" t="s">
        <v>74</v>
      </c>
      <c r="S711" t="s">
        <v>74</v>
      </c>
      <c r="T711" t="s">
        <v>74</v>
      </c>
      <c r="U711" t="s">
        <v>13751</v>
      </c>
      <c r="V711" t="s">
        <v>13752</v>
      </c>
      <c r="W711" t="s">
        <v>13753</v>
      </c>
      <c r="X711" t="s">
        <v>13754</v>
      </c>
      <c r="Y711" t="s">
        <v>13755</v>
      </c>
      <c r="Z711" t="s">
        <v>13756</v>
      </c>
      <c r="AA711" t="s">
        <v>74</v>
      </c>
      <c r="AB711" t="s">
        <v>13757</v>
      </c>
      <c r="AC711" t="s">
        <v>13758</v>
      </c>
      <c r="AD711" t="s">
        <v>13759</v>
      </c>
      <c r="AE711" t="s">
        <v>13760</v>
      </c>
      <c r="AF711" t="s">
        <v>74</v>
      </c>
      <c r="AG711">
        <v>58</v>
      </c>
      <c r="AH711">
        <v>75</v>
      </c>
      <c r="AI711">
        <v>92</v>
      </c>
      <c r="AJ711">
        <v>3</v>
      </c>
      <c r="AK711">
        <v>120</v>
      </c>
      <c r="AL711" t="s">
        <v>1829</v>
      </c>
      <c r="AM711" t="s">
        <v>1458</v>
      </c>
      <c r="AN711" t="s">
        <v>1830</v>
      </c>
      <c r="AO711" t="s">
        <v>1807</v>
      </c>
      <c r="AP711" t="s">
        <v>1808</v>
      </c>
      <c r="AQ711" t="s">
        <v>74</v>
      </c>
      <c r="AR711" t="s">
        <v>1809</v>
      </c>
      <c r="AS711" t="s">
        <v>1810</v>
      </c>
      <c r="AT711" t="s">
        <v>12379</v>
      </c>
      <c r="AU711">
        <v>2015</v>
      </c>
      <c r="AV711">
        <v>47</v>
      </c>
      <c r="AW711">
        <v>1</v>
      </c>
      <c r="AX711" t="s">
        <v>74</v>
      </c>
      <c r="AY711" t="s">
        <v>74</v>
      </c>
      <c r="AZ711" t="s">
        <v>74</v>
      </c>
      <c r="BA711" t="s">
        <v>74</v>
      </c>
      <c r="BB711">
        <v>35</v>
      </c>
      <c r="BC711">
        <v>48</v>
      </c>
      <c r="BD711" t="s">
        <v>74</v>
      </c>
      <c r="BE711" t="s">
        <v>13761</v>
      </c>
      <c r="BF711" t="str">
        <f>HYPERLINK("http://dx.doi.org/10.1657/AAAR0013-099","http://dx.doi.org/10.1657/AAAR0013-099")</f>
        <v>http://dx.doi.org/10.1657/AAAR0013-099</v>
      </c>
      <c r="BG711" t="s">
        <v>74</v>
      </c>
      <c r="BH711" t="s">
        <v>74</v>
      </c>
      <c r="BI711">
        <v>14</v>
      </c>
      <c r="BJ711" t="s">
        <v>1812</v>
      </c>
      <c r="BK711" t="s">
        <v>100</v>
      </c>
      <c r="BL711" t="s">
        <v>197</v>
      </c>
      <c r="BM711" t="s">
        <v>12830</v>
      </c>
      <c r="BN711" t="s">
        <v>74</v>
      </c>
      <c r="BO711" t="s">
        <v>559</v>
      </c>
      <c r="BP711" t="s">
        <v>74</v>
      </c>
      <c r="BQ711" t="s">
        <v>74</v>
      </c>
      <c r="BR711" t="s">
        <v>104</v>
      </c>
      <c r="BS711" t="s">
        <v>13762</v>
      </c>
      <c r="BT711" t="str">
        <f>HYPERLINK("https%3A%2F%2Fwww.webofscience.com%2Fwos%2Fwoscc%2Ffull-record%2FWOS:000350219000004","View Full Record in Web of Science")</f>
        <v>View Full Record in Web of Science</v>
      </c>
    </row>
    <row r="712" spans="1:72" x14ac:dyDescent="0.15">
      <c r="A712" t="s">
        <v>72</v>
      </c>
      <c r="B712" t="s">
        <v>13763</v>
      </c>
      <c r="C712" t="s">
        <v>74</v>
      </c>
      <c r="D712" t="s">
        <v>74</v>
      </c>
      <c r="E712" t="s">
        <v>74</v>
      </c>
      <c r="F712" t="s">
        <v>13764</v>
      </c>
      <c r="G712" t="s">
        <v>74</v>
      </c>
      <c r="H712" t="s">
        <v>74</v>
      </c>
      <c r="I712" t="s">
        <v>13765</v>
      </c>
      <c r="J712" t="s">
        <v>1792</v>
      </c>
      <c r="K712" t="s">
        <v>74</v>
      </c>
      <c r="L712" t="s">
        <v>74</v>
      </c>
      <c r="M712" t="s">
        <v>78</v>
      </c>
      <c r="N712" t="s">
        <v>79</v>
      </c>
      <c r="O712" t="s">
        <v>74</v>
      </c>
      <c r="P712" t="s">
        <v>74</v>
      </c>
      <c r="Q712" t="s">
        <v>74</v>
      </c>
      <c r="R712" t="s">
        <v>74</v>
      </c>
      <c r="S712" t="s">
        <v>74</v>
      </c>
      <c r="T712" t="s">
        <v>74</v>
      </c>
      <c r="U712" t="s">
        <v>13766</v>
      </c>
      <c r="V712" t="s">
        <v>13767</v>
      </c>
      <c r="W712" t="s">
        <v>13768</v>
      </c>
      <c r="X712" t="s">
        <v>13769</v>
      </c>
      <c r="Y712" t="s">
        <v>13770</v>
      </c>
      <c r="Z712" t="s">
        <v>13771</v>
      </c>
      <c r="AA712" t="s">
        <v>13772</v>
      </c>
      <c r="AB712" t="s">
        <v>13773</v>
      </c>
      <c r="AC712" t="s">
        <v>13774</v>
      </c>
      <c r="AD712" t="s">
        <v>13775</v>
      </c>
      <c r="AE712" t="s">
        <v>13776</v>
      </c>
      <c r="AF712" t="s">
        <v>74</v>
      </c>
      <c r="AG712">
        <v>69</v>
      </c>
      <c r="AH712">
        <v>13</v>
      </c>
      <c r="AI712">
        <v>15</v>
      </c>
      <c r="AJ712">
        <v>1</v>
      </c>
      <c r="AK712">
        <v>43</v>
      </c>
      <c r="AL712" t="s">
        <v>1829</v>
      </c>
      <c r="AM712" t="s">
        <v>1458</v>
      </c>
      <c r="AN712" t="s">
        <v>1830</v>
      </c>
      <c r="AO712" t="s">
        <v>1807</v>
      </c>
      <c r="AP712" t="s">
        <v>1808</v>
      </c>
      <c r="AQ712" t="s">
        <v>74</v>
      </c>
      <c r="AR712" t="s">
        <v>1809</v>
      </c>
      <c r="AS712" t="s">
        <v>1810</v>
      </c>
      <c r="AT712" t="s">
        <v>12379</v>
      </c>
      <c r="AU712">
        <v>2015</v>
      </c>
      <c r="AV712">
        <v>47</v>
      </c>
      <c r="AW712">
        <v>1</v>
      </c>
      <c r="AX712" t="s">
        <v>74</v>
      </c>
      <c r="AY712" t="s">
        <v>74</v>
      </c>
      <c r="AZ712" t="s">
        <v>74</v>
      </c>
      <c r="BA712" t="s">
        <v>74</v>
      </c>
      <c r="BB712">
        <v>59</v>
      </c>
      <c r="BC712">
        <v>69</v>
      </c>
      <c r="BD712" t="s">
        <v>74</v>
      </c>
      <c r="BE712" t="s">
        <v>13777</v>
      </c>
      <c r="BF712" t="str">
        <f>HYPERLINK("http://dx.doi.org/10.1657/AAAR0014-014","http://dx.doi.org/10.1657/AAAR0014-014")</f>
        <v>http://dx.doi.org/10.1657/AAAR0014-014</v>
      </c>
      <c r="BG712" t="s">
        <v>74</v>
      </c>
      <c r="BH712" t="s">
        <v>74</v>
      </c>
      <c r="BI712">
        <v>11</v>
      </c>
      <c r="BJ712" t="s">
        <v>1812</v>
      </c>
      <c r="BK712" t="s">
        <v>100</v>
      </c>
      <c r="BL712" t="s">
        <v>197</v>
      </c>
      <c r="BM712" t="s">
        <v>12830</v>
      </c>
      <c r="BN712" t="s">
        <v>74</v>
      </c>
      <c r="BO712" t="s">
        <v>1832</v>
      </c>
      <c r="BP712" t="s">
        <v>74</v>
      </c>
      <c r="BQ712" t="s">
        <v>74</v>
      </c>
      <c r="BR712" t="s">
        <v>104</v>
      </c>
      <c r="BS712" t="s">
        <v>13778</v>
      </c>
      <c r="BT712" t="str">
        <f>HYPERLINK("https%3A%2F%2Fwww.webofscience.com%2Fwos%2Fwoscc%2Ffull-record%2FWOS:000350219000006","View Full Record in Web of Science")</f>
        <v>View Full Record in Web of Science</v>
      </c>
    </row>
    <row r="713" spans="1:72" x14ac:dyDescent="0.15">
      <c r="A713" t="s">
        <v>72</v>
      </c>
      <c r="B713" t="s">
        <v>13779</v>
      </c>
      <c r="C713" t="s">
        <v>74</v>
      </c>
      <c r="D713" t="s">
        <v>74</v>
      </c>
      <c r="E713" t="s">
        <v>74</v>
      </c>
      <c r="F713" t="s">
        <v>13780</v>
      </c>
      <c r="G713" t="s">
        <v>74</v>
      </c>
      <c r="H713" t="s">
        <v>74</v>
      </c>
      <c r="I713" t="s">
        <v>13781</v>
      </c>
      <c r="J713" t="s">
        <v>1792</v>
      </c>
      <c r="K713" t="s">
        <v>74</v>
      </c>
      <c r="L713" t="s">
        <v>74</v>
      </c>
      <c r="M713" t="s">
        <v>78</v>
      </c>
      <c r="N713" t="s">
        <v>79</v>
      </c>
      <c r="O713" t="s">
        <v>74</v>
      </c>
      <c r="P713" t="s">
        <v>74</v>
      </c>
      <c r="Q713" t="s">
        <v>74</v>
      </c>
      <c r="R713" t="s">
        <v>74</v>
      </c>
      <c r="S713" t="s">
        <v>74</v>
      </c>
      <c r="T713" t="s">
        <v>74</v>
      </c>
      <c r="U713" t="s">
        <v>13782</v>
      </c>
      <c r="V713" t="s">
        <v>13783</v>
      </c>
      <c r="W713" t="s">
        <v>13784</v>
      </c>
      <c r="X713" t="s">
        <v>13785</v>
      </c>
      <c r="Y713" t="s">
        <v>13786</v>
      </c>
      <c r="Z713" t="s">
        <v>13787</v>
      </c>
      <c r="AA713" t="s">
        <v>13788</v>
      </c>
      <c r="AB713" t="s">
        <v>13789</v>
      </c>
      <c r="AC713" t="s">
        <v>13790</v>
      </c>
      <c r="AD713" t="s">
        <v>13791</v>
      </c>
      <c r="AE713" t="s">
        <v>13792</v>
      </c>
      <c r="AF713" t="s">
        <v>74</v>
      </c>
      <c r="AG713">
        <v>33</v>
      </c>
      <c r="AH713">
        <v>58</v>
      </c>
      <c r="AI713">
        <v>59</v>
      </c>
      <c r="AJ713">
        <v>3</v>
      </c>
      <c r="AK713">
        <v>63</v>
      </c>
      <c r="AL713" t="s">
        <v>1239</v>
      </c>
      <c r="AM713" t="s">
        <v>448</v>
      </c>
      <c r="AN713" t="s">
        <v>1240</v>
      </c>
      <c r="AO713" t="s">
        <v>1807</v>
      </c>
      <c r="AP713" t="s">
        <v>1808</v>
      </c>
      <c r="AQ713" t="s">
        <v>74</v>
      </c>
      <c r="AR713" t="s">
        <v>1809</v>
      </c>
      <c r="AS713" t="s">
        <v>1810</v>
      </c>
      <c r="AT713" t="s">
        <v>12379</v>
      </c>
      <c r="AU713">
        <v>2015</v>
      </c>
      <c r="AV713">
        <v>47</v>
      </c>
      <c r="AW713">
        <v>1</v>
      </c>
      <c r="AX713" t="s">
        <v>74</v>
      </c>
      <c r="AY713" t="s">
        <v>74</v>
      </c>
      <c r="AZ713" t="s">
        <v>74</v>
      </c>
      <c r="BA713" t="s">
        <v>74</v>
      </c>
      <c r="BB713">
        <v>71</v>
      </c>
      <c r="BC713">
        <v>88</v>
      </c>
      <c r="BD713" t="s">
        <v>74</v>
      </c>
      <c r="BE713" t="s">
        <v>13793</v>
      </c>
      <c r="BF713" t="str">
        <f>HYPERLINK("http://dx.doi.org/10.1657/AAAR0014-027","http://dx.doi.org/10.1657/AAAR0014-027")</f>
        <v>http://dx.doi.org/10.1657/AAAR0014-027</v>
      </c>
      <c r="BG713" t="s">
        <v>74</v>
      </c>
      <c r="BH713" t="s">
        <v>74</v>
      </c>
      <c r="BI713">
        <v>18</v>
      </c>
      <c r="BJ713" t="s">
        <v>1812</v>
      </c>
      <c r="BK713" t="s">
        <v>100</v>
      </c>
      <c r="BL713" t="s">
        <v>197</v>
      </c>
      <c r="BM713" t="s">
        <v>12830</v>
      </c>
      <c r="BN713" t="s">
        <v>74</v>
      </c>
      <c r="BO713" t="s">
        <v>1832</v>
      </c>
      <c r="BP713" t="s">
        <v>74</v>
      </c>
      <c r="BQ713" t="s">
        <v>74</v>
      </c>
      <c r="BR713" t="s">
        <v>104</v>
      </c>
      <c r="BS713" t="s">
        <v>13794</v>
      </c>
      <c r="BT713" t="str">
        <f>HYPERLINK("https%3A%2F%2Fwww.webofscience.com%2Fwos%2Fwoscc%2Ffull-record%2FWOS:000350219000007","View Full Record in Web of Science")</f>
        <v>View Full Record in Web of Science</v>
      </c>
    </row>
    <row r="714" spans="1:72" x14ac:dyDescent="0.15">
      <c r="A714" t="s">
        <v>72</v>
      </c>
      <c r="B714" t="s">
        <v>13795</v>
      </c>
      <c r="C714" t="s">
        <v>74</v>
      </c>
      <c r="D714" t="s">
        <v>74</v>
      </c>
      <c r="E714" t="s">
        <v>74</v>
      </c>
      <c r="F714" t="s">
        <v>13796</v>
      </c>
      <c r="G714" t="s">
        <v>74</v>
      </c>
      <c r="H714" t="s">
        <v>74</v>
      </c>
      <c r="I714" t="s">
        <v>13797</v>
      </c>
      <c r="J714" t="s">
        <v>1792</v>
      </c>
      <c r="K714" t="s">
        <v>74</v>
      </c>
      <c r="L714" t="s">
        <v>74</v>
      </c>
      <c r="M714" t="s">
        <v>78</v>
      </c>
      <c r="N714" t="s">
        <v>79</v>
      </c>
      <c r="O714" t="s">
        <v>74</v>
      </c>
      <c r="P714" t="s">
        <v>74</v>
      </c>
      <c r="Q714" t="s">
        <v>74</v>
      </c>
      <c r="R714" t="s">
        <v>74</v>
      </c>
      <c r="S714" t="s">
        <v>74</v>
      </c>
      <c r="T714" t="s">
        <v>74</v>
      </c>
      <c r="U714" t="s">
        <v>13798</v>
      </c>
      <c r="V714" t="s">
        <v>13799</v>
      </c>
      <c r="W714" t="s">
        <v>13800</v>
      </c>
      <c r="X714" t="s">
        <v>982</v>
      </c>
      <c r="Y714" t="s">
        <v>13801</v>
      </c>
      <c r="Z714" t="s">
        <v>13802</v>
      </c>
      <c r="AA714" t="s">
        <v>13803</v>
      </c>
      <c r="AB714" t="s">
        <v>13804</v>
      </c>
      <c r="AC714" t="s">
        <v>13805</v>
      </c>
      <c r="AD714" t="s">
        <v>13806</v>
      </c>
      <c r="AE714" t="s">
        <v>13807</v>
      </c>
      <c r="AF714" t="s">
        <v>74</v>
      </c>
      <c r="AG714">
        <v>70</v>
      </c>
      <c r="AH714">
        <v>27</v>
      </c>
      <c r="AI714">
        <v>29</v>
      </c>
      <c r="AJ714">
        <v>0</v>
      </c>
      <c r="AK714">
        <v>43</v>
      </c>
      <c r="AL714" t="s">
        <v>1239</v>
      </c>
      <c r="AM714" t="s">
        <v>448</v>
      </c>
      <c r="AN714" t="s">
        <v>1240</v>
      </c>
      <c r="AO714" t="s">
        <v>1807</v>
      </c>
      <c r="AP714" t="s">
        <v>1808</v>
      </c>
      <c r="AQ714" t="s">
        <v>74</v>
      </c>
      <c r="AR714" t="s">
        <v>1809</v>
      </c>
      <c r="AS714" t="s">
        <v>1810</v>
      </c>
      <c r="AT714" t="s">
        <v>12379</v>
      </c>
      <c r="AU714">
        <v>2015</v>
      </c>
      <c r="AV714">
        <v>47</v>
      </c>
      <c r="AW714">
        <v>1</v>
      </c>
      <c r="AX714" t="s">
        <v>74</v>
      </c>
      <c r="AY714" t="s">
        <v>74</v>
      </c>
      <c r="AZ714" t="s">
        <v>74</v>
      </c>
      <c r="BA714" t="s">
        <v>74</v>
      </c>
      <c r="BB714">
        <v>133</v>
      </c>
      <c r="BC714">
        <v>146</v>
      </c>
      <c r="BD714" t="s">
        <v>74</v>
      </c>
      <c r="BE714" t="s">
        <v>13808</v>
      </c>
      <c r="BF714" t="str">
        <f>HYPERLINK("http://dx.doi.org/10.1657/AAAR0013-108","http://dx.doi.org/10.1657/AAAR0013-108")</f>
        <v>http://dx.doi.org/10.1657/AAAR0013-108</v>
      </c>
      <c r="BG714" t="s">
        <v>74</v>
      </c>
      <c r="BH714" t="s">
        <v>74</v>
      </c>
      <c r="BI714">
        <v>14</v>
      </c>
      <c r="BJ714" t="s">
        <v>1812</v>
      </c>
      <c r="BK714" t="s">
        <v>100</v>
      </c>
      <c r="BL714" t="s">
        <v>197</v>
      </c>
      <c r="BM714" t="s">
        <v>12830</v>
      </c>
      <c r="BN714" t="s">
        <v>74</v>
      </c>
      <c r="BO714" t="s">
        <v>1542</v>
      </c>
      <c r="BP714" t="s">
        <v>74</v>
      </c>
      <c r="BQ714" t="s">
        <v>74</v>
      </c>
      <c r="BR714" t="s">
        <v>104</v>
      </c>
      <c r="BS714" t="s">
        <v>13809</v>
      </c>
      <c r="BT714" t="str">
        <f>HYPERLINK("https%3A%2F%2Fwww.webofscience.com%2Fwos%2Fwoscc%2Ffull-record%2FWOS:000350219000012","View Full Record in Web of Science")</f>
        <v>View Full Record in Web of Science</v>
      </c>
    </row>
    <row r="715" spans="1:72" x14ac:dyDescent="0.15">
      <c r="A715" t="s">
        <v>72</v>
      </c>
      <c r="B715" t="s">
        <v>13810</v>
      </c>
      <c r="C715" t="s">
        <v>74</v>
      </c>
      <c r="D715" t="s">
        <v>74</v>
      </c>
      <c r="E715" t="s">
        <v>74</v>
      </c>
      <c r="F715" t="s">
        <v>13811</v>
      </c>
      <c r="G715" t="s">
        <v>74</v>
      </c>
      <c r="H715" t="s">
        <v>74</v>
      </c>
      <c r="I715" t="s">
        <v>13812</v>
      </c>
      <c r="J715" t="s">
        <v>2288</v>
      </c>
      <c r="K715" t="s">
        <v>74</v>
      </c>
      <c r="L715" t="s">
        <v>74</v>
      </c>
      <c r="M715" t="s">
        <v>78</v>
      </c>
      <c r="N715" t="s">
        <v>79</v>
      </c>
      <c r="O715" t="s">
        <v>74</v>
      </c>
      <c r="P715" t="s">
        <v>74</v>
      </c>
      <c r="Q715" t="s">
        <v>74</v>
      </c>
      <c r="R715" t="s">
        <v>74</v>
      </c>
      <c r="S715" t="s">
        <v>74</v>
      </c>
      <c r="T715" t="s">
        <v>13813</v>
      </c>
      <c r="U715" t="s">
        <v>13814</v>
      </c>
      <c r="V715" t="s">
        <v>13815</v>
      </c>
      <c r="W715" t="s">
        <v>13816</v>
      </c>
      <c r="X715" t="s">
        <v>13817</v>
      </c>
      <c r="Y715" t="s">
        <v>13818</v>
      </c>
      <c r="Z715" t="s">
        <v>13819</v>
      </c>
      <c r="AA715" t="s">
        <v>74</v>
      </c>
      <c r="AB715" t="s">
        <v>13820</v>
      </c>
      <c r="AC715" t="s">
        <v>13821</v>
      </c>
      <c r="AD715" t="s">
        <v>13822</v>
      </c>
      <c r="AE715" t="s">
        <v>13823</v>
      </c>
      <c r="AF715" t="s">
        <v>74</v>
      </c>
      <c r="AG715">
        <v>28</v>
      </c>
      <c r="AH715">
        <v>19</v>
      </c>
      <c r="AI715">
        <v>24</v>
      </c>
      <c r="AJ715">
        <v>0</v>
      </c>
      <c r="AK715">
        <v>6</v>
      </c>
      <c r="AL715" t="s">
        <v>621</v>
      </c>
      <c r="AM715" t="s">
        <v>622</v>
      </c>
      <c r="AN715" t="s">
        <v>623</v>
      </c>
      <c r="AO715" t="s">
        <v>2301</v>
      </c>
      <c r="AP715" t="s">
        <v>2302</v>
      </c>
      <c r="AQ715" t="s">
        <v>74</v>
      </c>
      <c r="AR715" t="s">
        <v>2303</v>
      </c>
      <c r="AS715" t="s">
        <v>2304</v>
      </c>
      <c r="AT715" t="s">
        <v>12379</v>
      </c>
      <c r="AU715">
        <v>2015</v>
      </c>
      <c r="AV715">
        <v>149</v>
      </c>
      <c r="AW715">
        <v>2</v>
      </c>
      <c r="AX715" t="s">
        <v>74</v>
      </c>
      <c r="AY715" t="s">
        <v>74</v>
      </c>
      <c r="AZ715" t="s">
        <v>74</v>
      </c>
      <c r="BA715" t="s">
        <v>74</v>
      </c>
      <c r="BB715" t="s">
        <v>74</v>
      </c>
      <c r="BC715" t="s">
        <v>74</v>
      </c>
      <c r="BD715">
        <v>50</v>
      </c>
      <c r="BE715" t="s">
        <v>13824</v>
      </c>
      <c r="BF715" t="str">
        <f>HYPERLINK("http://dx.doi.org/10.1088/0004-6256/149/2/50","http://dx.doi.org/10.1088/0004-6256/149/2/50")</f>
        <v>http://dx.doi.org/10.1088/0004-6256/149/2/50</v>
      </c>
      <c r="BG715" t="s">
        <v>74</v>
      </c>
      <c r="BH715" t="s">
        <v>74</v>
      </c>
      <c r="BI715">
        <v>13</v>
      </c>
      <c r="BJ715" t="s">
        <v>246</v>
      </c>
      <c r="BK715" t="s">
        <v>100</v>
      </c>
      <c r="BL715" t="s">
        <v>246</v>
      </c>
      <c r="BM715" t="s">
        <v>13825</v>
      </c>
      <c r="BN715" t="s">
        <v>74</v>
      </c>
      <c r="BO715" t="s">
        <v>248</v>
      </c>
      <c r="BP715" t="s">
        <v>74</v>
      </c>
      <c r="BQ715" t="s">
        <v>74</v>
      </c>
      <c r="BR715" t="s">
        <v>104</v>
      </c>
      <c r="BS715" t="s">
        <v>13826</v>
      </c>
      <c r="BT715" t="str">
        <f>HYPERLINK("https%3A%2F%2Fwww.webofscience.com%2Fwos%2Fwoscc%2Ffull-record%2FWOS:000349360200015","View Full Record in Web of Science")</f>
        <v>View Full Record in Web of Science</v>
      </c>
    </row>
    <row r="716" spans="1:72" x14ac:dyDescent="0.15">
      <c r="A716" t="s">
        <v>72</v>
      </c>
      <c r="B716" t="s">
        <v>13827</v>
      </c>
      <c r="C716" t="s">
        <v>74</v>
      </c>
      <c r="D716" t="s">
        <v>74</v>
      </c>
      <c r="E716" t="s">
        <v>74</v>
      </c>
      <c r="F716" t="s">
        <v>13828</v>
      </c>
      <c r="G716" t="s">
        <v>74</v>
      </c>
      <c r="H716" t="s">
        <v>74</v>
      </c>
      <c r="I716" t="s">
        <v>13829</v>
      </c>
      <c r="J716" t="s">
        <v>2288</v>
      </c>
      <c r="K716" t="s">
        <v>74</v>
      </c>
      <c r="L716" t="s">
        <v>74</v>
      </c>
      <c r="M716" t="s">
        <v>78</v>
      </c>
      <c r="N716" t="s">
        <v>79</v>
      </c>
      <c r="O716" t="s">
        <v>74</v>
      </c>
      <c r="P716" t="s">
        <v>74</v>
      </c>
      <c r="Q716" t="s">
        <v>74</v>
      </c>
      <c r="R716" t="s">
        <v>74</v>
      </c>
      <c r="S716" t="s">
        <v>74</v>
      </c>
      <c r="T716" t="s">
        <v>13830</v>
      </c>
      <c r="U716" t="s">
        <v>13831</v>
      </c>
      <c r="V716" t="s">
        <v>13832</v>
      </c>
      <c r="W716" t="s">
        <v>13833</v>
      </c>
      <c r="X716" t="s">
        <v>13834</v>
      </c>
      <c r="Y716" t="s">
        <v>13835</v>
      </c>
      <c r="Z716" t="s">
        <v>13836</v>
      </c>
      <c r="AA716" t="s">
        <v>13837</v>
      </c>
      <c r="AB716" t="s">
        <v>13838</v>
      </c>
      <c r="AC716" t="s">
        <v>13839</v>
      </c>
      <c r="AD716" t="s">
        <v>13840</v>
      </c>
      <c r="AE716" t="s">
        <v>13841</v>
      </c>
      <c r="AF716" t="s">
        <v>74</v>
      </c>
      <c r="AG716">
        <v>54</v>
      </c>
      <c r="AH716">
        <v>16</v>
      </c>
      <c r="AI716">
        <v>19</v>
      </c>
      <c r="AJ716">
        <v>1</v>
      </c>
      <c r="AK716">
        <v>13</v>
      </c>
      <c r="AL716" t="s">
        <v>621</v>
      </c>
      <c r="AM716" t="s">
        <v>622</v>
      </c>
      <c r="AN716" t="s">
        <v>623</v>
      </c>
      <c r="AO716" t="s">
        <v>2301</v>
      </c>
      <c r="AP716" t="s">
        <v>2302</v>
      </c>
      <c r="AQ716" t="s">
        <v>74</v>
      </c>
      <c r="AR716" t="s">
        <v>2303</v>
      </c>
      <c r="AS716" t="s">
        <v>2304</v>
      </c>
      <c r="AT716" t="s">
        <v>12379</v>
      </c>
      <c r="AU716">
        <v>2015</v>
      </c>
      <c r="AV716">
        <v>149</v>
      </c>
      <c r="AW716">
        <v>2</v>
      </c>
      <c r="AX716" t="s">
        <v>74</v>
      </c>
      <c r="AY716" t="s">
        <v>74</v>
      </c>
      <c r="AZ716" t="s">
        <v>74</v>
      </c>
      <c r="BA716" t="s">
        <v>74</v>
      </c>
      <c r="BB716" t="s">
        <v>74</v>
      </c>
      <c r="BC716" t="s">
        <v>74</v>
      </c>
      <c r="BD716">
        <v>84</v>
      </c>
      <c r="BE716" t="s">
        <v>13842</v>
      </c>
      <c r="BF716" t="str">
        <f>HYPERLINK("http://dx.doi.org/10.1088/0004-6256/149/2/84","http://dx.doi.org/10.1088/0004-6256/149/2/84")</f>
        <v>http://dx.doi.org/10.1088/0004-6256/149/2/84</v>
      </c>
      <c r="BG716" t="s">
        <v>74</v>
      </c>
      <c r="BH716" t="s">
        <v>74</v>
      </c>
      <c r="BI716">
        <v>11</v>
      </c>
      <c r="BJ716" t="s">
        <v>246</v>
      </c>
      <c r="BK716" t="s">
        <v>100</v>
      </c>
      <c r="BL716" t="s">
        <v>246</v>
      </c>
      <c r="BM716" t="s">
        <v>13825</v>
      </c>
      <c r="BN716" t="s">
        <v>74</v>
      </c>
      <c r="BO716" t="s">
        <v>156</v>
      </c>
      <c r="BP716" t="s">
        <v>74</v>
      </c>
      <c r="BQ716" t="s">
        <v>74</v>
      </c>
      <c r="BR716" t="s">
        <v>104</v>
      </c>
      <c r="BS716" t="s">
        <v>13843</v>
      </c>
      <c r="BT716" t="str">
        <f>HYPERLINK("https%3A%2F%2Fwww.webofscience.com%2Fwos%2Fwoscc%2Ffull-record%2FWOS:000349360200049","View Full Record in Web of Science")</f>
        <v>View Full Record in Web of Science</v>
      </c>
    </row>
    <row r="717" spans="1:72" x14ac:dyDescent="0.15">
      <c r="A717" t="s">
        <v>72</v>
      </c>
      <c r="B717" t="s">
        <v>13844</v>
      </c>
      <c r="C717" t="s">
        <v>74</v>
      </c>
      <c r="D717" t="s">
        <v>74</v>
      </c>
      <c r="E717" t="s">
        <v>74</v>
      </c>
      <c r="F717" t="s">
        <v>13845</v>
      </c>
      <c r="G717" t="s">
        <v>74</v>
      </c>
      <c r="H717" t="s">
        <v>74</v>
      </c>
      <c r="I717" t="s">
        <v>13846</v>
      </c>
      <c r="J717" t="s">
        <v>13847</v>
      </c>
      <c r="K717" t="s">
        <v>74</v>
      </c>
      <c r="L717" t="s">
        <v>74</v>
      </c>
      <c r="M717" t="s">
        <v>78</v>
      </c>
      <c r="N717" t="s">
        <v>79</v>
      </c>
      <c r="O717" t="s">
        <v>74</v>
      </c>
      <c r="P717" t="s">
        <v>74</v>
      </c>
      <c r="Q717" t="s">
        <v>74</v>
      </c>
      <c r="R717" t="s">
        <v>74</v>
      </c>
      <c r="S717" t="s">
        <v>74</v>
      </c>
      <c r="T717" t="s">
        <v>13848</v>
      </c>
      <c r="U717" t="s">
        <v>13849</v>
      </c>
      <c r="V717" t="s">
        <v>13850</v>
      </c>
      <c r="W717" t="s">
        <v>13851</v>
      </c>
      <c r="X717" t="s">
        <v>13852</v>
      </c>
      <c r="Y717" t="s">
        <v>13853</v>
      </c>
      <c r="Z717" t="s">
        <v>13854</v>
      </c>
      <c r="AA717" t="s">
        <v>13855</v>
      </c>
      <c r="AB717" t="s">
        <v>13856</v>
      </c>
      <c r="AC717" t="s">
        <v>13857</v>
      </c>
      <c r="AD717" t="s">
        <v>13858</v>
      </c>
      <c r="AE717" t="s">
        <v>13859</v>
      </c>
      <c r="AF717" t="s">
        <v>74</v>
      </c>
      <c r="AG717">
        <v>109</v>
      </c>
      <c r="AH717">
        <v>31</v>
      </c>
      <c r="AI717">
        <v>31</v>
      </c>
      <c r="AJ717">
        <v>0</v>
      </c>
      <c r="AK717">
        <v>38</v>
      </c>
      <c r="AL717" t="s">
        <v>120</v>
      </c>
      <c r="AM717" t="s">
        <v>2560</v>
      </c>
      <c r="AN717" t="s">
        <v>2561</v>
      </c>
      <c r="AO717" t="s">
        <v>13860</v>
      </c>
      <c r="AP717" t="s">
        <v>13861</v>
      </c>
      <c r="AQ717" t="s">
        <v>74</v>
      </c>
      <c r="AR717" t="s">
        <v>13847</v>
      </c>
      <c r="AS717" t="s">
        <v>13862</v>
      </c>
      <c r="AT717" t="s">
        <v>12379</v>
      </c>
      <c r="AU717">
        <v>2015</v>
      </c>
      <c r="AV717">
        <v>122</v>
      </c>
      <c r="AW717" t="s">
        <v>13863</v>
      </c>
      <c r="AX717" t="s">
        <v>74</v>
      </c>
      <c r="AY717" t="s">
        <v>74</v>
      </c>
      <c r="AZ717" t="s">
        <v>74</v>
      </c>
      <c r="BA717" t="s">
        <v>74</v>
      </c>
      <c r="BB717">
        <v>295</v>
      </c>
      <c r="BC717">
        <v>311</v>
      </c>
      <c r="BD717" t="s">
        <v>74</v>
      </c>
      <c r="BE717" t="s">
        <v>13864</v>
      </c>
      <c r="BF717" t="str">
        <f>HYPERLINK("http://dx.doi.org/10.1007/s10533-014-0042-7","http://dx.doi.org/10.1007/s10533-014-0042-7")</f>
        <v>http://dx.doi.org/10.1007/s10533-014-0042-7</v>
      </c>
      <c r="BG717" t="s">
        <v>74</v>
      </c>
      <c r="BH717" t="s">
        <v>74</v>
      </c>
      <c r="BI717">
        <v>17</v>
      </c>
      <c r="BJ717" t="s">
        <v>13865</v>
      </c>
      <c r="BK717" t="s">
        <v>100</v>
      </c>
      <c r="BL717" t="s">
        <v>7144</v>
      </c>
      <c r="BM717" t="s">
        <v>13866</v>
      </c>
      <c r="BN717" t="s">
        <v>74</v>
      </c>
      <c r="BO717" t="s">
        <v>13867</v>
      </c>
      <c r="BP717" t="s">
        <v>74</v>
      </c>
      <c r="BQ717" t="s">
        <v>74</v>
      </c>
      <c r="BR717" t="s">
        <v>104</v>
      </c>
      <c r="BS717" t="s">
        <v>13868</v>
      </c>
      <c r="BT717" t="str">
        <f>HYPERLINK("https%3A%2F%2Fwww.webofscience.com%2Fwos%2Fwoscc%2Ffull-record%2FWOS:000348340100010","View Full Record in Web of Science")</f>
        <v>View Full Record in Web of Science</v>
      </c>
    </row>
    <row r="718" spans="1:72" x14ac:dyDescent="0.15">
      <c r="A718" t="s">
        <v>72</v>
      </c>
      <c r="B718" t="s">
        <v>13869</v>
      </c>
      <c r="C718" t="s">
        <v>74</v>
      </c>
      <c r="D718" t="s">
        <v>74</v>
      </c>
      <c r="E718" t="s">
        <v>74</v>
      </c>
      <c r="F718" t="s">
        <v>13870</v>
      </c>
      <c r="G718" t="s">
        <v>74</v>
      </c>
      <c r="H718" t="s">
        <v>74</v>
      </c>
      <c r="I718" t="s">
        <v>13871</v>
      </c>
      <c r="J718" t="s">
        <v>13872</v>
      </c>
      <c r="K718" t="s">
        <v>74</v>
      </c>
      <c r="L718" t="s">
        <v>74</v>
      </c>
      <c r="M718" t="s">
        <v>78</v>
      </c>
      <c r="N718" t="s">
        <v>79</v>
      </c>
      <c r="O718" t="s">
        <v>74</v>
      </c>
      <c r="P718" t="s">
        <v>74</v>
      </c>
      <c r="Q718" t="s">
        <v>74</v>
      </c>
      <c r="R718" t="s">
        <v>74</v>
      </c>
      <c r="S718" t="s">
        <v>74</v>
      </c>
      <c r="T718" t="s">
        <v>13873</v>
      </c>
      <c r="U718" t="s">
        <v>13874</v>
      </c>
      <c r="V718" t="s">
        <v>13875</v>
      </c>
      <c r="W718" t="s">
        <v>13876</v>
      </c>
      <c r="X718" t="s">
        <v>13877</v>
      </c>
      <c r="Y718" t="s">
        <v>13878</v>
      </c>
      <c r="Z718" t="s">
        <v>13879</v>
      </c>
      <c r="AA718" t="s">
        <v>13880</v>
      </c>
      <c r="AB718" t="s">
        <v>13881</v>
      </c>
      <c r="AC718" t="s">
        <v>13882</v>
      </c>
      <c r="AD718" t="s">
        <v>13882</v>
      </c>
      <c r="AE718" t="s">
        <v>13883</v>
      </c>
      <c r="AF718" t="s">
        <v>74</v>
      </c>
      <c r="AG718">
        <v>42</v>
      </c>
      <c r="AH718">
        <v>35</v>
      </c>
      <c r="AI718">
        <v>36</v>
      </c>
      <c r="AJ718">
        <v>1</v>
      </c>
      <c r="AK718">
        <v>77</v>
      </c>
      <c r="AL718" t="s">
        <v>1158</v>
      </c>
      <c r="AM718" t="s">
        <v>787</v>
      </c>
      <c r="AN718" t="s">
        <v>1159</v>
      </c>
      <c r="AO718" t="s">
        <v>13884</v>
      </c>
      <c r="AP718" t="s">
        <v>13885</v>
      </c>
      <c r="AQ718" t="s">
        <v>74</v>
      </c>
      <c r="AR718" t="s">
        <v>13886</v>
      </c>
      <c r="AS718" t="s">
        <v>13887</v>
      </c>
      <c r="AT718" t="s">
        <v>12379</v>
      </c>
      <c r="AU718">
        <v>2015</v>
      </c>
      <c r="AV718">
        <v>182</v>
      </c>
      <c r="AW718" t="s">
        <v>74</v>
      </c>
      <c r="AX718" t="s">
        <v>74</v>
      </c>
      <c r="AY718" t="s">
        <v>74</v>
      </c>
      <c r="AZ718" t="s">
        <v>74</v>
      </c>
      <c r="BA718" t="s">
        <v>74</v>
      </c>
      <c r="BB718">
        <v>143</v>
      </c>
      <c r="BC718">
        <v>147</v>
      </c>
      <c r="BD718" t="s">
        <v>74</v>
      </c>
      <c r="BE718" t="s">
        <v>13888</v>
      </c>
      <c r="BF718" t="str">
        <f>HYPERLINK("http://dx.doi.org/10.1016/j.biocon.2014.12.001","http://dx.doi.org/10.1016/j.biocon.2014.12.001")</f>
        <v>http://dx.doi.org/10.1016/j.biocon.2014.12.001</v>
      </c>
      <c r="BG718" t="s">
        <v>74</v>
      </c>
      <c r="BH718" t="s">
        <v>74</v>
      </c>
      <c r="BI718">
        <v>5</v>
      </c>
      <c r="BJ718" t="s">
        <v>153</v>
      </c>
      <c r="BK718" t="s">
        <v>1019</v>
      </c>
      <c r="BL718" t="s">
        <v>154</v>
      </c>
      <c r="BM718" t="s">
        <v>13889</v>
      </c>
      <c r="BN718" t="s">
        <v>74</v>
      </c>
      <c r="BO718" t="s">
        <v>74</v>
      </c>
      <c r="BP718" t="s">
        <v>74</v>
      </c>
      <c r="BQ718" t="s">
        <v>74</v>
      </c>
      <c r="BR718" t="s">
        <v>104</v>
      </c>
      <c r="BS718" t="s">
        <v>13890</v>
      </c>
      <c r="BT718" t="str">
        <f>HYPERLINK("https%3A%2F%2Fwww.webofscience.com%2Fwos%2Fwoscc%2Ffull-record%2FWOS:000349501400018","View Full Record in Web of Science")</f>
        <v>View Full Record in Web of Science</v>
      </c>
    </row>
    <row r="719" spans="1:72" x14ac:dyDescent="0.15">
      <c r="A719" t="s">
        <v>72</v>
      </c>
      <c r="B719" t="s">
        <v>13891</v>
      </c>
      <c r="C719" t="s">
        <v>74</v>
      </c>
      <c r="D719" t="s">
        <v>74</v>
      </c>
      <c r="E719" t="s">
        <v>74</v>
      </c>
      <c r="F719" t="s">
        <v>13892</v>
      </c>
      <c r="G719" t="s">
        <v>74</v>
      </c>
      <c r="H719" t="s">
        <v>74</v>
      </c>
      <c r="I719" t="s">
        <v>13893</v>
      </c>
      <c r="J719" t="s">
        <v>13894</v>
      </c>
      <c r="K719" t="s">
        <v>74</v>
      </c>
      <c r="L719" t="s">
        <v>74</v>
      </c>
      <c r="M719" t="s">
        <v>78</v>
      </c>
      <c r="N719" t="s">
        <v>1291</v>
      </c>
      <c r="O719" t="s">
        <v>74</v>
      </c>
      <c r="P719" t="s">
        <v>74</v>
      </c>
      <c r="Q719" t="s">
        <v>74</v>
      </c>
      <c r="R719" t="s">
        <v>74</v>
      </c>
      <c r="S719" t="s">
        <v>74</v>
      </c>
      <c r="T719" t="s">
        <v>13895</v>
      </c>
      <c r="U719" t="s">
        <v>13896</v>
      </c>
      <c r="V719" t="s">
        <v>13897</v>
      </c>
      <c r="W719" t="s">
        <v>13898</v>
      </c>
      <c r="X719" t="s">
        <v>13899</v>
      </c>
      <c r="Y719" t="s">
        <v>13900</v>
      </c>
      <c r="Z719" t="s">
        <v>13901</v>
      </c>
      <c r="AA719" t="s">
        <v>13902</v>
      </c>
      <c r="AB719" t="s">
        <v>13903</v>
      </c>
      <c r="AC719" t="s">
        <v>13904</v>
      </c>
      <c r="AD719" t="s">
        <v>13905</v>
      </c>
      <c r="AE719" t="s">
        <v>74</v>
      </c>
      <c r="AF719" t="s">
        <v>74</v>
      </c>
      <c r="AG719">
        <v>78</v>
      </c>
      <c r="AH719">
        <v>159</v>
      </c>
      <c r="AI719">
        <v>167</v>
      </c>
      <c r="AJ719">
        <v>16</v>
      </c>
      <c r="AK719">
        <v>490</v>
      </c>
      <c r="AL719" t="s">
        <v>91</v>
      </c>
      <c r="AM719" t="s">
        <v>92</v>
      </c>
      <c r="AN719" t="s">
        <v>93</v>
      </c>
      <c r="AO719" t="s">
        <v>13906</v>
      </c>
      <c r="AP719" t="s">
        <v>13907</v>
      </c>
      <c r="AQ719" t="s">
        <v>74</v>
      </c>
      <c r="AR719" t="s">
        <v>13908</v>
      </c>
      <c r="AS719" t="s">
        <v>13909</v>
      </c>
      <c r="AT719" t="s">
        <v>12379</v>
      </c>
      <c r="AU719">
        <v>2015</v>
      </c>
      <c r="AV719">
        <v>29</v>
      </c>
      <c r="AW719">
        <v>1</v>
      </c>
      <c r="AX719" t="s">
        <v>74</v>
      </c>
      <c r="AY719" t="s">
        <v>74</v>
      </c>
      <c r="AZ719" t="s">
        <v>74</v>
      </c>
      <c r="BA719" t="s">
        <v>74</v>
      </c>
      <c r="BB719">
        <v>31</v>
      </c>
      <c r="BC719">
        <v>41</v>
      </c>
      <c r="BD719" t="s">
        <v>74</v>
      </c>
      <c r="BE719" t="s">
        <v>13910</v>
      </c>
      <c r="BF719" t="str">
        <f>HYPERLINK("http://dx.doi.org/10.1111/cobi.12349","http://dx.doi.org/10.1111/cobi.12349")</f>
        <v>http://dx.doi.org/10.1111/cobi.12349</v>
      </c>
      <c r="BG719" t="s">
        <v>74</v>
      </c>
      <c r="BH719" t="s">
        <v>74</v>
      </c>
      <c r="BI719">
        <v>11</v>
      </c>
      <c r="BJ719" t="s">
        <v>153</v>
      </c>
      <c r="BK719" t="s">
        <v>100</v>
      </c>
      <c r="BL719" t="s">
        <v>154</v>
      </c>
      <c r="BM719" t="s">
        <v>13911</v>
      </c>
      <c r="BN719">
        <v>25102756</v>
      </c>
      <c r="BO719" t="s">
        <v>733</v>
      </c>
      <c r="BP719" t="s">
        <v>74</v>
      </c>
      <c r="BQ719" t="s">
        <v>74</v>
      </c>
      <c r="BR719" t="s">
        <v>104</v>
      </c>
      <c r="BS719" t="s">
        <v>13912</v>
      </c>
      <c r="BT719" t="str">
        <f>HYPERLINK("https%3A%2F%2Fwww.webofscience.com%2Fwos%2Fwoscc%2Ffull-record%2FWOS:000348712400006","View Full Record in Web of Science")</f>
        <v>View Full Record in Web of Science</v>
      </c>
    </row>
    <row r="720" spans="1:72" x14ac:dyDescent="0.15">
      <c r="A720" t="s">
        <v>72</v>
      </c>
      <c r="B720" t="s">
        <v>13913</v>
      </c>
      <c r="C720" t="s">
        <v>74</v>
      </c>
      <c r="D720" t="s">
        <v>74</v>
      </c>
      <c r="E720" t="s">
        <v>74</v>
      </c>
      <c r="F720" t="s">
        <v>13914</v>
      </c>
      <c r="G720" t="s">
        <v>74</v>
      </c>
      <c r="H720" t="s">
        <v>74</v>
      </c>
      <c r="I720" t="s">
        <v>13915</v>
      </c>
      <c r="J720" t="s">
        <v>13894</v>
      </c>
      <c r="K720" t="s">
        <v>74</v>
      </c>
      <c r="L720" t="s">
        <v>74</v>
      </c>
      <c r="M720" t="s">
        <v>78</v>
      </c>
      <c r="N720" t="s">
        <v>79</v>
      </c>
      <c r="O720" t="s">
        <v>74</v>
      </c>
      <c r="P720" t="s">
        <v>74</v>
      </c>
      <c r="Q720" t="s">
        <v>74</v>
      </c>
      <c r="R720" t="s">
        <v>74</v>
      </c>
      <c r="S720" t="s">
        <v>74</v>
      </c>
      <c r="T720" t="s">
        <v>13916</v>
      </c>
      <c r="U720" t="s">
        <v>13917</v>
      </c>
      <c r="V720" t="s">
        <v>13918</v>
      </c>
      <c r="W720" t="s">
        <v>13919</v>
      </c>
      <c r="X720" t="s">
        <v>13920</v>
      </c>
      <c r="Y720" t="s">
        <v>13921</v>
      </c>
      <c r="Z720" t="s">
        <v>13922</v>
      </c>
      <c r="AA720" t="s">
        <v>13923</v>
      </c>
      <c r="AB720" t="s">
        <v>13924</v>
      </c>
      <c r="AC720" t="s">
        <v>13925</v>
      </c>
      <c r="AD720" t="s">
        <v>13926</v>
      </c>
      <c r="AE720" t="s">
        <v>13927</v>
      </c>
      <c r="AF720" t="s">
        <v>74</v>
      </c>
      <c r="AG720">
        <v>53</v>
      </c>
      <c r="AH720">
        <v>57</v>
      </c>
      <c r="AI720">
        <v>66</v>
      </c>
      <c r="AJ720">
        <v>1</v>
      </c>
      <c r="AK720">
        <v>81</v>
      </c>
      <c r="AL720" t="s">
        <v>91</v>
      </c>
      <c r="AM720" t="s">
        <v>92</v>
      </c>
      <c r="AN720" t="s">
        <v>93</v>
      </c>
      <c r="AO720" t="s">
        <v>13906</v>
      </c>
      <c r="AP720" t="s">
        <v>13907</v>
      </c>
      <c r="AQ720" t="s">
        <v>74</v>
      </c>
      <c r="AR720" t="s">
        <v>13908</v>
      </c>
      <c r="AS720" t="s">
        <v>13909</v>
      </c>
      <c r="AT720" t="s">
        <v>12379</v>
      </c>
      <c r="AU720">
        <v>2015</v>
      </c>
      <c r="AV720">
        <v>29</v>
      </c>
      <c r="AW720">
        <v>1</v>
      </c>
      <c r="AX720" t="s">
        <v>74</v>
      </c>
      <c r="AY720" t="s">
        <v>74</v>
      </c>
      <c r="AZ720" t="s">
        <v>74</v>
      </c>
      <c r="BA720" t="s">
        <v>74</v>
      </c>
      <c r="BB720">
        <v>143</v>
      </c>
      <c r="BC720">
        <v>153</v>
      </c>
      <c r="BD720" t="s">
        <v>74</v>
      </c>
      <c r="BE720" t="s">
        <v>13928</v>
      </c>
      <c r="BF720" t="str">
        <f>HYPERLINK("http://dx.doi.org/10.1111/cobi.12347","http://dx.doi.org/10.1111/cobi.12347")</f>
        <v>http://dx.doi.org/10.1111/cobi.12347</v>
      </c>
      <c r="BG720" t="s">
        <v>74</v>
      </c>
      <c r="BH720" t="s">
        <v>74</v>
      </c>
      <c r="BI720">
        <v>11</v>
      </c>
      <c r="BJ720" t="s">
        <v>153</v>
      </c>
      <c r="BK720" t="s">
        <v>100</v>
      </c>
      <c r="BL720" t="s">
        <v>154</v>
      </c>
      <c r="BM720" t="s">
        <v>13911</v>
      </c>
      <c r="BN720">
        <v>25163543</v>
      </c>
      <c r="BO720" t="s">
        <v>74</v>
      </c>
      <c r="BP720" t="s">
        <v>74</v>
      </c>
      <c r="BQ720" t="s">
        <v>74</v>
      </c>
      <c r="BR720" t="s">
        <v>104</v>
      </c>
      <c r="BS720" t="s">
        <v>13929</v>
      </c>
      <c r="BT720" t="str">
        <f>HYPERLINK("https%3A%2F%2Fwww.webofscience.com%2Fwos%2Fwoscc%2Ffull-record%2FWOS:000348712400017","View Full Record in Web of Science")</f>
        <v>View Full Record in Web of Science</v>
      </c>
    </row>
    <row r="721" spans="1:72" x14ac:dyDescent="0.15">
      <c r="A721" t="s">
        <v>72</v>
      </c>
      <c r="B721" t="s">
        <v>13930</v>
      </c>
      <c r="C721" t="s">
        <v>74</v>
      </c>
      <c r="D721" t="s">
        <v>74</v>
      </c>
      <c r="E721" t="s">
        <v>74</v>
      </c>
      <c r="F721" t="s">
        <v>13931</v>
      </c>
      <c r="G721" t="s">
        <v>74</v>
      </c>
      <c r="H721" t="s">
        <v>74</v>
      </c>
      <c r="I721" t="s">
        <v>13932</v>
      </c>
      <c r="J721" t="s">
        <v>13894</v>
      </c>
      <c r="K721" t="s">
        <v>74</v>
      </c>
      <c r="L721" t="s">
        <v>74</v>
      </c>
      <c r="M721" t="s">
        <v>78</v>
      </c>
      <c r="N721" t="s">
        <v>79</v>
      </c>
      <c r="O721" t="s">
        <v>74</v>
      </c>
      <c r="P721" t="s">
        <v>74</v>
      </c>
      <c r="Q721" t="s">
        <v>74</v>
      </c>
      <c r="R721" t="s">
        <v>74</v>
      </c>
      <c r="S721" t="s">
        <v>74</v>
      </c>
      <c r="T721" t="s">
        <v>13933</v>
      </c>
      <c r="U721" t="s">
        <v>13934</v>
      </c>
      <c r="V721" t="s">
        <v>13935</v>
      </c>
      <c r="W721" t="s">
        <v>13936</v>
      </c>
      <c r="X721" t="s">
        <v>13937</v>
      </c>
      <c r="Y721" t="s">
        <v>13938</v>
      </c>
      <c r="Z721" t="s">
        <v>13939</v>
      </c>
      <c r="AA721" t="s">
        <v>13940</v>
      </c>
      <c r="AB721" t="s">
        <v>13941</v>
      </c>
      <c r="AC721" t="s">
        <v>13942</v>
      </c>
      <c r="AD721" t="s">
        <v>13942</v>
      </c>
      <c r="AE721" t="s">
        <v>13943</v>
      </c>
      <c r="AF721" t="s">
        <v>74</v>
      </c>
      <c r="AG721">
        <v>33</v>
      </c>
      <c r="AH721">
        <v>22</v>
      </c>
      <c r="AI721">
        <v>23</v>
      </c>
      <c r="AJ721">
        <v>3</v>
      </c>
      <c r="AK721">
        <v>169</v>
      </c>
      <c r="AL721" t="s">
        <v>91</v>
      </c>
      <c r="AM721" t="s">
        <v>92</v>
      </c>
      <c r="AN721" t="s">
        <v>93</v>
      </c>
      <c r="AO721" t="s">
        <v>13906</v>
      </c>
      <c r="AP721" t="s">
        <v>13907</v>
      </c>
      <c r="AQ721" t="s">
        <v>74</v>
      </c>
      <c r="AR721" t="s">
        <v>13908</v>
      </c>
      <c r="AS721" t="s">
        <v>13909</v>
      </c>
      <c r="AT721" t="s">
        <v>12379</v>
      </c>
      <c r="AU721">
        <v>2015</v>
      </c>
      <c r="AV721">
        <v>29</v>
      </c>
      <c r="AW721">
        <v>1</v>
      </c>
      <c r="AX721" t="s">
        <v>74</v>
      </c>
      <c r="AY721" t="s">
        <v>74</v>
      </c>
      <c r="AZ721" t="s">
        <v>74</v>
      </c>
      <c r="BA721" t="s">
        <v>74</v>
      </c>
      <c r="BB721">
        <v>207</v>
      </c>
      <c r="BC721">
        <v>215</v>
      </c>
      <c r="BD721" t="s">
        <v>74</v>
      </c>
      <c r="BE721" t="s">
        <v>13944</v>
      </c>
      <c r="BF721" t="str">
        <f>HYPERLINK("http://dx.doi.org/10.1111/cobi.12394","http://dx.doi.org/10.1111/cobi.12394")</f>
        <v>http://dx.doi.org/10.1111/cobi.12394</v>
      </c>
      <c r="BG721" t="s">
        <v>74</v>
      </c>
      <c r="BH721" t="s">
        <v>74</v>
      </c>
      <c r="BI721">
        <v>9</v>
      </c>
      <c r="BJ721" t="s">
        <v>153</v>
      </c>
      <c r="BK721" t="s">
        <v>100</v>
      </c>
      <c r="BL721" t="s">
        <v>154</v>
      </c>
      <c r="BM721" t="s">
        <v>13911</v>
      </c>
      <c r="BN721">
        <v>25354555</v>
      </c>
      <c r="BO721" t="s">
        <v>74</v>
      </c>
      <c r="BP721" t="s">
        <v>74</v>
      </c>
      <c r="BQ721" t="s">
        <v>74</v>
      </c>
      <c r="BR721" t="s">
        <v>104</v>
      </c>
      <c r="BS721" t="s">
        <v>13945</v>
      </c>
      <c r="BT721" t="str">
        <f>HYPERLINK("https%3A%2F%2Fwww.webofscience.com%2Fwos%2Fwoscc%2Ffull-record%2FWOS:000348712400023","View Full Record in Web of Science")</f>
        <v>View Full Record in Web of Science</v>
      </c>
    </row>
    <row r="722" spans="1:72" x14ac:dyDescent="0.15">
      <c r="A722" t="s">
        <v>72</v>
      </c>
      <c r="B722" t="s">
        <v>13946</v>
      </c>
      <c r="C722" t="s">
        <v>74</v>
      </c>
      <c r="D722" t="s">
        <v>74</v>
      </c>
      <c r="E722" t="s">
        <v>74</v>
      </c>
      <c r="F722" t="s">
        <v>13947</v>
      </c>
      <c r="G722" t="s">
        <v>74</v>
      </c>
      <c r="H722" t="s">
        <v>74</v>
      </c>
      <c r="I722" t="s">
        <v>13948</v>
      </c>
      <c r="J722" t="s">
        <v>13949</v>
      </c>
      <c r="K722" t="s">
        <v>74</v>
      </c>
      <c r="L722" t="s">
        <v>74</v>
      </c>
      <c r="M722" t="s">
        <v>78</v>
      </c>
      <c r="N722" t="s">
        <v>79</v>
      </c>
      <c r="O722" t="s">
        <v>74</v>
      </c>
      <c r="P722" t="s">
        <v>74</v>
      </c>
      <c r="Q722" t="s">
        <v>74</v>
      </c>
      <c r="R722" t="s">
        <v>74</v>
      </c>
      <c r="S722" t="s">
        <v>74</v>
      </c>
      <c r="T722" t="s">
        <v>13950</v>
      </c>
      <c r="U722" t="s">
        <v>13951</v>
      </c>
      <c r="V722" t="s">
        <v>13952</v>
      </c>
      <c r="W722" t="s">
        <v>13953</v>
      </c>
      <c r="X722" t="s">
        <v>3156</v>
      </c>
      <c r="Y722" t="s">
        <v>3157</v>
      </c>
      <c r="Z722" t="s">
        <v>13954</v>
      </c>
      <c r="AA722" t="s">
        <v>3159</v>
      </c>
      <c r="AB722" t="s">
        <v>74</v>
      </c>
      <c r="AC722" t="s">
        <v>13955</v>
      </c>
      <c r="AD722" t="s">
        <v>13956</v>
      </c>
      <c r="AE722" t="s">
        <v>13957</v>
      </c>
      <c r="AF722" t="s">
        <v>74</v>
      </c>
      <c r="AG722">
        <v>60</v>
      </c>
      <c r="AH722">
        <v>11</v>
      </c>
      <c r="AI722">
        <v>11</v>
      </c>
      <c r="AJ722">
        <v>0</v>
      </c>
      <c r="AK722">
        <v>20</v>
      </c>
      <c r="AL722" t="s">
        <v>120</v>
      </c>
      <c r="AM722" t="s">
        <v>2560</v>
      </c>
      <c r="AN722" t="s">
        <v>2561</v>
      </c>
      <c r="AO722" t="s">
        <v>13958</v>
      </c>
      <c r="AP722" t="s">
        <v>13959</v>
      </c>
      <c r="AQ722" t="s">
        <v>74</v>
      </c>
      <c r="AR722" t="s">
        <v>13960</v>
      </c>
      <c r="AS722" t="s">
        <v>13961</v>
      </c>
      <c r="AT722" t="s">
        <v>12379</v>
      </c>
      <c r="AU722">
        <v>2015</v>
      </c>
      <c r="AV722">
        <v>16</v>
      </c>
      <c r="AW722">
        <v>1</v>
      </c>
      <c r="AX722" t="s">
        <v>74</v>
      </c>
      <c r="AY722" t="s">
        <v>74</v>
      </c>
      <c r="AZ722" t="s">
        <v>74</v>
      </c>
      <c r="BA722" t="s">
        <v>74</v>
      </c>
      <c r="BB722">
        <v>125</v>
      </c>
      <c r="BC722">
        <v>135</v>
      </c>
      <c r="BD722" t="s">
        <v>74</v>
      </c>
      <c r="BE722" t="s">
        <v>13962</v>
      </c>
      <c r="BF722" t="str">
        <f>HYPERLINK("http://dx.doi.org/10.1007/s10592-014-0646-4","http://dx.doi.org/10.1007/s10592-014-0646-4")</f>
        <v>http://dx.doi.org/10.1007/s10592-014-0646-4</v>
      </c>
      <c r="BG722" t="s">
        <v>74</v>
      </c>
      <c r="BH722" t="s">
        <v>74</v>
      </c>
      <c r="BI722">
        <v>11</v>
      </c>
      <c r="BJ722" t="s">
        <v>13963</v>
      </c>
      <c r="BK722" t="s">
        <v>100</v>
      </c>
      <c r="BL722" t="s">
        <v>13964</v>
      </c>
      <c r="BM722" t="s">
        <v>13965</v>
      </c>
      <c r="BN722" t="s">
        <v>74</v>
      </c>
      <c r="BO722" t="s">
        <v>74</v>
      </c>
      <c r="BP722" t="s">
        <v>74</v>
      </c>
      <c r="BQ722" t="s">
        <v>74</v>
      </c>
      <c r="BR722" t="s">
        <v>104</v>
      </c>
      <c r="BS722" t="s">
        <v>13966</v>
      </c>
      <c r="BT722" t="str">
        <f>HYPERLINK("https%3A%2F%2Fwww.webofscience.com%2Fwos%2Fwoscc%2Ffull-record%2FWOS:000348360700010","View Full Record in Web of Science")</f>
        <v>View Full Record in Web of Science</v>
      </c>
    </row>
    <row r="723" spans="1:72" x14ac:dyDescent="0.15">
      <c r="A723" t="s">
        <v>72</v>
      </c>
      <c r="B723" t="s">
        <v>13967</v>
      </c>
      <c r="C723" t="s">
        <v>74</v>
      </c>
      <c r="D723" t="s">
        <v>74</v>
      </c>
      <c r="E723" t="s">
        <v>74</v>
      </c>
      <c r="F723" t="s">
        <v>13968</v>
      </c>
      <c r="G723" t="s">
        <v>74</v>
      </c>
      <c r="H723" t="s">
        <v>74</v>
      </c>
      <c r="I723" t="s">
        <v>13969</v>
      </c>
      <c r="J723" t="s">
        <v>848</v>
      </c>
      <c r="K723" t="s">
        <v>74</v>
      </c>
      <c r="L723" t="s">
        <v>74</v>
      </c>
      <c r="M723" t="s">
        <v>78</v>
      </c>
      <c r="N723" t="s">
        <v>79</v>
      </c>
      <c r="O723" t="s">
        <v>74</v>
      </c>
      <c r="P723" t="s">
        <v>74</v>
      </c>
      <c r="Q723" t="s">
        <v>74</v>
      </c>
      <c r="R723" t="s">
        <v>74</v>
      </c>
      <c r="S723" t="s">
        <v>74</v>
      </c>
      <c r="T723" t="s">
        <v>13970</v>
      </c>
      <c r="U723" t="s">
        <v>13971</v>
      </c>
      <c r="V723" t="s">
        <v>13972</v>
      </c>
      <c r="W723" t="s">
        <v>13973</v>
      </c>
      <c r="X723" t="s">
        <v>13974</v>
      </c>
      <c r="Y723" t="s">
        <v>13975</v>
      </c>
      <c r="Z723" t="s">
        <v>13976</v>
      </c>
      <c r="AA723" t="s">
        <v>74</v>
      </c>
      <c r="AB723" t="s">
        <v>13977</v>
      </c>
      <c r="AC723" t="s">
        <v>13978</v>
      </c>
      <c r="AD723" t="s">
        <v>13979</v>
      </c>
      <c r="AE723" t="s">
        <v>13980</v>
      </c>
      <c r="AF723" t="s">
        <v>74</v>
      </c>
      <c r="AG723">
        <v>99</v>
      </c>
      <c r="AH723">
        <v>22</v>
      </c>
      <c r="AI723">
        <v>22</v>
      </c>
      <c r="AJ723">
        <v>1</v>
      </c>
      <c r="AK723">
        <v>40</v>
      </c>
      <c r="AL723" t="s">
        <v>815</v>
      </c>
      <c r="AM723" t="s">
        <v>816</v>
      </c>
      <c r="AN723" t="s">
        <v>817</v>
      </c>
      <c r="AO723" t="s">
        <v>858</v>
      </c>
      <c r="AP723" t="s">
        <v>859</v>
      </c>
      <c r="AQ723" t="s">
        <v>74</v>
      </c>
      <c r="AR723" t="s">
        <v>860</v>
      </c>
      <c r="AS723" t="s">
        <v>861</v>
      </c>
      <c r="AT723" t="s">
        <v>13115</v>
      </c>
      <c r="AU723">
        <v>2015</v>
      </c>
      <c r="AV723">
        <v>411</v>
      </c>
      <c r="AW723" t="s">
        <v>74</v>
      </c>
      <c r="AX723" t="s">
        <v>74</v>
      </c>
      <c r="AY723" t="s">
        <v>74</v>
      </c>
      <c r="AZ723" t="s">
        <v>74</v>
      </c>
      <c r="BA723" t="s">
        <v>74</v>
      </c>
      <c r="BB723">
        <v>87</v>
      </c>
      <c r="BC723">
        <v>99</v>
      </c>
      <c r="BD723" t="s">
        <v>74</v>
      </c>
      <c r="BE723" t="s">
        <v>13981</v>
      </c>
      <c r="BF723" t="str">
        <f>HYPERLINK("http://dx.doi.org/10.1016/j.epsl.2014.11.051","http://dx.doi.org/10.1016/j.epsl.2014.11.051")</f>
        <v>http://dx.doi.org/10.1016/j.epsl.2014.11.051</v>
      </c>
      <c r="BG723" t="s">
        <v>74</v>
      </c>
      <c r="BH723" t="s">
        <v>74</v>
      </c>
      <c r="BI723">
        <v>13</v>
      </c>
      <c r="BJ723" t="s">
        <v>863</v>
      </c>
      <c r="BK723" t="s">
        <v>100</v>
      </c>
      <c r="BL723" t="s">
        <v>863</v>
      </c>
      <c r="BM723" t="s">
        <v>13276</v>
      </c>
      <c r="BN723" t="s">
        <v>74</v>
      </c>
      <c r="BO723" t="s">
        <v>4454</v>
      </c>
      <c r="BP723" t="s">
        <v>74</v>
      </c>
      <c r="BQ723" t="s">
        <v>74</v>
      </c>
      <c r="BR723" t="s">
        <v>104</v>
      </c>
      <c r="BS723" t="s">
        <v>13982</v>
      </c>
      <c r="BT723" t="str">
        <f>HYPERLINK("https%3A%2F%2Fwww.webofscience.com%2Fwos%2Fwoscc%2Ffull-record%2FWOS:000349197500010","View Full Record in Web of Science")</f>
        <v>View Full Record in Web of Science</v>
      </c>
    </row>
    <row r="724" spans="1:72" x14ac:dyDescent="0.15">
      <c r="A724" t="s">
        <v>72</v>
      </c>
      <c r="B724" t="s">
        <v>13983</v>
      </c>
      <c r="C724" t="s">
        <v>74</v>
      </c>
      <c r="D724" t="s">
        <v>74</v>
      </c>
      <c r="E724" t="s">
        <v>74</v>
      </c>
      <c r="F724" t="s">
        <v>13984</v>
      </c>
      <c r="G724" t="s">
        <v>74</v>
      </c>
      <c r="H724" t="s">
        <v>74</v>
      </c>
      <c r="I724" t="s">
        <v>13985</v>
      </c>
      <c r="J724" t="s">
        <v>1427</v>
      </c>
      <c r="K724" t="s">
        <v>74</v>
      </c>
      <c r="L724" t="s">
        <v>74</v>
      </c>
      <c r="M724" t="s">
        <v>78</v>
      </c>
      <c r="N724" t="s">
        <v>79</v>
      </c>
      <c r="O724" t="s">
        <v>74</v>
      </c>
      <c r="P724" t="s">
        <v>74</v>
      </c>
      <c r="Q724" t="s">
        <v>74</v>
      </c>
      <c r="R724" t="s">
        <v>74</v>
      </c>
      <c r="S724" t="s">
        <v>74</v>
      </c>
      <c r="T724" t="s">
        <v>13986</v>
      </c>
      <c r="U724" t="s">
        <v>13987</v>
      </c>
      <c r="V724" t="s">
        <v>13988</v>
      </c>
      <c r="W724" t="s">
        <v>13989</v>
      </c>
      <c r="X724" t="s">
        <v>2928</v>
      </c>
      <c r="Y724" t="s">
        <v>13990</v>
      </c>
      <c r="Z724" t="s">
        <v>13991</v>
      </c>
      <c r="AA724" t="s">
        <v>13992</v>
      </c>
      <c r="AB724" t="s">
        <v>13993</v>
      </c>
      <c r="AC724" t="s">
        <v>13994</v>
      </c>
      <c r="AD724" t="s">
        <v>13995</v>
      </c>
      <c r="AE724" t="s">
        <v>13996</v>
      </c>
      <c r="AF724" t="s">
        <v>74</v>
      </c>
      <c r="AG724">
        <v>72</v>
      </c>
      <c r="AH724">
        <v>62</v>
      </c>
      <c r="AI724">
        <v>64</v>
      </c>
      <c r="AJ724">
        <v>0</v>
      </c>
      <c r="AK724">
        <v>21</v>
      </c>
      <c r="AL724" t="s">
        <v>266</v>
      </c>
      <c r="AM724" t="s">
        <v>267</v>
      </c>
      <c r="AN724" t="s">
        <v>268</v>
      </c>
      <c r="AO724" t="s">
        <v>74</v>
      </c>
      <c r="AP724" t="s">
        <v>1436</v>
      </c>
      <c r="AQ724" t="s">
        <v>74</v>
      </c>
      <c r="AR724" t="s">
        <v>1427</v>
      </c>
      <c r="AS724" t="s">
        <v>1437</v>
      </c>
      <c r="AT724" t="s">
        <v>12379</v>
      </c>
      <c r="AU724">
        <v>2015</v>
      </c>
      <c r="AV724">
        <v>3</v>
      </c>
      <c r="AW724">
        <v>2</v>
      </c>
      <c r="AX724" t="s">
        <v>74</v>
      </c>
      <c r="AY724" t="s">
        <v>74</v>
      </c>
      <c r="AZ724" t="s">
        <v>74</v>
      </c>
      <c r="BA724" t="s">
        <v>74</v>
      </c>
      <c r="BB724">
        <v>66</v>
      </c>
      <c r="BC724">
        <v>81</v>
      </c>
      <c r="BD724" t="s">
        <v>74</v>
      </c>
      <c r="BE724" t="s">
        <v>13997</v>
      </c>
      <c r="BF724" t="str">
        <f>HYPERLINK("http://dx.doi.org/10.1002/2014EF000282","http://dx.doi.org/10.1002/2014EF000282")</f>
        <v>http://dx.doi.org/10.1002/2014EF000282</v>
      </c>
      <c r="BG724" t="s">
        <v>74</v>
      </c>
      <c r="BH724" t="s">
        <v>74</v>
      </c>
      <c r="BI724">
        <v>16</v>
      </c>
      <c r="BJ724" t="s">
        <v>1439</v>
      </c>
      <c r="BK724" t="s">
        <v>100</v>
      </c>
      <c r="BL724" t="s">
        <v>1440</v>
      </c>
      <c r="BM724" t="s">
        <v>13998</v>
      </c>
      <c r="BN724" t="s">
        <v>74</v>
      </c>
      <c r="BO724" t="s">
        <v>13999</v>
      </c>
      <c r="BP724" t="s">
        <v>74</v>
      </c>
      <c r="BQ724" t="s">
        <v>74</v>
      </c>
      <c r="BR724" t="s">
        <v>104</v>
      </c>
      <c r="BS724" t="s">
        <v>14000</v>
      </c>
      <c r="BT724" t="str">
        <f>HYPERLINK("https%3A%2F%2Fwww.webofscience.com%2Fwos%2Fwoscc%2Ffull-record%2FWOS:000358139000003","View Full Record in Web of Science")</f>
        <v>View Full Record in Web of Science</v>
      </c>
    </row>
    <row r="725" spans="1:72" x14ac:dyDescent="0.15">
      <c r="A725" t="s">
        <v>72</v>
      </c>
      <c r="B725" t="s">
        <v>14001</v>
      </c>
      <c r="C725" t="s">
        <v>74</v>
      </c>
      <c r="D725" t="s">
        <v>74</v>
      </c>
      <c r="E725" t="s">
        <v>74</v>
      </c>
      <c r="F725" t="s">
        <v>14002</v>
      </c>
      <c r="G725" t="s">
        <v>74</v>
      </c>
      <c r="H725" t="s">
        <v>74</v>
      </c>
      <c r="I725" t="s">
        <v>14003</v>
      </c>
      <c r="J725" t="s">
        <v>14004</v>
      </c>
      <c r="K725" t="s">
        <v>74</v>
      </c>
      <c r="L725" t="s">
        <v>74</v>
      </c>
      <c r="M725" t="s">
        <v>78</v>
      </c>
      <c r="N725" t="s">
        <v>79</v>
      </c>
      <c r="O725" t="s">
        <v>74</v>
      </c>
      <c r="P725" t="s">
        <v>74</v>
      </c>
      <c r="Q725" t="s">
        <v>74</v>
      </c>
      <c r="R725" t="s">
        <v>74</v>
      </c>
      <c r="S725" t="s">
        <v>74</v>
      </c>
      <c r="T725" t="s">
        <v>74</v>
      </c>
      <c r="U725" t="s">
        <v>14005</v>
      </c>
      <c r="V725" t="s">
        <v>14006</v>
      </c>
      <c r="W725" t="s">
        <v>14007</v>
      </c>
      <c r="X725" t="s">
        <v>14008</v>
      </c>
      <c r="Y725" t="s">
        <v>14009</v>
      </c>
      <c r="Z725" t="s">
        <v>14010</v>
      </c>
      <c r="AA725" t="s">
        <v>14011</v>
      </c>
      <c r="AB725" t="s">
        <v>14012</v>
      </c>
      <c r="AC725" t="s">
        <v>14013</v>
      </c>
      <c r="AD725" t="s">
        <v>14014</v>
      </c>
      <c r="AE725" t="s">
        <v>14015</v>
      </c>
      <c r="AF725" t="s">
        <v>74</v>
      </c>
      <c r="AG725">
        <v>15</v>
      </c>
      <c r="AH725">
        <v>59</v>
      </c>
      <c r="AI725">
        <v>61</v>
      </c>
      <c r="AJ725">
        <v>0</v>
      </c>
      <c r="AK725">
        <v>52</v>
      </c>
      <c r="AL725" t="s">
        <v>1508</v>
      </c>
      <c r="AM725" t="s">
        <v>92</v>
      </c>
      <c r="AN725" t="s">
        <v>93</v>
      </c>
      <c r="AO725" t="s">
        <v>14016</v>
      </c>
      <c r="AP725" t="s">
        <v>14017</v>
      </c>
      <c r="AQ725" t="s">
        <v>74</v>
      </c>
      <c r="AR725" t="s">
        <v>14004</v>
      </c>
      <c r="AS725" t="s">
        <v>14018</v>
      </c>
      <c r="AT725" t="s">
        <v>12379</v>
      </c>
      <c r="AU725">
        <v>2015</v>
      </c>
      <c r="AV725">
        <v>38</v>
      </c>
      <c r="AW725">
        <v>2</v>
      </c>
      <c r="AX725" t="s">
        <v>74</v>
      </c>
      <c r="AY725" t="s">
        <v>74</v>
      </c>
      <c r="AZ725" t="s">
        <v>74</v>
      </c>
      <c r="BA725" t="s">
        <v>74</v>
      </c>
      <c r="BB725">
        <v>111</v>
      </c>
      <c r="BC725">
        <v>113</v>
      </c>
      <c r="BD725" t="s">
        <v>74</v>
      </c>
      <c r="BE725" t="s">
        <v>14019</v>
      </c>
      <c r="BF725" t="str">
        <f>HYPERLINK("http://dx.doi.org/10.1111/ecog.01182","http://dx.doi.org/10.1111/ecog.01182")</f>
        <v>http://dx.doi.org/10.1111/ecog.01182</v>
      </c>
      <c r="BG725" t="s">
        <v>74</v>
      </c>
      <c r="BH725" t="s">
        <v>74</v>
      </c>
      <c r="BI725">
        <v>3</v>
      </c>
      <c r="BJ725" t="s">
        <v>1311</v>
      </c>
      <c r="BK725" t="s">
        <v>100</v>
      </c>
      <c r="BL725" t="s">
        <v>154</v>
      </c>
      <c r="BM725" t="s">
        <v>14020</v>
      </c>
      <c r="BN725" t="s">
        <v>74</v>
      </c>
      <c r="BO725" t="s">
        <v>74</v>
      </c>
      <c r="BP725" t="s">
        <v>74</v>
      </c>
      <c r="BQ725" t="s">
        <v>74</v>
      </c>
      <c r="BR725" t="s">
        <v>104</v>
      </c>
      <c r="BS725" t="s">
        <v>14021</v>
      </c>
      <c r="BT725" t="str">
        <f>HYPERLINK("https%3A%2F%2Fwww.webofscience.com%2Fwos%2Fwoscc%2Ffull-record%2FWOS:000349463400001","View Full Record in Web of Science")</f>
        <v>View Full Record in Web of Science</v>
      </c>
    </row>
    <row r="726" spans="1:72" x14ac:dyDescent="0.15">
      <c r="A726" t="s">
        <v>72</v>
      </c>
      <c r="B726" t="s">
        <v>14022</v>
      </c>
      <c r="C726" t="s">
        <v>74</v>
      </c>
      <c r="D726" t="s">
        <v>74</v>
      </c>
      <c r="E726" t="s">
        <v>74</v>
      </c>
      <c r="F726" t="s">
        <v>14023</v>
      </c>
      <c r="G726" t="s">
        <v>74</v>
      </c>
      <c r="H726" t="s">
        <v>74</v>
      </c>
      <c r="I726" t="s">
        <v>14024</v>
      </c>
      <c r="J726" t="s">
        <v>14004</v>
      </c>
      <c r="K726" t="s">
        <v>74</v>
      </c>
      <c r="L726" t="s">
        <v>74</v>
      </c>
      <c r="M726" t="s">
        <v>78</v>
      </c>
      <c r="N726" t="s">
        <v>79</v>
      </c>
      <c r="O726" t="s">
        <v>74</v>
      </c>
      <c r="P726" t="s">
        <v>74</v>
      </c>
      <c r="Q726" t="s">
        <v>74</v>
      </c>
      <c r="R726" t="s">
        <v>74</v>
      </c>
      <c r="S726" t="s">
        <v>74</v>
      </c>
      <c r="T726" t="s">
        <v>74</v>
      </c>
      <c r="U726" t="s">
        <v>14025</v>
      </c>
      <c r="V726" t="s">
        <v>14026</v>
      </c>
      <c r="W726" t="s">
        <v>14027</v>
      </c>
      <c r="X726" t="s">
        <v>14028</v>
      </c>
      <c r="Y726" t="s">
        <v>14029</v>
      </c>
      <c r="Z726" t="s">
        <v>14030</v>
      </c>
      <c r="AA726" t="s">
        <v>74</v>
      </c>
      <c r="AB726" t="s">
        <v>74</v>
      </c>
      <c r="AC726" t="s">
        <v>14031</v>
      </c>
      <c r="AD726" t="s">
        <v>14032</v>
      </c>
      <c r="AE726" t="s">
        <v>14033</v>
      </c>
      <c r="AF726" t="s">
        <v>74</v>
      </c>
      <c r="AG726">
        <v>72</v>
      </c>
      <c r="AH726">
        <v>29</v>
      </c>
      <c r="AI726">
        <v>34</v>
      </c>
      <c r="AJ726">
        <v>3</v>
      </c>
      <c r="AK726">
        <v>102</v>
      </c>
      <c r="AL726" t="s">
        <v>91</v>
      </c>
      <c r="AM726" t="s">
        <v>92</v>
      </c>
      <c r="AN726" t="s">
        <v>93</v>
      </c>
      <c r="AO726" t="s">
        <v>14016</v>
      </c>
      <c r="AP726" t="s">
        <v>14017</v>
      </c>
      <c r="AQ726" t="s">
        <v>74</v>
      </c>
      <c r="AR726" t="s">
        <v>14004</v>
      </c>
      <c r="AS726" t="s">
        <v>14018</v>
      </c>
      <c r="AT726" t="s">
        <v>12379</v>
      </c>
      <c r="AU726">
        <v>2015</v>
      </c>
      <c r="AV726">
        <v>38</v>
      </c>
      <c r="AW726">
        <v>2</v>
      </c>
      <c r="AX726" t="s">
        <v>74</v>
      </c>
      <c r="AY726" t="s">
        <v>74</v>
      </c>
      <c r="AZ726" t="s">
        <v>74</v>
      </c>
      <c r="BA726" t="s">
        <v>74</v>
      </c>
      <c r="BB726">
        <v>114</v>
      </c>
      <c r="BC726">
        <v>120</v>
      </c>
      <c r="BD726" t="s">
        <v>74</v>
      </c>
      <c r="BE726" t="s">
        <v>14034</v>
      </c>
      <c r="BF726" t="str">
        <f>HYPERLINK("http://dx.doi.org/10.1111/ecog.00990","http://dx.doi.org/10.1111/ecog.00990")</f>
        <v>http://dx.doi.org/10.1111/ecog.00990</v>
      </c>
      <c r="BG726" t="s">
        <v>74</v>
      </c>
      <c r="BH726" t="s">
        <v>74</v>
      </c>
      <c r="BI726">
        <v>7</v>
      </c>
      <c r="BJ726" t="s">
        <v>1311</v>
      </c>
      <c r="BK726" t="s">
        <v>100</v>
      </c>
      <c r="BL726" t="s">
        <v>154</v>
      </c>
      <c r="BM726" t="s">
        <v>14020</v>
      </c>
      <c r="BN726" t="s">
        <v>74</v>
      </c>
      <c r="BO726" t="s">
        <v>74</v>
      </c>
      <c r="BP726" t="s">
        <v>74</v>
      </c>
      <c r="BQ726" t="s">
        <v>74</v>
      </c>
      <c r="BR726" t="s">
        <v>104</v>
      </c>
      <c r="BS726" t="s">
        <v>14035</v>
      </c>
      <c r="BT726" t="str">
        <f>HYPERLINK("https%3A%2F%2Fwww.webofscience.com%2Fwos%2Fwoscc%2Ffull-record%2FWOS:000349463400002","View Full Record in Web of Science")</f>
        <v>View Full Record in Web of Science</v>
      </c>
    </row>
    <row r="727" spans="1:72" x14ac:dyDescent="0.15">
      <c r="A727" t="s">
        <v>72</v>
      </c>
      <c r="B727" t="s">
        <v>14036</v>
      </c>
      <c r="C727" t="s">
        <v>74</v>
      </c>
      <c r="D727" t="s">
        <v>74</v>
      </c>
      <c r="E727" t="s">
        <v>74</v>
      </c>
      <c r="F727" t="s">
        <v>14037</v>
      </c>
      <c r="G727" t="s">
        <v>74</v>
      </c>
      <c r="H727" t="s">
        <v>74</v>
      </c>
      <c r="I727" t="s">
        <v>14038</v>
      </c>
      <c r="J727" t="s">
        <v>14004</v>
      </c>
      <c r="K727" t="s">
        <v>74</v>
      </c>
      <c r="L727" t="s">
        <v>74</v>
      </c>
      <c r="M727" t="s">
        <v>78</v>
      </c>
      <c r="N727" t="s">
        <v>79</v>
      </c>
      <c r="O727" t="s">
        <v>74</v>
      </c>
      <c r="P727" t="s">
        <v>74</v>
      </c>
      <c r="Q727" t="s">
        <v>74</v>
      </c>
      <c r="R727" t="s">
        <v>74</v>
      </c>
      <c r="S727" t="s">
        <v>74</v>
      </c>
      <c r="T727" t="s">
        <v>74</v>
      </c>
      <c r="U727" t="s">
        <v>14039</v>
      </c>
      <c r="V727" t="s">
        <v>14040</v>
      </c>
      <c r="W727" t="s">
        <v>14041</v>
      </c>
      <c r="X727" t="s">
        <v>14042</v>
      </c>
      <c r="Y727" t="s">
        <v>14043</v>
      </c>
      <c r="Z727" t="s">
        <v>14044</v>
      </c>
      <c r="AA727" t="s">
        <v>14045</v>
      </c>
      <c r="AB727" t="s">
        <v>14046</v>
      </c>
      <c r="AC727" t="s">
        <v>74</v>
      </c>
      <c r="AD727" t="s">
        <v>74</v>
      </c>
      <c r="AE727" t="s">
        <v>74</v>
      </c>
      <c r="AF727" t="s">
        <v>74</v>
      </c>
      <c r="AG727">
        <v>48</v>
      </c>
      <c r="AH727">
        <v>126</v>
      </c>
      <c r="AI727">
        <v>129</v>
      </c>
      <c r="AJ727">
        <v>3</v>
      </c>
      <c r="AK727">
        <v>99</v>
      </c>
      <c r="AL727" t="s">
        <v>91</v>
      </c>
      <c r="AM727" t="s">
        <v>92</v>
      </c>
      <c r="AN727" t="s">
        <v>93</v>
      </c>
      <c r="AO727" t="s">
        <v>14016</v>
      </c>
      <c r="AP727" t="s">
        <v>14017</v>
      </c>
      <c r="AQ727" t="s">
        <v>74</v>
      </c>
      <c r="AR727" t="s">
        <v>14004</v>
      </c>
      <c r="AS727" t="s">
        <v>14018</v>
      </c>
      <c r="AT727" t="s">
        <v>12379</v>
      </c>
      <c r="AU727">
        <v>2015</v>
      </c>
      <c r="AV727">
        <v>38</v>
      </c>
      <c r="AW727">
        <v>2</v>
      </c>
      <c r="AX727" t="s">
        <v>74</v>
      </c>
      <c r="AY727" t="s">
        <v>74</v>
      </c>
      <c r="AZ727" t="s">
        <v>74</v>
      </c>
      <c r="BA727" t="s">
        <v>74</v>
      </c>
      <c r="BB727">
        <v>121</v>
      </c>
      <c r="BC727">
        <v>129</v>
      </c>
      <c r="BD727" t="s">
        <v>74</v>
      </c>
      <c r="BE727" t="s">
        <v>14047</v>
      </c>
      <c r="BF727" t="str">
        <f>HYPERLINK("http://dx.doi.org/10.1111/ecog.01021","http://dx.doi.org/10.1111/ecog.01021")</f>
        <v>http://dx.doi.org/10.1111/ecog.01021</v>
      </c>
      <c r="BG727" t="s">
        <v>74</v>
      </c>
      <c r="BH727" t="s">
        <v>74</v>
      </c>
      <c r="BI727">
        <v>9</v>
      </c>
      <c r="BJ727" t="s">
        <v>1311</v>
      </c>
      <c r="BK727" t="s">
        <v>100</v>
      </c>
      <c r="BL727" t="s">
        <v>154</v>
      </c>
      <c r="BM727" t="s">
        <v>14020</v>
      </c>
      <c r="BN727" t="s">
        <v>74</v>
      </c>
      <c r="BO727" t="s">
        <v>74</v>
      </c>
      <c r="BP727" t="s">
        <v>74</v>
      </c>
      <c r="BQ727" t="s">
        <v>74</v>
      </c>
      <c r="BR727" t="s">
        <v>104</v>
      </c>
      <c r="BS727" t="s">
        <v>14048</v>
      </c>
      <c r="BT727" t="str">
        <f>HYPERLINK("https%3A%2F%2Fwww.webofscience.com%2Fwos%2Fwoscc%2Ffull-record%2FWOS:000349463400003","View Full Record in Web of Science")</f>
        <v>View Full Record in Web of Science</v>
      </c>
    </row>
    <row r="728" spans="1:72" x14ac:dyDescent="0.15">
      <c r="A728" t="s">
        <v>72</v>
      </c>
      <c r="B728" t="s">
        <v>14049</v>
      </c>
      <c r="C728" t="s">
        <v>74</v>
      </c>
      <c r="D728" t="s">
        <v>74</v>
      </c>
      <c r="E728" t="s">
        <v>74</v>
      </c>
      <c r="F728" t="s">
        <v>14050</v>
      </c>
      <c r="G728" t="s">
        <v>74</v>
      </c>
      <c r="H728" t="s">
        <v>74</v>
      </c>
      <c r="I728" t="s">
        <v>14051</v>
      </c>
      <c r="J728" t="s">
        <v>12964</v>
      </c>
      <c r="K728" t="s">
        <v>74</v>
      </c>
      <c r="L728" t="s">
        <v>74</v>
      </c>
      <c r="M728" t="s">
        <v>78</v>
      </c>
      <c r="N728" t="s">
        <v>79</v>
      </c>
      <c r="O728" t="s">
        <v>74</v>
      </c>
      <c r="P728" t="s">
        <v>74</v>
      </c>
      <c r="Q728" t="s">
        <v>74</v>
      </c>
      <c r="R728" t="s">
        <v>74</v>
      </c>
      <c r="S728" t="s">
        <v>74</v>
      </c>
      <c r="T728" t="s">
        <v>14052</v>
      </c>
      <c r="U728" t="s">
        <v>14053</v>
      </c>
      <c r="V728" t="s">
        <v>14054</v>
      </c>
      <c r="W728" t="s">
        <v>14055</v>
      </c>
      <c r="X728" t="s">
        <v>14056</v>
      </c>
      <c r="Y728" t="s">
        <v>14057</v>
      </c>
      <c r="Z728" t="s">
        <v>14058</v>
      </c>
      <c r="AA728" t="s">
        <v>74</v>
      </c>
      <c r="AB728" t="s">
        <v>14059</v>
      </c>
      <c r="AC728" t="s">
        <v>14060</v>
      </c>
      <c r="AD728" t="s">
        <v>14061</v>
      </c>
      <c r="AE728" t="s">
        <v>14062</v>
      </c>
      <c r="AF728" t="s">
        <v>74</v>
      </c>
      <c r="AG728">
        <v>68</v>
      </c>
      <c r="AH728">
        <v>24</v>
      </c>
      <c r="AI728">
        <v>28</v>
      </c>
      <c r="AJ728">
        <v>0</v>
      </c>
      <c r="AK728">
        <v>55</v>
      </c>
      <c r="AL728" t="s">
        <v>91</v>
      </c>
      <c r="AM728" t="s">
        <v>92</v>
      </c>
      <c r="AN728" t="s">
        <v>93</v>
      </c>
      <c r="AO728" t="s">
        <v>12977</v>
      </c>
      <c r="AP728" t="s">
        <v>12978</v>
      </c>
      <c r="AQ728" t="s">
        <v>74</v>
      </c>
      <c r="AR728" t="s">
        <v>12964</v>
      </c>
      <c r="AS728" t="s">
        <v>1047</v>
      </c>
      <c r="AT728" t="s">
        <v>12379</v>
      </c>
      <c r="AU728">
        <v>2015</v>
      </c>
      <c r="AV728">
        <v>96</v>
      </c>
      <c r="AW728">
        <v>2</v>
      </c>
      <c r="AX728" t="s">
        <v>74</v>
      </c>
      <c r="AY728" t="s">
        <v>74</v>
      </c>
      <c r="AZ728" t="s">
        <v>74</v>
      </c>
      <c r="BA728" t="s">
        <v>74</v>
      </c>
      <c r="BB728">
        <v>479</v>
      </c>
      <c r="BC728">
        <v>488</v>
      </c>
      <c r="BD728" t="s">
        <v>74</v>
      </c>
      <c r="BE728" t="s">
        <v>14063</v>
      </c>
      <c r="BF728" t="str">
        <f>HYPERLINK("http://dx.doi.org/10.1890/14-0911.1","http://dx.doi.org/10.1890/14-0911.1")</f>
        <v>http://dx.doi.org/10.1890/14-0911.1</v>
      </c>
      <c r="BG728" t="s">
        <v>74</v>
      </c>
      <c r="BH728" t="s">
        <v>74</v>
      </c>
      <c r="BI728">
        <v>10</v>
      </c>
      <c r="BJ728" t="s">
        <v>1047</v>
      </c>
      <c r="BK728" t="s">
        <v>100</v>
      </c>
      <c r="BL728" t="s">
        <v>1048</v>
      </c>
      <c r="BM728" t="s">
        <v>12980</v>
      </c>
      <c r="BN728">
        <v>26240869</v>
      </c>
      <c r="BO728" t="s">
        <v>248</v>
      </c>
      <c r="BP728" t="s">
        <v>74</v>
      </c>
      <c r="BQ728" t="s">
        <v>74</v>
      </c>
      <c r="BR728" t="s">
        <v>104</v>
      </c>
      <c r="BS728" t="s">
        <v>14064</v>
      </c>
      <c r="BT728" t="str">
        <f>HYPERLINK("https%3A%2F%2Fwww.webofscience.com%2Fwos%2Fwoscc%2Ffull-record%2FWOS:000350484600019","View Full Record in Web of Science")</f>
        <v>View Full Record in Web of Science</v>
      </c>
    </row>
    <row r="729" spans="1:72" x14ac:dyDescent="0.15">
      <c r="A729" t="s">
        <v>72</v>
      </c>
      <c r="B729" t="s">
        <v>14065</v>
      </c>
      <c r="C729" t="s">
        <v>74</v>
      </c>
      <c r="D729" t="s">
        <v>74</v>
      </c>
      <c r="E729" t="s">
        <v>74</v>
      </c>
      <c r="F729" t="s">
        <v>14066</v>
      </c>
      <c r="G729" t="s">
        <v>74</v>
      </c>
      <c r="H729" t="s">
        <v>74</v>
      </c>
      <c r="I729" t="s">
        <v>14067</v>
      </c>
      <c r="J729" t="s">
        <v>10772</v>
      </c>
      <c r="K729" t="s">
        <v>74</v>
      </c>
      <c r="L729" t="s">
        <v>74</v>
      </c>
      <c r="M729" t="s">
        <v>78</v>
      </c>
      <c r="N729" t="s">
        <v>79</v>
      </c>
      <c r="O729" t="s">
        <v>74</v>
      </c>
      <c r="P729" t="s">
        <v>74</v>
      </c>
      <c r="Q729" t="s">
        <v>74</v>
      </c>
      <c r="R729" t="s">
        <v>74</v>
      </c>
      <c r="S729" t="s">
        <v>74</v>
      </c>
      <c r="T729" t="s">
        <v>14068</v>
      </c>
      <c r="U729" t="s">
        <v>14069</v>
      </c>
      <c r="V729" t="s">
        <v>14070</v>
      </c>
      <c r="W729" t="s">
        <v>14071</v>
      </c>
      <c r="X729" t="s">
        <v>14072</v>
      </c>
      <c r="Y729" t="s">
        <v>14073</v>
      </c>
      <c r="Z729" t="s">
        <v>14074</v>
      </c>
      <c r="AA729" t="s">
        <v>14075</v>
      </c>
      <c r="AB729" t="s">
        <v>14076</v>
      </c>
      <c r="AC729" t="s">
        <v>14077</v>
      </c>
      <c r="AD729" t="s">
        <v>14078</v>
      </c>
      <c r="AE729" t="s">
        <v>14079</v>
      </c>
      <c r="AF729" t="s">
        <v>74</v>
      </c>
      <c r="AG729">
        <v>92</v>
      </c>
      <c r="AH729">
        <v>73</v>
      </c>
      <c r="AI729">
        <v>80</v>
      </c>
      <c r="AJ729">
        <v>1</v>
      </c>
      <c r="AK729">
        <v>81</v>
      </c>
      <c r="AL729" t="s">
        <v>91</v>
      </c>
      <c r="AM729" t="s">
        <v>92</v>
      </c>
      <c r="AN729" t="s">
        <v>93</v>
      </c>
      <c r="AO729" t="s">
        <v>10785</v>
      </c>
      <c r="AP729" t="s">
        <v>74</v>
      </c>
      <c r="AQ729" t="s">
        <v>74</v>
      </c>
      <c r="AR729" t="s">
        <v>10786</v>
      </c>
      <c r="AS729" t="s">
        <v>10787</v>
      </c>
      <c r="AT729" t="s">
        <v>12379</v>
      </c>
      <c r="AU729">
        <v>2015</v>
      </c>
      <c r="AV729">
        <v>5</v>
      </c>
      <c r="AW729">
        <v>4</v>
      </c>
      <c r="AX729" t="s">
        <v>74</v>
      </c>
      <c r="AY729" t="s">
        <v>74</v>
      </c>
      <c r="AZ729" t="s">
        <v>74</v>
      </c>
      <c r="BA729" t="s">
        <v>74</v>
      </c>
      <c r="BB729">
        <v>874</v>
      </c>
      <c r="BC729">
        <v>888</v>
      </c>
      <c r="BD729" t="s">
        <v>74</v>
      </c>
      <c r="BE729" t="s">
        <v>14080</v>
      </c>
      <c r="BF729" t="str">
        <f>HYPERLINK("http://dx.doi.org/10.1002/ece3.1382","http://dx.doi.org/10.1002/ece3.1382")</f>
        <v>http://dx.doi.org/10.1002/ece3.1382</v>
      </c>
      <c r="BG729" t="s">
        <v>74</v>
      </c>
      <c r="BH729" t="s">
        <v>74</v>
      </c>
      <c r="BI729">
        <v>15</v>
      </c>
      <c r="BJ729" t="s">
        <v>10789</v>
      </c>
      <c r="BK729" t="s">
        <v>100</v>
      </c>
      <c r="BL729" t="s">
        <v>10790</v>
      </c>
      <c r="BM729" t="s">
        <v>14081</v>
      </c>
      <c r="BN729">
        <v>25750714</v>
      </c>
      <c r="BO729" t="s">
        <v>485</v>
      </c>
      <c r="BP729" t="s">
        <v>74</v>
      </c>
      <c r="BQ729" t="s">
        <v>74</v>
      </c>
      <c r="BR729" t="s">
        <v>104</v>
      </c>
      <c r="BS729" t="s">
        <v>14082</v>
      </c>
      <c r="BT729" t="str">
        <f>HYPERLINK("https%3A%2F%2Fwww.webofscience.com%2Fwos%2Fwoscc%2Ffull-record%2FWOS:000349898100005","View Full Record in Web of Science")</f>
        <v>View Full Record in Web of Science</v>
      </c>
    </row>
    <row r="730" spans="1:72" x14ac:dyDescent="0.15">
      <c r="A730" t="s">
        <v>72</v>
      </c>
      <c r="B730" t="s">
        <v>14083</v>
      </c>
      <c r="C730" t="s">
        <v>74</v>
      </c>
      <c r="D730" t="s">
        <v>74</v>
      </c>
      <c r="E730" t="s">
        <v>74</v>
      </c>
      <c r="F730" t="s">
        <v>14084</v>
      </c>
      <c r="G730" t="s">
        <v>74</v>
      </c>
      <c r="H730" t="s">
        <v>74</v>
      </c>
      <c r="I730" t="s">
        <v>14085</v>
      </c>
      <c r="J730" t="s">
        <v>14086</v>
      </c>
      <c r="K730" t="s">
        <v>74</v>
      </c>
      <c r="L730" t="s">
        <v>74</v>
      </c>
      <c r="M730" t="s">
        <v>78</v>
      </c>
      <c r="N730" t="s">
        <v>79</v>
      </c>
      <c r="O730" t="s">
        <v>74</v>
      </c>
      <c r="P730" t="s">
        <v>74</v>
      </c>
      <c r="Q730" t="s">
        <v>74</v>
      </c>
      <c r="R730" t="s">
        <v>74</v>
      </c>
      <c r="S730" t="s">
        <v>74</v>
      </c>
      <c r="T730" t="s">
        <v>14087</v>
      </c>
      <c r="U730" t="s">
        <v>14088</v>
      </c>
      <c r="V730" t="s">
        <v>14089</v>
      </c>
      <c r="W730" t="s">
        <v>14090</v>
      </c>
      <c r="X730" t="s">
        <v>14091</v>
      </c>
      <c r="Y730" t="s">
        <v>14092</v>
      </c>
      <c r="Z730" t="s">
        <v>14093</v>
      </c>
      <c r="AA730" t="s">
        <v>14094</v>
      </c>
      <c r="AB730" t="s">
        <v>14095</v>
      </c>
      <c r="AC730" t="s">
        <v>14096</v>
      </c>
      <c r="AD730" t="s">
        <v>14097</v>
      </c>
      <c r="AE730" t="s">
        <v>14098</v>
      </c>
      <c r="AF730" t="s">
        <v>74</v>
      </c>
      <c r="AG730">
        <v>56</v>
      </c>
      <c r="AH730">
        <v>28</v>
      </c>
      <c r="AI730">
        <v>30</v>
      </c>
      <c r="AJ730">
        <v>0</v>
      </c>
      <c r="AK730">
        <v>69</v>
      </c>
      <c r="AL730" t="s">
        <v>120</v>
      </c>
      <c r="AM730" t="s">
        <v>2560</v>
      </c>
      <c r="AN730" t="s">
        <v>2561</v>
      </c>
      <c r="AO730" t="s">
        <v>14099</v>
      </c>
      <c r="AP730" t="s">
        <v>14100</v>
      </c>
      <c r="AQ730" t="s">
        <v>74</v>
      </c>
      <c r="AR730" t="s">
        <v>14101</v>
      </c>
      <c r="AS730" t="s">
        <v>14102</v>
      </c>
      <c r="AT730" t="s">
        <v>12379</v>
      </c>
      <c r="AU730">
        <v>2015</v>
      </c>
      <c r="AV730">
        <v>65</v>
      </c>
      <c r="AW730">
        <v>2</v>
      </c>
      <c r="AX730" t="s">
        <v>74</v>
      </c>
      <c r="AY730" t="s">
        <v>74</v>
      </c>
      <c r="AZ730" t="s">
        <v>74</v>
      </c>
      <c r="BA730" t="s">
        <v>74</v>
      </c>
      <c r="BB730">
        <v>163</v>
      </c>
      <c r="BC730">
        <v>179</v>
      </c>
      <c r="BD730" t="s">
        <v>74</v>
      </c>
      <c r="BE730" t="s">
        <v>14103</v>
      </c>
      <c r="BF730" t="str">
        <f>HYPERLINK("http://dx.doi.org/10.1007/s10493-014-9856-1","http://dx.doi.org/10.1007/s10493-014-9856-1")</f>
        <v>http://dx.doi.org/10.1007/s10493-014-9856-1</v>
      </c>
      <c r="BG730" t="s">
        <v>74</v>
      </c>
      <c r="BH730" t="s">
        <v>74</v>
      </c>
      <c r="BI730">
        <v>17</v>
      </c>
      <c r="BJ730" t="s">
        <v>5511</v>
      </c>
      <c r="BK730" t="s">
        <v>100</v>
      </c>
      <c r="BL730" t="s">
        <v>5511</v>
      </c>
      <c r="BM730" t="s">
        <v>14104</v>
      </c>
      <c r="BN730">
        <v>25342243</v>
      </c>
      <c r="BO730" t="s">
        <v>14105</v>
      </c>
      <c r="BP730" t="s">
        <v>74</v>
      </c>
      <c r="BQ730" t="s">
        <v>74</v>
      </c>
      <c r="BR730" t="s">
        <v>104</v>
      </c>
      <c r="BS730" t="s">
        <v>14106</v>
      </c>
      <c r="BT730" t="str">
        <f>HYPERLINK("https%3A%2F%2Fwww.webofscience.com%2Fwos%2Fwoscc%2Ffull-record%2FWOS:000346775700002","View Full Record in Web of Science")</f>
        <v>View Full Record in Web of Science</v>
      </c>
    </row>
    <row r="731" spans="1:72" x14ac:dyDescent="0.15">
      <c r="A731" t="s">
        <v>72</v>
      </c>
      <c r="B731" t="s">
        <v>14107</v>
      </c>
      <c r="C731" t="s">
        <v>74</v>
      </c>
      <c r="D731" t="s">
        <v>74</v>
      </c>
      <c r="E731" t="s">
        <v>74</v>
      </c>
      <c r="F731" t="s">
        <v>14108</v>
      </c>
      <c r="G731" t="s">
        <v>74</v>
      </c>
      <c r="H731" t="s">
        <v>74</v>
      </c>
      <c r="I731" t="s">
        <v>14109</v>
      </c>
      <c r="J731" t="s">
        <v>14110</v>
      </c>
      <c r="K731" t="s">
        <v>74</v>
      </c>
      <c r="L731" t="s">
        <v>74</v>
      </c>
      <c r="M731" t="s">
        <v>78</v>
      </c>
      <c r="N731" t="s">
        <v>79</v>
      </c>
      <c r="O731" t="s">
        <v>74</v>
      </c>
      <c r="P731" t="s">
        <v>74</v>
      </c>
      <c r="Q731" t="s">
        <v>74</v>
      </c>
      <c r="R731" t="s">
        <v>74</v>
      </c>
      <c r="S731" t="s">
        <v>74</v>
      </c>
      <c r="T731" t="s">
        <v>74</v>
      </c>
      <c r="U731" t="s">
        <v>74</v>
      </c>
      <c r="V731" t="s">
        <v>14111</v>
      </c>
      <c r="W731" t="s">
        <v>14112</v>
      </c>
      <c r="X731" t="s">
        <v>14113</v>
      </c>
      <c r="Y731" t="s">
        <v>14114</v>
      </c>
      <c r="Z731" t="s">
        <v>14115</v>
      </c>
      <c r="AA731" t="s">
        <v>74</v>
      </c>
      <c r="AB731" t="s">
        <v>74</v>
      </c>
      <c r="AC731" t="s">
        <v>74</v>
      </c>
      <c r="AD731" t="s">
        <v>74</v>
      </c>
      <c r="AE731" t="s">
        <v>74</v>
      </c>
      <c r="AF731" t="s">
        <v>74</v>
      </c>
      <c r="AG731">
        <v>0</v>
      </c>
      <c r="AH731">
        <v>0</v>
      </c>
      <c r="AI731">
        <v>0</v>
      </c>
      <c r="AJ731">
        <v>0</v>
      </c>
      <c r="AK731">
        <v>3</v>
      </c>
      <c r="AL731" t="s">
        <v>14116</v>
      </c>
      <c r="AM731" t="s">
        <v>14117</v>
      </c>
      <c r="AN731" t="s">
        <v>14118</v>
      </c>
      <c r="AO731" t="s">
        <v>14119</v>
      </c>
      <c r="AP731" t="s">
        <v>74</v>
      </c>
      <c r="AQ731" t="s">
        <v>74</v>
      </c>
      <c r="AR731" t="s">
        <v>14120</v>
      </c>
      <c r="AS731" t="s">
        <v>14121</v>
      </c>
      <c r="AT731" t="s">
        <v>12379</v>
      </c>
      <c r="AU731">
        <v>2015</v>
      </c>
      <c r="AV731">
        <v>29</v>
      </c>
      <c r="AW731">
        <v>2</v>
      </c>
      <c r="AX731" t="s">
        <v>74</v>
      </c>
      <c r="AY731" t="s">
        <v>74</v>
      </c>
      <c r="AZ731" t="s">
        <v>74</v>
      </c>
      <c r="BA731" t="s">
        <v>74</v>
      </c>
      <c r="BB731">
        <v>27</v>
      </c>
      <c r="BC731">
        <v>31</v>
      </c>
      <c r="BD731" t="s">
        <v>74</v>
      </c>
      <c r="BE731" t="s">
        <v>74</v>
      </c>
      <c r="BF731" t="s">
        <v>74</v>
      </c>
      <c r="BG731" t="s">
        <v>74</v>
      </c>
      <c r="BH731" t="s">
        <v>74</v>
      </c>
      <c r="BI731">
        <v>5</v>
      </c>
      <c r="BJ731" t="s">
        <v>14122</v>
      </c>
      <c r="BK731" t="s">
        <v>888</v>
      </c>
      <c r="BL731" t="s">
        <v>14122</v>
      </c>
      <c r="BM731" t="s">
        <v>14123</v>
      </c>
      <c r="BN731" t="s">
        <v>74</v>
      </c>
      <c r="BO731" t="s">
        <v>74</v>
      </c>
      <c r="BP731" t="s">
        <v>74</v>
      </c>
      <c r="BQ731" t="s">
        <v>74</v>
      </c>
      <c r="BR731" t="s">
        <v>104</v>
      </c>
      <c r="BS731" t="s">
        <v>14124</v>
      </c>
      <c r="BT731" t="str">
        <f>HYPERLINK("https%3A%2F%2Fwww.webofscience.com%2Fwos%2Fwoscc%2Ffull-record%2FWOS:000416473100008","View Full Record in Web of Science")</f>
        <v>View Full Record in Web of Science</v>
      </c>
    </row>
    <row r="732" spans="1:72" x14ac:dyDescent="0.15">
      <c r="A732" t="s">
        <v>72</v>
      </c>
      <c r="B732" t="s">
        <v>14125</v>
      </c>
      <c r="C732" t="s">
        <v>74</v>
      </c>
      <c r="D732" t="s">
        <v>74</v>
      </c>
      <c r="E732" t="s">
        <v>74</v>
      </c>
      <c r="F732" t="s">
        <v>14126</v>
      </c>
      <c r="G732" t="s">
        <v>74</v>
      </c>
      <c r="H732" t="s">
        <v>74</v>
      </c>
      <c r="I732" t="s">
        <v>14127</v>
      </c>
      <c r="J732" t="s">
        <v>2452</v>
      </c>
      <c r="K732" t="s">
        <v>74</v>
      </c>
      <c r="L732" t="s">
        <v>74</v>
      </c>
      <c r="M732" t="s">
        <v>78</v>
      </c>
      <c r="N732" t="s">
        <v>2805</v>
      </c>
      <c r="O732" t="s">
        <v>74</v>
      </c>
      <c r="P732" t="s">
        <v>74</v>
      </c>
      <c r="Q732" t="s">
        <v>74</v>
      </c>
      <c r="R732" t="s">
        <v>74</v>
      </c>
      <c r="S732" t="s">
        <v>74</v>
      </c>
      <c r="T732" t="s">
        <v>14128</v>
      </c>
      <c r="U732" t="s">
        <v>14129</v>
      </c>
      <c r="V732" t="s">
        <v>14130</v>
      </c>
      <c r="W732" t="s">
        <v>14131</v>
      </c>
      <c r="X732" t="s">
        <v>14132</v>
      </c>
      <c r="Y732" t="s">
        <v>14133</v>
      </c>
      <c r="Z732" t="s">
        <v>14134</v>
      </c>
      <c r="AA732" t="s">
        <v>14135</v>
      </c>
      <c r="AB732" t="s">
        <v>74</v>
      </c>
      <c r="AC732" t="s">
        <v>14136</v>
      </c>
      <c r="AD732" t="s">
        <v>3309</v>
      </c>
      <c r="AE732" t="s">
        <v>74</v>
      </c>
      <c r="AF732" t="s">
        <v>74</v>
      </c>
      <c r="AG732">
        <v>90</v>
      </c>
      <c r="AH732">
        <v>14</v>
      </c>
      <c r="AI732">
        <v>15</v>
      </c>
      <c r="AJ732">
        <v>0</v>
      </c>
      <c r="AK732">
        <v>39</v>
      </c>
      <c r="AL732" t="s">
        <v>1039</v>
      </c>
      <c r="AM732" t="s">
        <v>816</v>
      </c>
      <c r="AN732" t="s">
        <v>1040</v>
      </c>
      <c r="AO732" t="s">
        <v>2462</v>
      </c>
      <c r="AP732" t="s">
        <v>2463</v>
      </c>
      <c r="AQ732" t="s">
        <v>74</v>
      </c>
      <c r="AR732" t="s">
        <v>2464</v>
      </c>
      <c r="AS732" t="s">
        <v>2465</v>
      </c>
      <c r="AT732" t="s">
        <v>12379</v>
      </c>
      <c r="AU732">
        <v>2015</v>
      </c>
      <c r="AV732">
        <v>125</v>
      </c>
      <c r="AW732" t="s">
        <v>74</v>
      </c>
      <c r="AX732" t="s">
        <v>74</v>
      </c>
      <c r="AY732" t="s">
        <v>74</v>
      </c>
      <c r="AZ732" t="s">
        <v>74</v>
      </c>
      <c r="BA732" t="s">
        <v>74</v>
      </c>
      <c r="BB732" t="s">
        <v>14137</v>
      </c>
      <c r="BC732" t="s">
        <v>14138</v>
      </c>
      <c r="BD732" t="s">
        <v>74</v>
      </c>
      <c r="BE732" t="s">
        <v>14139</v>
      </c>
      <c r="BF732" t="str">
        <f>HYPERLINK("http://dx.doi.org/10.1016/j.gloplacha.2014.06.011","http://dx.doi.org/10.1016/j.gloplacha.2014.06.011")</f>
        <v>http://dx.doi.org/10.1016/j.gloplacha.2014.06.011</v>
      </c>
      <c r="BG732" t="s">
        <v>74</v>
      </c>
      <c r="BH732" t="s">
        <v>74</v>
      </c>
      <c r="BI732">
        <v>8</v>
      </c>
      <c r="BJ732" t="s">
        <v>795</v>
      </c>
      <c r="BK732" t="s">
        <v>100</v>
      </c>
      <c r="BL732" t="s">
        <v>796</v>
      </c>
      <c r="BM732" t="s">
        <v>13062</v>
      </c>
      <c r="BN732" t="s">
        <v>74</v>
      </c>
      <c r="BO732" t="s">
        <v>408</v>
      </c>
      <c r="BP732" t="s">
        <v>74</v>
      </c>
      <c r="BQ732" t="s">
        <v>74</v>
      </c>
      <c r="BR732" t="s">
        <v>104</v>
      </c>
      <c r="BS732" t="s">
        <v>14140</v>
      </c>
      <c r="BT732" t="str">
        <f>HYPERLINK("https%3A%2F%2Fwww.webofscience.com%2Fwos%2Fwoscc%2Ffull-record%2FWOS:000349580900001","View Full Record in Web of Science")</f>
        <v>View Full Record in Web of Science</v>
      </c>
    </row>
    <row r="733" spans="1:72" x14ac:dyDescent="0.15">
      <c r="A733" t="s">
        <v>72</v>
      </c>
      <c r="B733" t="s">
        <v>14141</v>
      </c>
      <c r="C733" t="s">
        <v>74</v>
      </c>
      <c r="D733" t="s">
        <v>74</v>
      </c>
      <c r="E733" t="s">
        <v>74</v>
      </c>
      <c r="F733" t="s">
        <v>14142</v>
      </c>
      <c r="G733" t="s">
        <v>74</v>
      </c>
      <c r="H733" t="s">
        <v>74</v>
      </c>
      <c r="I733" t="s">
        <v>14143</v>
      </c>
      <c r="J733" t="s">
        <v>5429</v>
      </c>
      <c r="K733" t="s">
        <v>74</v>
      </c>
      <c r="L733" t="s">
        <v>74</v>
      </c>
      <c r="M733" t="s">
        <v>78</v>
      </c>
      <c r="N733" t="s">
        <v>79</v>
      </c>
      <c r="O733" t="s">
        <v>74</v>
      </c>
      <c r="P733" t="s">
        <v>74</v>
      </c>
      <c r="Q733" t="s">
        <v>74</v>
      </c>
      <c r="R733" t="s">
        <v>74</v>
      </c>
      <c r="S733" t="s">
        <v>74</v>
      </c>
      <c r="T733" t="s">
        <v>74</v>
      </c>
      <c r="U733" t="s">
        <v>14144</v>
      </c>
      <c r="V733" t="s">
        <v>14145</v>
      </c>
      <c r="W733" t="s">
        <v>14146</v>
      </c>
      <c r="X733" t="s">
        <v>14147</v>
      </c>
      <c r="Y733" t="s">
        <v>14148</v>
      </c>
      <c r="Z733" t="s">
        <v>14149</v>
      </c>
      <c r="AA733" t="s">
        <v>14150</v>
      </c>
      <c r="AB733" t="s">
        <v>14151</v>
      </c>
      <c r="AC733" t="s">
        <v>14152</v>
      </c>
      <c r="AD733" t="s">
        <v>14153</v>
      </c>
      <c r="AE733" t="s">
        <v>14154</v>
      </c>
      <c r="AF733" t="s">
        <v>74</v>
      </c>
      <c r="AG733">
        <v>71</v>
      </c>
      <c r="AH733">
        <v>55</v>
      </c>
      <c r="AI733">
        <v>57</v>
      </c>
      <c r="AJ733">
        <v>0</v>
      </c>
      <c r="AK733">
        <v>23</v>
      </c>
      <c r="AL733" t="s">
        <v>266</v>
      </c>
      <c r="AM733" t="s">
        <v>267</v>
      </c>
      <c r="AN733" t="s">
        <v>268</v>
      </c>
      <c r="AO733" t="s">
        <v>5441</v>
      </c>
      <c r="AP733" t="s">
        <v>5442</v>
      </c>
      <c r="AQ733" t="s">
        <v>74</v>
      </c>
      <c r="AR733" t="s">
        <v>5443</v>
      </c>
      <c r="AS733" t="s">
        <v>5444</v>
      </c>
      <c r="AT733" t="s">
        <v>12379</v>
      </c>
      <c r="AU733">
        <v>2015</v>
      </c>
      <c r="AV733">
        <v>29</v>
      </c>
      <c r="AW733">
        <v>2</v>
      </c>
      <c r="AX733" t="s">
        <v>74</v>
      </c>
      <c r="AY733" t="s">
        <v>74</v>
      </c>
      <c r="AZ733" t="s">
        <v>74</v>
      </c>
      <c r="BA733" t="s">
        <v>74</v>
      </c>
      <c r="BB733">
        <v>223</v>
      </c>
      <c r="BC733">
        <v>238</v>
      </c>
      <c r="BD733" t="s">
        <v>74</v>
      </c>
      <c r="BE733" t="s">
        <v>14155</v>
      </c>
      <c r="BF733" t="str">
        <f>HYPERLINK("http://dx.doi.org/10.1002/2014GB004906","http://dx.doi.org/10.1002/2014GB004906")</f>
        <v>http://dx.doi.org/10.1002/2014GB004906</v>
      </c>
      <c r="BG733" t="s">
        <v>74</v>
      </c>
      <c r="BH733" t="s">
        <v>74</v>
      </c>
      <c r="BI733">
        <v>16</v>
      </c>
      <c r="BJ733" t="s">
        <v>1439</v>
      </c>
      <c r="BK733" t="s">
        <v>100</v>
      </c>
      <c r="BL733" t="s">
        <v>1440</v>
      </c>
      <c r="BM733" t="s">
        <v>12415</v>
      </c>
      <c r="BN733" t="s">
        <v>74</v>
      </c>
      <c r="BO733" t="s">
        <v>74</v>
      </c>
      <c r="BP733" t="s">
        <v>74</v>
      </c>
      <c r="BQ733" t="s">
        <v>74</v>
      </c>
      <c r="BR733" t="s">
        <v>104</v>
      </c>
      <c r="BS733" t="s">
        <v>14156</v>
      </c>
      <c r="BT733" t="str">
        <f>HYPERLINK("https%3A%2F%2Fwww.webofscience.com%2Fwos%2Fwoscc%2Ffull-record%2FWOS:000354381200008","View Full Record in Web of Science")</f>
        <v>View Full Record in Web of Science</v>
      </c>
    </row>
    <row r="734" spans="1:72" x14ac:dyDescent="0.15">
      <c r="A734" t="s">
        <v>72</v>
      </c>
      <c r="B734" t="s">
        <v>14157</v>
      </c>
      <c r="C734" t="s">
        <v>74</v>
      </c>
      <c r="D734" t="s">
        <v>74</v>
      </c>
      <c r="E734" t="s">
        <v>74</v>
      </c>
      <c r="F734" t="s">
        <v>14158</v>
      </c>
      <c r="G734" t="s">
        <v>74</v>
      </c>
      <c r="H734" t="s">
        <v>74</v>
      </c>
      <c r="I734" t="s">
        <v>14159</v>
      </c>
      <c r="J734" t="s">
        <v>14160</v>
      </c>
      <c r="K734" t="s">
        <v>74</v>
      </c>
      <c r="L734" t="s">
        <v>74</v>
      </c>
      <c r="M734" t="s">
        <v>78</v>
      </c>
      <c r="N734" t="s">
        <v>79</v>
      </c>
      <c r="O734" t="s">
        <v>74</v>
      </c>
      <c r="P734" t="s">
        <v>74</v>
      </c>
      <c r="Q734" t="s">
        <v>74</v>
      </c>
      <c r="R734" t="s">
        <v>74</v>
      </c>
      <c r="S734" t="s">
        <v>74</v>
      </c>
      <c r="T734" t="s">
        <v>14161</v>
      </c>
      <c r="U734" t="s">
        <v>14162</v>
      </c>
      <c r="V734" t="s">
        <v>14163</v>
      </c>
      <c r="W734" t="s">
        <v>14164</v>
      </c>
      <c r="X734" t="s">
        <v>14165</v>
      </c>
      <c r="Y734" t="s">
        <v>14166</v>
      </c>
      <c r="Z734" t="s">
        <v>14167</v>
      </c>
      <c r="AA734" t="s">
        <v>14168</v>
      </c>
      <c r="AB734" t="s">
        <v>14169</v>
      </c>
      <c r="AC734" t="s">
        <v>14170</v>
      </c>
      <c r="AD734" t="s">
        <v>14171</v>
      </c>
      <c r="AE734" t="s">
        <v>14172</v>
      </c>
      <c r="AF734" t="s">
        <v>74</v>
      </c>
      <c r="AG734">
        <v>83</v>
      </c>
      <c r="AH734">
        <v>37</v>
      </c>
      <c r="AI734">
        <v>40</v>
      </c>
      <c r="AJ734">
        <v>1</v>
      </c>
      <c r="AK734">
        <v>56</v>
      </c>
      <c r="AL734" t="s">
        <v>14173</v>
      </c>
      <c r="AM734" t="s">
        <v>378</v>
      </c>
      <c r="AN734" t="s">
        <v>14174</v>
      </c>
      <c r="AO734" t="s">
        <v>14175</v>
      </c>
      <c r="AP734" t="s">
        <v>14176</v>
      </c>
      <c r="AQ734" t="s">
        <v>74</v>
      </c>
      <c r="AR734" t="s">
        <v>14160</v>
      </c>
      <c r="AS734" t="s">
        <v>14177</v>
      </c>
      <c r="AT734" t="s">
        <v>12379</v>
      </c>
      <c r="AU734">
        <v>2015</v>
      </c>
      <c r="AV734">
        <v>25</v>
      </c>
      <c r="AW734">
        <v>2</v>
      </c>
      <c r="AX734" t="s">
        <v>74</v>
      </c>
      <c r="AY734" t="s">
        <v>74</v>
      </c>
      <c r="AZ734" t="s">
        <v>74</v>
      </c>
      <c r="BA734" t="s">
        <v>74</v>
      </c>
      <c r="BB734">
        <v>263</v>
      </c>
      <c r="BC734">
        <v>279</v>
      </c>
      <c r="BD734" t="s">
        <v>74</v>
      </c>
      <c r="BE734" t="s">
        <v>14178</v>
      </c>
      <c r="BF734" t="str">
        <f>HYPERLINK("http://dx.doi.org/10.1177/0959683614557576","http://dx.doi.org/10.1177/0959683614557576")</f>
        <v>http://dx.doi.org/10.1177/0959683614557576</v>
      </c>
      <c r="BG734" t="s">
        <v>74</v>
      </c>
      <c r="BH734" t="s">
        <v>74</v>
      </c>
      <c r="BI734">
        <v>17</v>
      </c>
      <c r="BJ734" t="s">
        <v>795</v>
      </c>
      <c r="BK734" t="s">
        <v>100</v>
      </c>
      <c r="BL734" t="s">
        <v>796</v>
      </c>
      <c r="BM734" t="s">
        <v>14179</v>
      </c>
      <c r="BN734" t="s">
        <v>74</v>
      </c>
      <c r="BO734" t="s">
        <v>2897</v>
      </c>
      <c r="BP734" t="s">
        <v>74</v>
      </c>
      <c r="BQ734" t="s">
        <v>74</v>
      </c>
      <c r="BR734" t="s">
        <v>104</v>
      </c>
      <c r="BS734" t="s">
        <v>14180</v>
      </c>
      <c r="BT734" t="str">
        <f>HYPERLINK("https%3A%2F%2Fwww.webofscience.com%2Fwos%2Fwoscc%2Ffull-record%2FWOS:000346780500003","View Full Record in Web of Science")</f>
        <v>View Full Record in Web of Science</v>
      </c>
    </row>
    <row r="735" spans="1:72" x14ac:dyDescent="0.15">
      <c r="A735" t="s">
        <v>72</v>
      </c>
      <c r="B735" t="s">
        <v>14181</v>
      </c>
      <c r="C735" t="s">
        <v>74</v>
      </c>
      <c r="D735" t="s">
        <v>74</v>
      </c>
      <c r="E735" t="s">
        <v>74</v>
      </c>
      <c r="F735" t="s">
        <v>14182</v>
      </c>
      <c r="G735" t="s">
        <v>74</v>
      </c>
      <c r="H735" t="s">
        <v>74</v>
      </c>
      <c r="I735" t="s">
        <v>14183</v>
      </c>
      <c r="J735" t="s">
        <v>226</v>
      </c>
      <c r="K735" t="s">
        <v>74</v>
      </c>
      <c r="L735" t="s">
        <v>74</v>
      </c>
      <c r="M735" t="s">
        <v>78</v>
      </c>
      <c r="N735" t="s">
        <v>79</v>
      </c>
      <c r="O735" t="s">
        <v>74</v>
      </c>
      <c r="P735" t="s">
        <v>74</v>
      </c>
      <c r="Q735" t="s">
        <v>74</v>
      </c>
      <c r="R735" t="s">
        <v>74</v>
      </c>
      <c r="S735" t="s">
        <v>74</v>
      </c>
      <c r="T735" t="s">
        <v>14184</v>
      </c>
      <c r="U735" t="s">
        <v>14185</v>
      </c>
      <c r="V735" t="s">
        <v>14186</v>
      </c>
      <c r="W735" t="s">
        <v>14187</v>
      </c>
      <c r="X735" t="s">
        <v>14188</v>
      </c>
      <c r="Y735" t="s">
        <v>14189</v>
      </c>
      <c r="Z735" t="s">
        <v>74</v>
      </c>
      <c r="AA735" t="s">
        <v>14190</v>
      </c>
      <c r="AB735" t="s">
        <v>14191</v>
      </c>
      <c r="AC735" t="s">
        <v>14192</v>
      </c>
      <c r="AD735" t="s">
        <v>14193</v>
      </c>
      <c r="AE735" t="s">
        <v>14194</v>
      </c>
      <c r="AF735" t="s">
        <v>74</v>
      </c>
      <c r="AG735">
        <v>24</v>
      </c>
      <c r="AH735">
        <v>5</v>
      </c>
      <c r="AI735">
        <v>5</v>
      </c>
      <c r="AJ735">
        <v>0</v>
      </c>
      <c r="AK735">
        <v>16</v>
      </c>
      <c r="AL735" t="s">
        <v>239</v>
      </c>
      <c r="AM735" t="s">
        <v>240</v>
      </c>
      <c r="AN735" t="s">
        <v>241</v>
      </c>
      <c r="AO735" t="s">
        <v>242</v>
      </c>
      <c r="AP735" t="s">
        <v>243</v>
      </c>
      <c r="AQ735" t="s">
        <v>74</v>
      </c>
      <c r="AR735" t="s">
        <v>226</v>
      </c>
      <c r="AS735" t="s">
        <v>244</v>
      </c>
      <c r="AT735" t="s">
        <v>12379</v>
      </c>
      <c r="AU735">
        <v>2015</v>
      </c>
      <c r="AV735">
        <v>247</v>
      </c>
      <c r="AW735" t="s">
        <v>74</v>
      </c>
      <c r="AX735" t="s">
        <v>74</v>
      </c>
      <c r="AY735" t="s">
        <v>74</v>
      </c>
      <c r="AZ735" t="s">
        <v>74</v>
      </c>
      <c r="BA735" t="s">
        <v>74</v>
      </c>
      <c r="BB735">
        <v>103</v>
      </c>
      <c r="BC735">
        <v>111</v>
      </c>
      <c r="BD735" t="s">
        <v>74</v>
      </c>
      <c r="BE735" t="s">
        <v>14195</v>
      </c>
      <c r="BF735" t="str">
        <f>HYPERLINK("http://dx.doi.org/10.1016/j.icarus.2014.09.052","http://dx.doi.org/10.1016/j.icarus.2014.09.052")</f>
        <v>http://dx.doi.org/10.1016/j.icarus.2014.09.052</v>
      </c>
      <c r="BG735" t="s">
        <v>74</v>
      </c>
      <c r="BH735" t="s">
        <v>74</v>
      </c>
      <c r="BI735">
        <v>9</v>
      </c>
      <c r="BJ735" t="s">
        <v>246</v>
      </c>
      <c r="BK735" t="s">
        <v>100</v>
      </c>
      <c r="BL735" t="s">
        <v>246</v>
      </c>
      <c r="BM735" t="s">
        <v>14196</v>
      </c>
      <c r="BN735" t="s">
        <v>74</v>
      </c>
      <c r="BO735" t="s">
        <v>74</v>
      </c>
      <c r="BP735" t="s">
        <v>74</v>
      </c>
      <c r="BQ735" t="s">
        <v>74</v>
      </c>
      <c r="BR735" t="s">
        <v>104</v>
      </c>
      <c r="BS735" t="s">
        <v>14197</v>
      </c>
      <c r="BT735" t="str">
        <f>HYPERLINK("https%3A%2F%2Fwww.webofscience.com%2Fwos%2Fwoscc%2Ffull-record%2FWOS:000346691400009","View Full Record in Web of Science")</f>
        <v>View Full Record in Web of Science</v>
      </c>
    </row>
    <row r="736" spans="1:72" x14ac:dyDescent="0.15">
      <c r="A736" t="s">
        <v>72</v>
      </c>
      <c r="B736" t="s">
        <v>14198</v>
      </c>
      <c r="C736" t="s">
        <v>74</v>
      </c>
      <c r="D736" t="s">
        <v>74</v>
      </c>
      <c r="E736" t="s">
        <v>74</v>
      </c>
      <c r="F736" t="s">
        <v>14199</v>
      </c>
      <c r="G736" t="s">
        <v>74</v>
      </c>
      <c r="H736" t="s">
        <v>74</v>
      </c>
      <c r="I736" t="s">
        <v>14200</v>
      </c>
      <c r="J736" t="s">
        <v>3127</v>
      </c>
      <c r="K736" t="s">
        <v>74</v>
      </c>
      <c r="L736" t="s">
        <v>74</v>
      </c>
      <c r="M736" t="s">
        <v>78</v>
      </c>
      <c r="N736" t="s">
        <v>79</v>
      </c>
      <c r="O736" t="s">
        <v>74</v>
      </c>
      <c r="P736" t="s">
        <v>74</v>
      </c>
      <c r="Q736" t="s">
        <v>74</v>
      </c>
      <c r="R736" t="s">
        <v>74</v>
      </c>
      <c r="S736" t="s">
        <v>74</v>
      </c>
      <c r="T736" t="s">
        <v>74</v>
      </c>
      <c r="U736" t="s">
        <v>14201</v>
      </c>
      <c r="V736" t="s">
        <v>14202</v>
      </c>
      <c r="W736" t="s">
        <v>14203</v>
      </c>
      <c r="X736" t="s">
        <v>14204</v>
      </c>
      <c r="Y736" t="s">
        <v>14205</v>
      </c>
      <c r="Z736" t="s">
        <v>14206</v>
      </c>
      <c r="AA736" t="s">
        <v>14207</v>
      </c>
      <c r="AB736" t="s">
        <v>14208</v>
      </c>
      <c r="AC736" t="s">
        <v>14209</v>
      </c>
      <c r="AD736" t="s">
        <v>14210</v>
      </c>
      <c r="AE736" t="s">
        <v>14211</v>
      </c>
      <c r="AF736" t="s">
        <v>74</v>
      </c>
      <c r="AG736">
        <v>69</v>
      </c>
      <c r="AH736">
        <v>77</v>
      </c>
      <c r="AI736">
        <v>81</v>
      </c>
      <c r="AJ736">
        <v>2</v>
      </c>
      <c r="AK736">
        <v>21</v>
      </c>
      <c r="AL736" t="s">
        <v>3139</v>
      </c>
      <c r="AM736" t="s">
        <v>378</v>
      </c>
      <c r="AN736" t="s">
        <v>3140</v>
      </c>
      <c r="AO736" t="s">
        <v>3141</v>
      </c>
      <c r="AP736" t="s">
        <v>3142</v>
      </c>
      <c r="AQ736" t="s">
        <v>74</v>
      </c>
      <c r="AR736" t="s">
        <v>3143</v>
      </c>
      <c r="AS736" t="s">
        <v>3144</v>
      </c>
      <c r="AT736" t="s">
        <v>12379</v>
      </c>
      <c r="AU736">
        <v>2015</v>
      </c>
      <c r="AV736">
        <v>65</v>
      </c>
      <c r="AW736" t="s">
        <v>74</v>
      </c>
      <c r="AX736">
        <v>2</v>
      </c>
      <c r="AY736" t="s">
        <v>74</v>
      </c>
      <c r="AZ736" t="s">
        <v>74</v>
      </c>
      <c r="BA736" t="s">
        <v>74</v>
      </c>
      <c r="BB736">
        <v>663</v>
      </c>
      <c r="BC736">
        <v>675</v>
      </c>
      <c r="BD736" t="s">
        <v>74</v>
      </c>
      <c r="BE736" t="s">
        <v>14212</v>
      </c>
      <c r="BF736" t="str">
        <f>HYPERLINK("http://dx.doi.org/10.1099/ijs.0.070078-0","http://dx.doi.org/10.1099/ijs.0.070078-0")</f>
        <v>http://dx.doi.org/10.1099/ijs.0.070078-0</v>
      </c>
      <c r="BG736" t="s">
        <v>74</v>
      </c>
      <c r="BH736" t="s">
        <v>74</v>
      </c>
      <c r="BI736">
        <v>13</v>
      </c>
      <c r="BJ736" t="s">
        <v>483</v>
      </c>
      <c r="BK736" t="s">
        <v>100</v>
      </c>
      <c r="BL736" t="s">
        <v>483</v>
      </c>
      <c r="BM736" t="s">
        <v>14213</v>
      </c>
      <c r="BN736">
        <v>25424485</v>
      </c>
      <c r="BO736" t="s">
        <v>156</v>
      </c>
      <c r="BP736" t="s">
        <v>74</v>
      </c>
      <c r="BQ736" t="s">
        <v>74</v>
      </c>
      <c r="BR736" t="s">
        <v>104</v>
      </c>
      <c r="BS736" t="s">
        <v>14214</v>
      </c>
      <c r="BT736" t="str">
        <f>HYPERLINK("https%3A%2F%2Fwww.webofscience.com%2Fwos%2Fwoscc%2Ffull-record%2FWOS:000355360200054","View Full Record in Web of Science")</f>
        <v>View Full Record in Web of Science</v>
      </c>
    </row>
    <row r="737" spans="1:72" x14ac:dyDescent="0.15">
      <c r="A737" t="s">
        <v>72</v>
      </c>
      <c r="B737" t="s">
        <v>14215</v>
      </c>
      <c r="C737" t="s">
        <v>74</v>
      </c>
      <c r="D737" t="s">
        <v>74</v>
      </c>
      <c r="E737" t="s">
        <v>74</v>
      </c>
      <c r="F737" t="s">
        <v>14216</v>
      </c>
      <c r="G737" t="s">
        <v>74</v>
      </c>
      <c r="H737" t="s">
        <v>74</v>
      </c>
      <c r="I737" t="s">
        <v>14217</v>
      </c>
      <c r="J737" t="s">
        <v>178</v>
      </c>
      <c r="K737" t="s">
        <v>74</v>
      </c>
      <c r="L737" t="s">
        <v>74</v>
      </c>
      <c r="M737" t="s">
        <v>78</v>
      </c>
      <c r="N737" t="s">
        <v>79</v>
      </c>
      <c r="O737" t="s">
        <v>74</v>
      </c>
      <c r="P737" t="s">
        <v>74</v>
      </c>
      <c r="Q737" t="s">
        <v>74</v>
      </c>
      <c r="R737" t="s">
        <v>74</v>
      </c>
      <c r="S737" t="s">
        <v>74</v>
      </c>
      <c r="T737" t="s">
        <v>14218</v>
      </c>
      <c r="U737" t="s">
        <v>14219</v>
      </c>
      <c r="V737" t="s">
        <v>14220</v>
      </c>
      <c r="W737" t="s">
        <v>14221</v>
      </c>
      <c r="X737" t="s">
        <v>14222</v>
      </c>
      <c r="Y737" t="s">
        <v>14223</v>
      </c>
      <c r="Z737" t="s">
        <v>14224</v>
      </c>
      <c r="AA737" t="s">
        <v>14225</v>
      </c>
      <c r="AB737" t="s">
        <v>14226</v>
      </c>
      <c r="AC737" t="s">
        <v>14227</v>
      </c>
      <c r="AD737" t="s">
        <v>14228</v>
      </c>
      <c r="AE737" t="s">
        <v>14229</v>
      </c>
      <c r="AF737" t="s">
        <v>74</v>
      </c>
      <c r="AG737">
        <v>86</v>
      </c>
      <c r="AH737">
        <v>34</v>
      </c>
      <c r="AI737">
        <v>34</v>
      </c>
      <c r="AJ737">
        <v>1</v>
      </c>
      <c r="AK737">
        <v>51</v>
      </c>
      <c r="AL737" t="s">
        <v>91</v>
      </c>
      <c r="AM737" t="s">
        <v>92</v>
      </c>
      <c r="AN737" t="s">
        <v>93</v>
      </c>
      <c r="AO737" t="s">
        <v>191</v>
      </c>
      <c r="AP737" t="s">
        <v>192</v>
      </c>
      <c r="AQ737" t="s">
        <v>74</v>
      </c>
      <c r="AR737" t="s">
        <v>193</v>
      </c>
      <c r="AS737" t="s">
        <v>194</v>
      </c>
      <c r="AT737" t="s">
        <v>12379</v>
      </c>
      <c r="AU737">
        <v>2015</v>
      </c>
      <c r="AV737">
        <v>42</v>
      </c>
      <c r="AW737">
        <v>2</v>
      </c>
      <c r="AX737" t="s">
        <v>74</v>
      </c>
      <c r="AY737" t="s">
        <v>74</v>
      </c>
      <c r="AZ737" t="s">
        <v>74</v>
      </c>
      <c r="BA737" t="s">
        <v>74</v>
      </c>
      <c r="BB737">
        <v>209</v>
      </c>
      <c r="BC737">
        <v>217</v>
      </c>
      <c r="BD737" t="s">
        <v>74</v>
      </c>
      <c r="BE737" t="s">
        <v>14230</v>
      </c>
      <c r="BF737" t="str">
        <f>HYPERLINK("http://dx.doi.org/10.1111/jbi.12459","http://dx.doi.org/10.1111/jbi.12459")</f>
        <v>http://dx.doi.org/10.1111/jbi.12459</v>
      </c>
      <c r="BG737" t="s">
        <v>74</v>
      </c>
      <c r="BH737" t="s">
        <v>74</v>
      </c>
      <c r="BI737">
        <v>9</v>
      </c>
      <c r="BJ737" t="s">
        <v>196</v>
      </c>
      <c r="BK737" t="s">
        <v>100</v>
      </c>
      <c r="BL737" t="s">
        <v>197</v>
      </c>
      <c r="BM737" t="s">
        <v>14231</v>
      </c>
      <c r="BN737" t="s">
        <v>74</v>
      </c>
      <c r="BO737" t="s">
        <v>156</v>
      </c>
      <c r="BP737" t="s">
        <v>74</v>
      </c>
      <c r="BQ737" t="s">
        <v>74</v>
      </c>
      <c r="BR737" t="s">
        <v>104</v>
      </c>
      <c r="BS737" t="s">
        <v>14232</v>
      </c>
      <c r="BT737" t="str">
        <f>HYPERLINK("https%3A%2F%2Fwww.webofscience.com%2Fwos%2Fwoscc%2Ffull-record%2FWOS:000350558900002","View Full Record in Web of Science")</f>
        <v>View Full Record in Web of Science</v>
      </c>
    </row>
    <row r="738" spans="1:72" x14ac:dyDescent="0.15">
      <c r="A738" t="s">
        <v>72</v>
      </c>
      <c r="B738" t="s">
        <v>14233</v>
      </c>
      <c r="C738" t="s">
        <v>74</v>
      </c>
      <c r="D738" t="s">
        <v>74</v>
      </c>
      <c r="E738" t="s">
        <v>74</v>
      </c>
      <c r="F738" t="s">
        <v>14234</v>
      </c>
      <c r="G738" t="s">
        <v>74</v>
      </c>
      <c r="H738" t="s">
        <v>74</v>
      </c>
      <c r="I738" t="s">
        <v>14235</v>
      </c>
      <c r="J738" t="s">
        <v>178</v>
      </c>
      <c r="K738" t="s">
        <v>74</v>
      </c>
      <c r="L738" t="s">
        <v>74</v>
      </c>
      <c r="M738" t="s">
        <v>78</v>
      </c>
      <c r="N738" t="s">
        <v>79</v>
      </c>
      <c r="O738" t="s">
        <v>74</v>
      </c>
      <c r="P738" t="s">
        <v>74</v>
      </c>
      <c r="Q738" t="s">
        <v>74</v>
      </c>
      <c r="R738" t="s">
        <v>74</v>
      </c>
      <c r="S738" t="s">
        <v>74</v>
      </c>
      <c r="T738" t="s">
        <v>14236</v>
      </c>
      <c r="U738" t="s">
        <v>14237</v>
      </c>
      <c r="V738" t="s">
        <v>14238</v>
      </c>
      <c r="W738" t="s">
        <v>14239</v>
      </c>
      <c r="X738" t="s">
        <v>14240</v>
      </c>
      <c r="Y738" t="s">
        <v>14241</v>
      </c>
      <c r="Z738" t="s">
        <v>14242</v>
      </c>
      <c r="AA738" t="s">
        <v>14243</v>
      </c>
      <c r="AB738" t="s">
        <v>14244</v>
      </c>
      <c r="AC738" t="s">
        <v>14245</v>
      </c>
      <c r="AD738" t="s">
        <v>14246</v>
      </c>
      <c r="AE738" t="s">
        <v>14247</v>
      </c>
      <c r="AF738" t="s">
        <v>74</v>
      </c>
      <c r="AG738">
        <v>65</v>
      </c>
      <c r="AH738">
        <v>28</v>
      </c>
      <c r="AI738">
        <v>31</v>
      </c>
      <c r="AJ738">
        <v>1</v>
      </c>
      <c r="AK738">
        <v>70</v>
      </c>
      <c r="AL738" t="s">
        <v>91</v>
      </c>
      <c r="AM738" t="s">
        <v>92</v>
      </c>
      <c r="AN738" t="s">
        <v>93</v>
      </c>
      <c r="AO738" t="s">
        <v>191</v>
      </c>
      <c r="AP738" t="s">
        <v>192</v>
      </c>
      <c r="AQ738" t="s">
        <v>74</v>
      </c>
      <c r="AR738" t="s">
        <v>193</v>
      </c>
      <c r="AS738" t="s">
        <v>194</v>
      </c>
      <c r="AT738" t="s">
        <v>12379</v>
      </c>
      <c r="AU738">
        <v>2015</v>
      </c>
      <c r="AV738">
        <v>42</v>
      </c>
      <c r="AW738">
        <v>2</v>
      </c>
      <c r="AX738" t="s">
        <v>74</v>
      </c>
      <c r="AY738" t="s">
        <v>74</v>
      </c>
      <c r="AZ738" t="s">
        <v>74</v>
      </c>
      <c r="BA738" t="s">
        <v>74</v>
      </c>
      <c r="BB738">
        <v>401</v>
      </c>
      <c r="BC738">
        <v>412</v>
      </c>
      <c r="BD738" t="s">
        <v>74</v>
      </c>
      <c r="BE738" t="s">
        <v>14248</v>
      </c>
      <c r="BF738" t="str">
        <f>HYPERLINK("http://dx.doi.org/10.1111/jbi.12425","http://dx.doi.org/10.1111/jbi.12425")</f>
        <v>http://dx.doi.org/10.1111/jbi.12425</v>
      </c>
      <c r="BG738" t="s">
        <v>74</v>
      </c>
      <c r="BH738" t="s">
        <v>74</v>
      </c>
      <c r="BI738">
        <v>12</v>
      </c>
      <c r="BJ738" t="s">
        <v>196</v>
      </c>
      <c r="BK738" t="s">
        <v>100</v>
      </c>
      <c r="BL738" t="s">
        <v>197</v>
      </c>
      <c r="BM738" t="s">
        <v>14231</v>
      </c>
      <c r="BN738" t="s">
        <v>74</v>
      </c>
      <c r="BO738" t="s">
        <v>3094</v>
      </c>
      <c r="BP738" t="s">
        <v>74</v>
      </c>
      <c r="BQ738" t="s">
        <v>74</v>
      </c>
      <c r="BR738" t="s">
        <v>104</v>
      </c>
      <c r="BS738" t="s">
        <v>14249</v>
      </c>
      <c r="BT738" t="str">
        <f>HYPERLINK("https%3A%2F%2Fwww.webofscience.com%2Fwos%2Fwoscc%2Ffull-record%2FWOS:000350558900018","View Full Record in Web of Science")</f>
        <v>View Full Record in Web of Science</v>
      </c>
    </row>
    <row r="739" spans="1:72" x14ac:dyDescent="0.15">
      <c r="A739" t="s">
        <v>72</v>
      </c>
      <c r="B739" t="s">
        <v>14250</v>
      </c>
      <c r="C739" t="s">
        <v>74</v>
      </c>
      <c r="D739" t="s">
        <v>74</v>
      </c>
      <c r="E739" t="s">
        <v>74</v>
      </c>
      <c r="F739" t="s">
        <v>14251</v>
      </c>
      <c r="G739" t="s">
        <v>74</v>
      </c>
      <c r="H739" t="s">
        <v>74</v>
      </c>
      <c r="I739" t="s">
        <v>14252</v>
      </c>
      <c r="J739" t="s">
        <v>2180</v>
      </c>
      <c r="K739" t="s">
        <v>74</v>
      </c>
      <c r="L739" t="s">
        <v>74</v>
      </c>
      <c r="M739" t="s">
        <v>78</v>
      </c>
      <c r="N739" t="s">
        <v>79</v>
      </c>
      <c r="O739" t="s">
        <v>74</v>
      </c>
      <c r="P739" t="s">
        <v>74</v>
      </c>
      <c r="Q739" t="s">
        <v>74</v>
      </c>
      <c r="R739" t="s">
        <v>74</v>
      </c>
      <c r="S739" t="s">
        <v>74</v>
      </c>
      <c r="T739" t="s">
        <v>74</v>
      </c>
      <c r="U739" t="s">
        <v>14253</v>
      </c>
      <c r="V739" t="s">
        <v>14254</v>
      </c>
      <c r="W739" t="s">
        <v>14255</v>
      </c>
      <c r="X739" t="s">
        <v>14256</v>
      </c>
      <c r="Y739" t="s">
        <v>14257</v>
      </c>
      <c r="Z739" t="s">
        <v>14258</v>
      </c>
      <c r="AA739" t="s">
        <v>14259</v>
      </c>
      <c r="AB739" t="s">
        <v>14260</v>
      </c>
      <c r="AC739" t="s">
        <v>14261</v>
      </c>
      <c r="AD739" t="s">
        <v>14262</v>
      </c>
      <c r="AE739" t="s">
        <v>14263</v>
      </c>
      <c r="AF739" t="s">
        <v>74</v>
      </c>
      <c r="AG739">
        <v>58</v>
      </c>
      <c r="AH739">
        <v>175</v>
      </c>
      <c r="AI739">
        <v>187</v>
      </c>
      <c r="AJ739">
        <v>3</v>
      </c>
      <c r="AK739">
        <v>120</v>
      </c>
      <c r="AL739" t="s">
        <v>2192</v>
      </c>
      <c r="AM739" t="s">
        <v>2193</v>
      </c>
      <c r="AN739" t="s">
        <v>2194</v>
      </c>
      <c r="AO739" t="s">
        <v>2195</v>
      </c>
      <c r="AP739" t="s">
        <v>2196</v>
      </c>
      <c r="AQ739" t="s">
        <v>74</v>
      </c>
      <c r="AR739" t="s">
        <v>2197</v>
      </c>
      <c r="AS739" t="s">
        <v>2198</v>
      </c>
      <c r="AT739" t="s">
        <v>13115</v>
      </c>
      <c r="AU739">
        <v>2015</v>
      </c>
      <c r="AV739">
        <v>28</v>
      </c>
      <c r="AW739">
        <v>3</v>
      </c>
      <c r="AX739" t="s">
        <v>74</v>
      </c>
      <c r="AY739" t="s">
        <v>74</v>
      </c>
      <c r="AZ739" t="s">
        <v>74</v>
      </c>
      <c r="BA739" t="s">
        <v>74</v>
      </c>
      <c r="BB739">
        <v>1206</v>
      </c>
      <c r="BC739">
        <v>1226</v>
      </c>
      <c r="BD739" t="s">
        <v>74</v>
      </c>
      <c r="BE739" t="s">
        <v>14264</v>
      </c>
      <c r="BF739" t="str">
        <f>HYPERLINK("http://dx.doi.org/10.1175/JCLI-D-14-00313.1","http://dx.doi.org/10.1175/JCLI-D-14-00313.1")</f>
        <v>http://dx.doi.org/10.1175/JCLI-D-14-00313.1</v>
      </c>
      <c r="BG739" t="s">
        <v>74</v>
      </c>
      <c r="BH739" t="s">
        <v>74</v>
      </c>
      <c r="BI739">
        <v>21</v>
      </c>
      <c r="BJ739" t="s">
        <v>406</v>
      </c>
      <c r="BK739" t="s">
        <v>100</v>
      </c>
      <c r="BL739" t="s">
        <v>406</v>
      </c>
      <c r="BM739" t="s">
        <v>14265</v>
      </c>
      <c r="BN739" t="s">
        <v>74</v>
      </c>
      <c r="BO739" t="s">
        <v>14266</v>
      </c>
      <c r="BP739" t="s">
        <v>74</v>
      </c>
      <c r="BQ739" t="s">
        <v>74</v>
      </c>
      <c r="BR739" t="s">
        <v>104</v>
      </c>
      <c r="BS739" t="s">
        <v>14267</v>
      </c>
      <c r="BT739" t="str">
        <f>HYPERLINK("https%3A%2F%2Fwww.webofscience.com%2Fwos%2Fwoscc%2Ffull-record%2FWOS:000349275200017","View Full Record in Web of Science")</f>
        <v>View Full Record in Web of Science</v>
      </c>
    </row>
    <row r="740" spans="1:72" x14ac:dyDescent="0.15">
      <c r="A740" t="s">
        <v>72</v>
      </c>
      <c r="B740" t="s">
        <v>14268</v>
      </c>
      <c r="C740" t="s">
        <v>74</v>
      </c>
      <c r="D740" t="s">
        <v>74</v>
      </c>
      <c r="E740" t="s">
        <v>74</v>
      </c>
      <c r="F740" t="s">
        <v>14269</v>
      </c>
      <c r="G740" t="s">
        <v>74</v>
      </c>
      <c r="H740" t="s">
        <v>74</v>
      </c>
      <c r="I740" t="s">
        <v>14270</v>
      </c>
      <c r="J740" t="s">
        <v>14271</v>
      </c>
      <c r="K740" t="s">
        <v>74</v>
      </c>
      <c r="L740" t="s">
        <v>74</v>
      </c>
      <c r="M740" t="s">
        <v>78</v>
      </c>
      <c r="N740" t="s">
        <v>79</v>
      </c>
      <c r="O740" t="s">
        <v>74</v>
      </c>
      <c r="P740" t="s">
        <v>74</v>
      </c>
      <c r="Q740" t="s">
        <v>74</v>
      </c>
      <c r="R740" t="s">
        <v>74</v>
      </c>
      <c r="S740" t="s">
        <v>74</v>
      </c>
      <c r="T740" t="s">
        <v>14272</v>
      </c>
      <c r="U740" t="s">
        <v>14273</v>
      </c>
      <c r="V740" t="s">
        <v>14274</v>
      </c>
      <c r="W740" t="s">
        <v>14275</v>
      </c>
      <c r="X740" t="s">
        <v>14276</v>
      </c>
      <c r="Y740" t="s">
        <v>14277</v>
      </c>
      <c r="Z740" t="s">
        <v>14278</v>
      </c>
      <c r="AA740" t="s">
        <v>14279</v>
      </c>
      <c r="AB740" t="s">
        <v>14280</v>
      </c>
      <c r="AC740" t="s">
        <v>14281</v>
      </c>
      <c r="AD740" t="s">
        <v>14282</v>
      </c>
      <c r="AE740" t="s">
        <v>14283</v>
      </c>
      <c r="AF740" t="s">
        <v>74</v>
      </c>
      <c r="AG740">
        <v>47</v>
      </c>
      <c r="AH740">
        <v>13</v>
      </c>
      <c r="AI740">
        <v>17</v>
      </c>
      <c r="AJ740">
        <v>0</v>
      </c>
      <c r="AK740">
        <v>22</v>
      </c>
      <c r="AL740" t="s">
        <v>266</v>
      </c>
      <c r="AM740" t="s">
        <v>267</v>
      </c>
      <c r="AN740" t="s">
        <v>268</v>
      </c>
      <c r="AO740" t="s">
        <v>14284</v>
      </c>
      <c r="AP740" t="s">
        <v>14285</v>
      </c>
      <c r="AQ740" t="s">
        <v>74</v>
      </c>
      <c r="AR740" t="s">
        <v>14286</v>
      </c>
      <c r="AS740" t="s">
        <v>14287</v>
      </c>
      <c r="AT740" t="s">
        <v>12379</v>
      </c>
      <c r="AU740">
        <v>2015</v>
      </c>
      <c r="AV740">
        <v>120</v>
      </c>
      <c r="AW740">
        <v>2</v>
      </c>
      <c r="AX740" t="s">
        <v>74</v>
      </c>
      <c r="AY740" t="s">
        <v>74</v>
      </c>
      <c r="AZ740" t="s">
        <v>74</v>
      </c>
      <c r="BA740" t="s">
        <v>74</v>
      </c>
      <c r="BB740">
        <v>270</v>
      </c>
      <c r="BC740">
        <v>279</v>
      </c>
      <c r="BD740" t="s">
        <v>74</v>
      </c>
      <c r="BE740" t="s">
        <v>14288</v>
      </c>
      <c r="BF740" t="str">
        <f>HYPERLINK("http://dx.doi.org/10.1002/2014JG002856","http://dx.doi.org/10.1002/2014JG002856")</f>
        <v>http://dx.doi.org/10.1002/2014JG002856</v>
      </c>
      <c r="BG740" t="s">
        <v>74</v>
      </c>
      <c r="BH740" t="s">
        <v>74</v>
      </c>
      <c r="BI740">
        <v>10</v>
      </c>
      <c r="BJ740" t="s">
        <v>13865</v>
      </c>
      <c r="BK740" t="s">
        <v>100</v>
      </c>
      <c r="BL740" t="s">
        <v>7144</v>
      </c>
      <c r="BM740" t="s">
        <v>14289</v>
      </c>
      <c r="BN740" t="s">
        <v>74</v>
      </c>
      <c r="BO740" t="s">
        <v>74</v>
      </c>
      <c r="BP740" t="s">
        <v>74</v>
      </c>
      <c r="BQ740" t="s">
        <v>74</v>
      </c>
      <c r="BR740" t="s">
        <v>104</v>
      </c>
      <c r="BS740" t="s">
        <v>14290</v>
      </c>
      <c r="BT740" t="str">
        <f>HYPERLINK("https%3A%2F%2Fwww.webofscience.com%2Fwos%2Fwoscc%2Ffull-record%2FWOS:000351402800006","View Full Record in Web of Science")</f>
        <v>View Full Record in Web of Science</v>
      </c>
    </row>
    <row r="741" spans="1:72" x14ac:dyDescent="0.15">
      <c r="A741" t="s">
        <v>72</v>
      </c>
      <c r="B741" t="s">
        <v>14291</v>
      </c>
      <c r="C741" t="s">
        <v>74</v>
      </c>
      <c r="D741" t="s">
        <v>74</v>
      </c>
      <c r="E741" t="s">
        <v>74</v>
      </c>
      <c r="F741" t="s">
        <v>14292</v>
      </c>
      <c r="G741" t="s">
        <v>74</v>
      </c>
      <c r="H741" t="s">
        <v>74</v>
      </c>
      <c r="I741" t="s">
        <v>14293</v>
      </c>
      <c r="J741" t="s">
        <v>7558</v>
      </c>
      <c r="K741" t="s">
        <v>74</v>
      </c>
      <c r="L741" t="s">
        <v>74</v>
      </c>
      <c r="M741" t="s">
        <v>78</v>
      </c>
      <c r="N741" t="s">
        <v>79</v>
      </c>
      <c r="O741" t="s">
        <v>74</v>
      </c>
      <c r="P741" t="s">
        <v>74</v>
      </c>
      <c r="Q741" t="s">
        <v>74</v>
      </c>
      <c r="R741" t="s">
        <v>74</v>
      </c>
      <c r="S741" t="s">
        <v>74</v>
      </c>
      <c r="T741" t="s">
        <v>14294</v>
      </c>
      <c r="U741" t="s">
        <v>14295</v>
      </c>
      <c r="V741" t="s">
        <v>14296</v>
      </c>
      <c r="W741" t="s">
        <v>14297</v>
      </c>
      <c r="X741" t="s">
        <v>14298</v>
      </c>
      <c r="Y741" t="s">
        <v>14299</v>
      </c>
      <c r="Z741" t="s">
        <v>14300</v>
      </c>
      <c r="AA741" t="s">
        <v>14301</v>
      </c>
      <c r="AB741" t="s">
        <v>14302</v>
      </c>
      <c r="AC741" t="s">
        <v>14303</v>
      </c>
      <c r="AD741" t="s">
        <v>14304</v>
      </c>
      <c r="AE741" t="s">
        <v>14305</v>
      </c>
      <c r="AF741" t="s">
        <v>74</v>
      </c>
      <c r="AG741">
        <v>122</v>
      </c>
      <c r="AH741">
        <v>113</v>
      </c>
      <c r="AI741">
        <v>127</v>
      </c>
      <c r="AJ741">
        <v>3</v>
      </c>
      <c r="AK741">
        <v>16</v>
      </c>
      <c r="AL741" t="s">
        <v>266</v>
      </c>
      <c r="AM741" t="s">
        <v>267</v>
      </c>
      <c r="AN741" t="s">
        <v>268</v>
      </c>
      <c r="AO741" t="s">
        <v>7571</v>
      </c>
      <c r="AP741" t="s">
        <v>7572</v>
      </c>
      <c r="AQ741" t="s">
        <v>74</v>
      </c>
      <c r="AR741" t="s">
        <v>7573</v>
      </c>
      <c r="AS741" t="s">
        <v>7574</v>
      </c>
      <c r="AT741" t="s">
        <v>12379</v>
      </c>
      <c r="AU741">
        <v>2015</v>
      </c>
      <c r="AV741">
        <v>120</v>
      </c>
      <c r="AW741">
        <v>2</v>
      </c>
      <c r="AX741" t="s">
        <v>74</v>
      </c>
      <c r="AY741" t="s">
        <v>74</v>
      </c>
      <c r="AZ741" t="s">
        <v>74</v>
      </c>
      <c r="BA741" t="s">
        <v>74</v>
      </c>
      <c r="BB741">
        <v>212</v>
      </c>
      <c r="BC741">
        <v>241</v>
      </c>
      <c r="BD741" t="s">
        <v>74</v>
      </c>
      <c r="BE741" t="s">
        <v>14306</v>
      </c>
      <c r="BF741" t="str">
        <f>HYPERLINK("http://dx.doi.org/10.1002/2014JF003215","http://dx.doi.org/10.1002/2014JF003215")</f>
        <v>http://dx.doi.org/10.1002/2014JF003215</v>
      </c>
      <c r="BG741" t="s">
        <v>74</v>
      </c>
      <c r="BH741" t="s">
        <v>74</v>
      </c>
      <c r="BI741">
        <v>30</v>
      </c>
      <c r="BJ741" t="s">
        <v>219</v>
      </c>
      <c r="BK741" t="s">
        <v>100</v>
      </c>
      <c r="BL741" t="s">
        <v>220</v>
      </c>
      <c r="BM741" t="s">
        <v>12670</v>
      </c>
      <c r="BN741">
        <v>26213664</v>
      </c>
      <c r="BO741" t="s">
        <v>1123</v>
      </c>
      <c r="BP741" t="s">
        <v>74</v>
      </c>
      <c r="BQ741" t="s">
        <v>74</v>
      </c>
      <c r="BR741" t="s">
        <v>104</v>
      </c>
      <c r="BS741" t="s">
        <v>14307</v>
      </c>
      <c r="BT741" t="str">
        <f>HYPERLINK("https%3A%2F%2Fwww.webofscience.com%2Fwos%2Fwoscc%2Ffull-record%2FWOS:000351386900004","View Full Record in Web of Science")</f>
        <v>View Full Record in Web of Science</v>
      </c>
    </row>
    <row r="742" spans="1:72" x14ac:dyDescent="0.15">
      <c r="A742" t="s">
        <v>72</v>
      </c>
      <c r="B742" t="s">
        <v>14308</v>
      </c>
      <c r="C742" t="s">
        <v>74</v>
      </c>
      <c r="D742" t="s">
        <v>74</v>
      </c>
      <c r="E742" t="s">
        <v>74</v>
      </c>
      <c r="F742" t="s">
        <v>14309</v>
      </c>
      <c r="G742" t="s">
        <v>74</v>
      </c>
      <c r="H742" t="s">
        <v>74</v>
      </c>
      <c r="I742" t="s">
        <v>14310</v>
      </c>
      <c r="J742" t="s">
        <v>4206</v>
      </c>
      <c r="K742" t="s">
        <v>74</v>
      </c>
      <c r="L742" t="s">
        <v>74</v>
      </c>
      <c r="M742" t="s">
        <v>78</v>
      </c>
      <c r="N742" t="s">
        <v>79</v>
      </c>
      <c r="O742" t="s">
        <v>74</v>
      </c>
      <c r="P742" t="s">
        <v>74</v>
      </c>
      <c r="Q742" t="s">
        <v>74</v>
      </c>
      <c r="R742" t="s">
        <v>74</v>
      </c>
      <c r="S742" t="s">
        <v>74</v>
      </c>
      <c r="T742" t="s">
        <v>14311</v>
      </c>
      <c r="U742" t="s">
        <v>14312</v>
      </c>
      <c r="V742" t="s">
        <v>14313</v>
      </c>
      <c r="W742" t="s">
        <v>14314</v>
      </c>
      <c r="X742" t="s">
        <v>14315</v>
      </c>
      <c r="Y742" t="s">
        <v>14316</v>
      </c>
      <c r="Z742" t="s">
        <v>14317</v>
      </c>
      <c r="AA742" t="s">
        <v>14318</v>
      </c>
      <c r="AB742" t="s">
        <v>14319</v>
      </c>
      <c r="AC742" t="s">
        <v>14320</v>
      </c>
      <c r="AD742" t="s">
        <v>14321</v>
      </c>
      <c r="AE742" t="s">
        <v>14322</v>
      </c>
      <c r="AF742" t="s">
        <v>74</v>
      </c>
      <c r="AG742">
        <v>79</v>
      </c>
      <c r="AH742">
        <v>43</v>
      </c>
      <c r="AI742">
        <v>48</v>
      </c>
      <c r="AJ742">
        <v>1</v>
      </c>
      <c r="AK742">
        <v>34</v>
      </c>
      <c r="AL742" t="s">
        <v>815</v>
      </c>
      <c r="AM742" t="s">
        <v>816</v>
      </c>
      <c r="AN742" t="s">
        <v>817</v>
      </c>
      <c r="AO742" t="s">
        <v>4219</v>
      </c>
      <c r="AP742" t="s">
        <v>4220</v>
      </c>
      <c r="AQ742" t="s">
        <v>74</v>
      </c>
      <c r="AR742" t="s">
        <v>4221</v>
      </c>
      <c r="AS742" t="s">
        <v>4222</v>
      </c>
      <c r="AT742" t="s">
        <v>12379</v>
      </c>
      <c r="AU742">
        <v>2015</v>
      </c>
      <c r="AV742">
        <v>142</v>
      </c>
      <c r="AW742" t="s">
        <v>74</v>
      </c>
      <c r="AX742" t="s">
        <v>74</v>
      </c>
      <c r="AY742" t="s">
        <v>74</v>
      </c>
      <c r="AZ742" t="s">
        <v>74</v>
      </c>
      <c r="BA742" t="s">
        <v>74</v>
      </c>
      <c r="BB742">
        <v>1</v>
      </c>
      <c r="BC742">
        <v>15</v>
      </c>
      <c r="BD742" t="s">
        <v>74</v>
      </c>
      <c r="BE742" t="s">
        <v>14323</v>
      </c>
      <c r="BF742" t="str">
        <f>HYPERLINK("http://dx.doi.org/10.1016/j.jmarsys.2014.09.007","http://dx.doi.org/10.1016/j.jmarsys.2014.09.007")</f>
        <v>http://dx.doi.org/10.1016/j.jmarsys.2014.09.007</v>
      </c>
      <c r="BG742" t="s">
        <v>74</v>
      </c>
      <c r="BH742" t="s">
        <v>74</v>
      </c>
      <c r="BI742">
        <v>15</v>
      </c>
      <c r="BJ742" t="s">
        <v>4224</v>
      </c>
      <c r="BK742" t="s">
        <v>100</v>
      </c>
      <c r="BL742" t="s">
        <v>4225</v>
      </c>
      <c r="BM742" t="s">
        <v>13640</v>
      </c>
      <c r="BN742" t="s">
        <v>74</v>
      </c>
      <c r="BO742" t="s">
        <v>559</v>
      </c>
      <c r="BP742" t="s">
        <v>74</v>
      </c>
      <c r="BQ742" t="s">
        <v>74</v>
      </c>
      <c r="BR742" t="s">
        <v>104</v>
      </c>
      <c r="BS742" t="s">
        <v>14324</v>
      </c>
      <c r="BT742" t="str">
        <f>HYPERLINK("https%3A%2F%2Fwww.webofscience.com%2Fwos%2Fwoscc%2Ffull-record%2FWOS:000347740300001","View Full Record in Web of Science")</f>
        <v>View Full Record in Web of Science</v>
      </c>
    </row>
    <row r="743" spans="1:72" x14ac:dyDescent="0.15">
      <c r="A743" t="s">
        <v>72</v>
      </c>
      <c r="B743" t="s">
        <v>14325</v>
      </c>
      <c r="C743" t="s">
        <v>74</v>
      </c>
      <c r="D743" t="s">
        <v>74</v>
      </c>
      <c r="E743" t="s">
        <v>74</v>
      </c>
      <c r="F743" t="s">
        <v>14326</v>
      </c>
      <c r="G743" t="s">
        <v>74</v>
      </c>
      <c r="H743" t="s">
        <v>74</v>
      </c>
      <c r="I743" t="s">
        <v>14327</v>
      </c>
      <c r="J743" t="s">
        <v>14328</v>
      </c>
      <c r="K743" t="s">
        <v>74</v>
      </c>
      <c r="L743" t="s">
        <v>74</v>
      </c>
      <c r="M743" t="s">
        <v>78</v>
      </c>
      <c r="N743" t="s">
        <v>79</v>
      </c>
      <c r="O743" t="s">
        <v>74</v>
      </c>
      <c r="P743" t="s">
        <v>74</v>
      </c>
      <c r="Q743" t="s">
        <v>74</v>
      </c>
      <c r="R743" t="s">
        <v>74</v>
      </c>
      <c r="S743" t="s">
        <v>74</v>
      </c>
      <c r="T743" t="s">
        <v>14329</v>
      </c>
      <c r="U743" t="s">
        <v>14330</v>
      </c>
      <c r="V743" t="s">
        <v>14331</v>
      </c>
      <c r="W743" t="s">
        <v>14332</v>
      </c>
      <c r="X743" t="s">
        <v>14333</v>
      </c>
      <c r="Y743" t="s">
        <v>14334</v>
      </c>
      <c r="Z743" t="s">
        <v>14335</v>
      </c>
      <c r="AA743" t="s">
        <v>14336</v>
      </c>
      <c r="AB743" t="s">
        <v>14337</v>
      </c>
      <c r="AC743" t="s">
        <v>74</v>
      </c>
      <c r="AD743" t="s">
        <v>74</v>
      </c>
      <c r="AE743" t="s">
        <v>74</v>
      </c>
      <c r="AF743" t="s">
        <v>74</v>
      </c>
      <c r="AG743">
        <v>51</v>
      </c>
      <c r="AH743">
        <v>6</v>
      </c>
      <c r="AI743">
        <v>7</v>
      </c>
      <c r="AJ743">
        <v>0</v>
      </c>
      <c r="AK743">
        <v>15</v>
      </c>
      <c r="AL743" t="s">
        <v>239</v>
      </c>
      <c r="AM743" t="s">
        <v>240</v>
      </c>
      <c r="AN743" t="s">
        <v>241</v>
      </c>
      <c r="AO743" t="s">
        <v>14338</v>
      </c>
      <c r="AP743" t="s">
        <v>14339</v>
      </c>
      <c r="AQ743" t="s">
        <v>74</v>
      </c>
      <c r="AR743" t="s">
        <v>14340</v>
      </c>
      <c r="AS743" t="s">
        <v>14341</v>
      </c>
      <c r="AT743" t="s">
        <v>14342</v>
      </c>
      <c r="AU743">
        <v>2015</v>
      </c>
      <c r="AV743" t="s">
        <v>14343</v>
      </c>
      <c r="AW743" t="s">
        <v>74</v>
      </c>
      <c r="AX743" t="s">
        <v>74</v>
      </c>
      <c r="AY743" t="s">
        <v>74</v>
      </c>
      <c r="AZ743" t="s">
        <v>74</v>
      </c>
      <c r="BA743" t="s">
        <v>74</v>
      </c>
      <c r="BB743">
        <v>17</v>
      </c>
      <c r="BC743">
        <v>34</v>
      </c>
      <c r="BD743" t="s">
        <v>74</v>
      </c>
      <c r="BE743" t="s">
        <v>14344</v>
      </c>
      <c r="BF743" t="str">
        <f>HYPERLINK("http://dx.doi.org/10.1016/j.jmp.2014.10.002","http://dx.doi.org/10.1016/j.jmp.2014.10.002")</f>
        <v>http://dx.doi.org/10.1016/j.jmp.2014.10.002</v>
      </c>
      <c r="BG743" t="s">
        <v>74</v>
      </c>
      <c r="BH743" t="s">
        <v>74</v>
      </c>
      <c r="BI743">
        <v>18</v>
      </c>
      <c r="BJ743" t="s">
        <v>14345</v>
      </c>
      <c r="BK743" t="s">
        <v>1019</v>
      </c>
      <c r="BL743" t="s">
        <v>14346</v>
      </c>
      <c r="BM743" t="s">
        <v>14347</v>
      </c>
      <c r="BN743" t="s">
        <v>74</v>
      </c>
      <c r="BO743" t="s">
        <v>74</v>
      </c>
      <c r="BP743" t="s">
        <v>74</v>
      </c>
      <c r="BQ743" t="s">
        <v>74</v>
      </c>
      <c r="BR743" t="s">
        <v>104</v>
      </c>
      <c r="BS743" t="s">
        <v>14348</v>
      </c>
      <c r="BT743" t="str">
        <f>HYPERLINK("https%3A%2F%2Fwww.webofscience.com%2Fwos%2Fwoscc%2Ffull-record%2FWOS:000352175900003","View Full Record in Web of Science")</f>
        <v>View Full Record in Web of Science</v>
      </c>
    </row>
    <row r="744" spans="1:72" x14ac:dyDescent="0.15">
      <c r="A744" t="s">
        <v>72</v>
      </c>
      <c r="B744" t="s">
        <v>14349</v>
      </c>
      <c r="C744" t="s">
        <v>74</v>
      </c>
      <c r="D744" t="s">
        <v>74</v>
      </c>
      <c r="E744" t="s">
        <v>74</v>
      </c>
      <c r="F744" t="s">
        <v>14350</v>
      </c>
      <c r="G744" t="s">
        <v>74</v>
      </c>
      <c r="H744" t="s">
        <v>74</v>
      </c>
      <c r="I744" t="s">
        <v>14351</v>
      </c>
      <c r="J744" t="s">
        <v>14352</v>
      </c>
      <c r="K744" t="s">
        <v>74</v>
      </c>
      <c r="L744" t="s">
        <v>74</v>
      </c>
      <c r="M744" t="s">
        <v>14353</v>
      </c>
      <c r="N744" t="s">
        <v>79</v>
      </c>
      <c r="O744" t="s">
        <v>74</v>
      </c>
      <c r="P744" t="s">
        <v>74</v>
      </c>
      <c r="Q744" t="s">
        <v>74</v>
      </c>
      <c r="R744" t="s">
        <v>74</v>
      </c>
      <c r="S744" t="s">
        <v>74</v>
      </c>
      <c r="T744" t="s">
        <v>14354</v>
      </c>
      <c r="U744" t="s">
        <v>14355</v>
      </c>
      <c r="V744" t="s">
        <v>14356</v>
      </c>
      <c r="W744" t="s">
        <v>14357</v>
      </c>
      <c r="X744" t="s">
        <v>74</v>
      </c>
      <c r="Y744" t="s">
        <v>14358</v>
      </c>
      <c r="Z744" t="s">
        <v>876</v>
      </c>
      <c r="AA744" t="s">
        <v>74</v>
      </c>
      <c r="AB744" t="s">
        <v>74</v>
      </c>
      <c r="AC744" t="s">
        <v>74</v>
      </c>
      <c r="AD744" t="s">
        <v>74</v>
      </c>
      <c r="AE744" t="s">
        <v>74</v>
      </c>
      <c r="AF744" t="s">
        <v>74</v>
      </c>
      <c r="AG744">
        <v>38</v>
      </c>
      <c r="AH744">
        <v>2</v>
      </c>
      <c r="AI744">
        <v>2</v>
      </c>
      <c r="AJ744">
        <v>0</v>
      </c>
      <c r="AK744">
        <v>1</v>
      </c>
      <c r="AL744" t="s">
        <v>14359</v>
      </c>
      <c r="AM744" t="s">
        <v>14360</v>
      </c>
      <c r="AN744" t="s">
        <v>14361</v>
      </c>
      <c r="AO744" t="s">
        <v>14362</v>
      </c>
      <c r="AP744" t="s">
        <v>14363</v>
      </c>
      <c r="AQ744" t="s">
        <v>74</v>
      </c>
      <c r="AR744" t="s">
        <v>14364</v>
      </c>
      <c r="AS744" t="s">
        <v>14365</v>
      </c>
      <c r="AT744" t="s">
        <v>12379</v>
      </c>
      <c r="AU744">
        <v>2015</v>
      </c>
      <c r="AV744">
        <v>36</v>
      </c>
      <c r="AW744">
        <v>1</v>
      </c>
      <c r="AX744" t="s">
        <v>74</v>
      </c>
      <c r="AY744" t="s">
        <v>74</v>
      </c>
      <c r="AZ744" t="s">
        <v>74</v>
      </c>
      <c r="BA744" t="s">
        <v>74</v>
      </c>
      <c r="BB744">
        <v>68</v>
      </c>
      <c r="BC744">
        <v>81</v>
      </c>
      <c r="BD744" t="s">
        <v>74</v>
      </c>
      <c r="BE744" t="s">
        <v>14366</v>
      </c>
      <c r="BF744" t="str">
        <f>HYPERLINK("http://dx.doi.org/10.5467/JKESS.2015.36.1.68","http://dx.doi.org/10.5467/JKESS.2015.36.1.68")</f>
        <v>http://dx.doi.org/10.5467/JKESS.2015.36.1.68</v>
      </c>
      <c r="BG744" t="s">
        <v>74</v>
      </c>
      <c r="BH744" t="s">
        <v>74</v>
      </c>
      <c r="BI744">
        <v>14</v>
      </c>
      <c r="BJ744" t="s">
        <v>219</v>
      </c>
      <c r="BK744" t="s">
        <v>888</v>
      </c>
      <c r="BL744" t="s">
        <v>220</v>
      </c>
      <c r="BM744" t="s">
        <v>14367</v>
      </c>
      <c r="BN744" t="s">
        <v>74</v>
      </c>
      <c r="BO744" t="s">
        <v>74</v>
      </c>
      <c r="BP744" t="s">
        <v>74</v>
      </c>
      <c r="BQ744" t="s">
        <v>74</v>
      </c>
      <c r="BR744" t="s">
        <v>104</v>
      </c>
      <c r="BS744" t="s">
        <v>14368</v>
      </c>
      <c r="BT744" t="str">
        <f>HYPERLINK("https%3A%2F%2Fwww.webofscience.com%2Fwos%2Fwoscc%2Ffull-record%2FWOS:000439559800007","View Full Record in Web of Science")</f>
        <v>View Full Record in Web of Science</v>
      </c>
    </row>
    <row r="745" spans="1:72" x14ac:dyDescent="0.15">
      <c r="A745" t="s">
        <v>72</v>
      </c>
      <c r="B745" t="s">
        <v>14369</v>
      </c>
      <c r="C745" t="s">
        <v>74</v>
      </c>
      <c r="D745" t="s">
        <v>74</v>
      </c>
      <c r="E745" t="s">
        <v>74</v>
      </c>
      <c r="F745" t="s">
        <v>14370</v>
      </c>
      <c r="G745" t="s">
        <v>74</v>
      </c>
      <c r="H745" t="s">
        <v>74</v>
      </c>
      <c r="I745" t="s">
        <v>14371</v>
      </c>
      <c r="J745" t="s">
        <v>2647</v>
      </c>
      <c r="K745" t="s">
        <v>74</v>
      </c>
      <c r="L745" t="s">
        <v>74</v>
      </c>
      <c r="M745" t="s">
        <v>78</v>
      </c>
      <c r="N745" t="s">
        <v>79</v>
      </c>
      <c r="O745" t="s">
        <v>74</v>
      </c>
      <c r="P745" t="s">
        <v>74</v>
      </c>
      <c r="Q745" t="s">
        <v>74</v>
      </c>
      <c r="R745" t="s">
        <v>74</v>
      </c>
      <c r="S745" t="s">
        <v>74</v>
      </c>
      <c r="T745" t="s">
        <v>74</v>
      </c>
      <c r="U745" t="s">
        <v>14372</v>
      </c>
      <c r="V745" t="s">
        <v>14373</v>
      </c>
      <c r="W745" t="s">
        <v>14374</v>
      </c>
      <c r="X745" t="s">
        <v>14375</v>
      </c>
      <c r="Y745" t="s">
        <v>14376</v>
      </c>
      <c r="Z745" t="s">
        <v>14377</v>
      </c>
      <c r="AA745" t="s">
        <v>74</v>
      </c>
      <c r="AB745" t="s">
        <v>74</v>
      </c>
      <c r="AC745" t="s">
        <v>14378</v>
      </c>
      <c r="AD745" t="s">
        <v>14379</v>
      </c>
      <c r="AE745" t="s">
        <v>14380</v>
      </c>
      <c r="AF745" t="s">
        <v>74</v>
      </c>
      <c r="AG745">
        <v>90</v>
      </c>
      <c r="AH745">
        <v>16</v>
      </c>
      <c r="AI745">
        <v>17</v>
      </c>
      <c r="AJ745">
        <v>2</v>
      </c>
      <c r="AK745">
        <v>41</v>
      </c>
      <c r="AL745" t="s">
        <v>2659</v>
      </c>
      <c r="AM745" t="s">
        <v>2660</v>
      </c>
      <c r="AN745" t="s">
        <v>2661</v>
      </c>
      <c r="AO745" t="s">
        <v>2662</v>
      </c>
      <c r="AP745" t="s">
        <v>2663</v>
      </c>
      <c r="AQ745" t="s">
        <v>74</v>
      </c>
      <c r="AR745" t="s">
        <v>2664</v>
      </c>
      <c r="AS745" t="s">
        <v>2665</v>
      </c>
      <c r="AT745" t="s">
        <v>12379</v>
      </c>
      <c r="AU745">
        <v>2015</v>
      </c>
      <c r="AV745">
        <v>162</v>
      </c>
      <c r="AW745">
        <v>2</v>
      </c>
      <c r="AX745" t="s">
        <v>74</v>
      </c>
      <c r="AY745" t="s">
        <v>74</v>
      </c>
      <c r="AZ745" t="s">
        <v>74</v>
      </c>
      <c r="BA745" t="s">
        <v>74</v>
      </c>
      <c r="BB745">
        <v>413</v>
      </c>
      <c r="BC745">
        <v>424</v>
      </c>
      <c r="BD745" t="s">
        <v>74</v>
      </c>
      <c r="BE745" t="s">
        <v>14381</v>
      </c>
      <c r="BF745" t="str">
        <f>HYPERLINK("http://dx.doi.org/10.1007/s00227-014-2589-1","http://dx.doi.org/10.1007/s00227-014-2589-1")</f>
        <v>http://dx.doi.org/10.1007/s00227-014-2589-1</v>
      </c>
      <c r="BG745" t="s">
        <v>74</v>
      </c>
      <c r="BH745" t="s">
        <v>74</v>
      </c>
      <c r="BI745">
        <v>12</v>
      </c>
      <c r="BJ745" t="s">
        <v>2667</v>
      </c>
      <c r="BK745" t="s">
        <v>100</v>
      </c>
      <c r="BL745" t="s">
        <v>2667</v>
      </c>
      <c r="BM745" t="s">
        <v>13361</v>
      </c>
      <c r="BN745" t="s">
        <v>74</v>
      </c>
      <c r="BO745" t="s">
        <v>408</v>
      </c>
      <c r="BP745" t="s">
        <v>74</v>
      </c>
      <c r="BQ745" t="s">
        <v>74</v>
      </c>
      <c r="BR745" t="s">
        <v>104</v>
      </c>
      <c r="BS745" t="s">
        <v>14382</v>
      </c>
      <c r="BT745" t="str">
        <f>HYPERLINK("https%3A%2F%2Fwww.webofscience.com%2Fwos%2Fwoscc%2Ffull-record%2FWOS:000348564300016","View Full Record in Web of Science")</f>
        <v>View Full Record in Web of Science</v>
      </c>
    </row>
    <row r="746" spans="1:72" x14ac:dyDescent="0.15">
      <c r="A746" t="s">
        <v>72</v>
      </c>
      <c r="B746" t="s">
        <v>14383</v>
      </c>
      <c r="C746" t="s">
        <v>74</v>
      </c>
      <c r="D746" t="s">
        <v>74</v>
      </c>
      <c r="E746" t="s">
        <v>74</v>
      </c>
      <c r="F746" t="s">
        <v>14384</v>
      </c>
      <c r="G746" t="s">
        <v>74</v>
      </c>
      <c r="H746" t="s">
        <v>74</v>
      </c>
      <c r="I746" t="s">
        <v>14385</v>
      </c>
      <c r="J746" t="s">
        <v>14386</v>
      </c>
      <c r="K746" t="s">
        <v>74</v>
      </c>
      <c r="L746" t="s">
        <v>74</v>
      </c>
      <c r="M746" t="s">
        <v>78</v>
      </c>
      <c r="N746" t="s">
        <v>79</v>
      </c>
      <c r="O746" t="s">
        <v>74</v>
      </c>
      <c r="P746" t="s">
        <v>74</v>
      </c>
      <c r="Q746" t="s">
        <v>74</v>
      </c>
      <c r="R746" t="s">
        <v>74</v>
      </c>
      <c r="S746" t="s">
        <v>74</v>
      </c>
      <c r="T746" t="s">
        <v>14387</v>
      </c>
      <c r="U746" t="s">
        <v>14388</v>
      </c>
      <c r="V746" t="s">
        <v>14389</v>
      </c>
      <c r="W746" t="s">
        <v>14390</v>
      </c>
      <c r="X746" t="s">
        <v>14391</v>
      </c>
      <c r="Y746" t="s">
        <v>14392</v>
      </c>
      <c r="Z746" t="s">
        <v>14393</v>
      </c>
      <c r="AA746" t="s">
        <v>14394</v>
      </c>
      <c r="AB746" t="s">
        <v>14395</v>
      </c>
      <c r="AC746" t="s">
        <v>14396</v>
      </c>
      <c r="AD746" t="s">
        <v>14397</v>
      </c>
      <c r="AE746" t="s">
        <v>14398</v>
      </c>
      <c r="AF746" t="s">
        <v>74</v>
      </c>
      <c r="AG746">
        <v>58</v>
      </c>
      <c r="AH746">
        <v>25</v>
      </c>
      <c r="AI746">
        <v>26</v>
      </c>
      <c r="AJ746">
        <v>1</v>
      </c>
      <c r="AK746">
        <v>44</v>
      </c>
      <c r="AL746" t="s">
        <v>91</v>
      </c>
      <c r="AM746" t="s">
        <v>92</v>
      </c>
      <c r="AN746" t="s">
        <v>93</v>
      </c>
      <c r="AO746" t="s">
        <v>14399</v>
      </c>
      <c r="AP746" t="s">
        <v>74</v>
      </c>
      <c r="AQ746" t="s">
        <v>74</v>
      </c>
      <c r="AR746" t="s">
        <v>14386</v>
      </c>
      <c r="AS746" t="s">
        <v>14400</v>
      </c>
      <c r="AT746" t="s">
        <v>12379</v>
      </c>
      <c r="AU746">
        <v>2015</v>
      </c>
      <c r="AV746">
        <v>4</v>
      </c>
      <c r="AW746">
        <v>1</v>
      </c>
      <c r="AX746" t="s">
        <v>74</v>
      </c>
      <c r="AY746" t="s">
        <v>74</v>
      </c>
      <c r="AZ746" t="s">
        <v>74</v>
      </c>
      <c r="BA746" t="s">
        <v>74</v>
      </c>
      <c r="BB746">
        <v>136</v>
      </c>
      <c r="BC746">
        <v>150</v>
      </c>
      <c r="BD746" t="s">
        <v>74</v>
      </c>
      <c r="BE746" t="s">
        <v>14401</v>
      </c>
      <c r="BF746" t="str">
        <f>HYPERLINK("http://dx.doi.org/10.1002/mbo3.227","http://dx.doi.org/10.1002/mbo3.227")</f>
        <v>http://dx.doi.org/10.1002/mbo3.227</v>
      </c>
      <c r="BG746" t="s">
        <v>74</v>
      </c>
      <c r="BH746" t="s">
        <v>74</v>
      </c>
      <c r="BI746">
        <v>15</v>
      </c>
      <c r="BJ746" t="s">
        <v>483</v>
      </c>
      <c r="BK746" t="s">
        <v>100</v>
      </c>
      <c r="BL746" t="s">
        <v>483</v>
      </c>
      <c r="BM746" t="s">
        <v>14402</v>
      </c>
      <c r="BN746">
        <v>25515351</v>
      </c>
      <c r="BO746" t="s">
        <v>385</v>
      </c>
      <c r="BP746" t="s">
        <v>74</v>
      </c>
      <c r="BQ746" t="s">
        <v>74</v>
      </c>
      <c r="BR746" t="s">
        <v>104</v>
      </c>
      <c r="BS746" t="s">
        <v>14403</v>
      </c>
      <c r="BT746" t="str">
        <f>HYPERLINK("https%3A%2F%2Fwww.webofscience.com%2Fwos%2Fwoscc%2Ffull-record%2FWOS:000349818600010","View Full Record in Web of Science")</f>
        <v>View Full Record in Web of Science</v>
      </c>
    </row>
    <row r="747" spans="1:72" x14ac:dyDescent="0.15">
      <c r="A747" t="s">
        <v>72</v>
      </c>
      <c r="B747" t="s">
        <v>14404</v>
      </c>
      <c r="C747" t="s">
        <v>74</v>
      </c>
      <c r="D747" t="s">
        <v>74</v>
      </c>
      <c r="E747" t="s">
        <v>74</v>
      </c>
      <c r="F747" t="s">
        <v>14405</v>
      </c>
      <c r="G747" t="s">
        <v>74</v>
      </c>
      <c r="H747" t="s">
        <v>74</v>
      </c>
      <c r="I747" t="s">
        <v>14406</v>
      </c>
      <c r="J747" t="s">
        <v>2065</v>
      </c>
      <c r="K747" t="s">
        <v>74</v>
      </c>
      <c r="L747" t="s">
        <v>74</v>
      </c>
      <c r="M747" t="s">
        <v>78</v>
      </c>
      <c r="N747" t="s">
        <v>79</v>
      </c>
      <c r="O747" t="s">
        <v>74</v>
      </c>
      <c r="P747" t="s">
        <v>74</v>
      </c>
      <c r="Q747" t="s">
        <v>74</v>
      </c>
      <c r="R747" t="s">
        <v>74</v>
      </c>
      <c r="S747" t="s">
        <v>74</v>
      </c>
      <c r="T747" t="s">
        <v>14407</v>
      </c>
      <c r="U747" t="s">
        <v>14408</v>
      </c>
      <c r="V747" t="s">
        <v>14409</v>
      </c>
      <c r="W747" t="s">
        <v>14410</v>
      </c>
      <c r="X747" t="s">
        <v>14411</v>
      </c>
      <c r="Y747" t="s">
        <v>14412</v>
      </c>
      <c r="Z747" t="s">
        <v>14413</v>
      </c>
      <c r="AA747" t="s">
        <v>14414</v>
      </c>
      <c r="AB747" t="s">
        <v>14415</v>
      </c>
      <c r="AC747" t="s">
        <v>14416</v>
      </c>
      <c r="AD747" t="s">
        <v>14417</v>
      </c>
      <c r="AE747" t="s">
        <v>14418</v>
      </c>
      <c r="AF747" t="s">
        <v>74</v>
      </c>
      <c r="AG747">
        <v>112</v>
      </c>
      <c r="AH747">
        <v>21</v>
      </c>
      <c r="AI747">
        <v>21</v>
      </c>
      <c r="AJ747">
        <v>0</v>
      </c>
      <c r="AK747">
        <v>6</v>
      </c>
      <c r="AL747" t="s">
        <v>1621</v>
      </c>
      <c r="AM747" t="s">
        <v>787</v>
      </c>
      <c r="AN747" t="s">
        <v>1622</v>
      </c>
      <c r="AO747" t="s">
        <v>2075</v>
      </c>
      <c r="AP747" t="s">
        <v>2076</v>
      </c>
      <c r="AQ747" t="s">
        <v>74</v>
      </c>
      <c r="AR747" t="s">
        <v>2077</v>
      </c>
      <c r="AS747" t="s">
        <v>2078</v>
      </c>
      <c r="AT747" t="s">
        <v>12379</v>
      </c>
      <c r="AU747">
        <v>2015</v>
      </c>
      <c r="AV747">
        <v>446</v>
      </c>
      <c r="AW747">
        <v>4</v>
      </c>
      <c r="AX747" t="s">
        <v>74</v>
      </c>
      <c r="AY747" t="s">
        <v>74</v>
      </c>
      <c r="AZ747" t="s">
        <v>74</v>
      </c>
      <c r="BA747" t="s">
        <v>74</v>
      </c>
      <c r="BB747">
        <v>3642</v>
      </c>
      <c r="BC747">
        <v>3650</v>
      </c>
      <c r="BD747" t="s">
        <v>74</v>
      </c>
      <c r="BE747" t="s">
        <v>14419</v>
      </c>
      <c r="BF747" t="str">
        <f>HYPERLINK("http://dx.doi.org/10.1093/mnras/stu2336","http://dx.doi.org/10.1093/mnras/stu2336")</f>
        <v>http://dx.doi.org/10.1093/mnras/stu2336</v>
      </c>
      <c r="BG747" t="s">
        <v>74</v>
      </c>
      <c r="BH747" t="s">
        <v>74</v>
      </c>
      <c r="BI747">
        <v>9</v>
      </c>
      <c r="BJ747" t="s">
        <v>246</v>
      </c>
      <c r="BK747" t="s">
        <v>100</v>
      </c>
      <c r="BL747" t="s">
        <v>246</v>
      </c>
      <c r="BM747" t="s">
        <v>14420</v>
      </c>
      <c r="BN747" t="s">
        <v>74</v>
      </c>
      <c r="BO747" t="s">
        <v>248</v>
      </c>
      <c r="BP747" t="s">
        <v>74</v>
      </c>
      <c r="BQ747" t="s">
        <v>74</v>
      </c>
      <c r="BR747" t="s">
        <v>104</v>
      </c>
      <c r="BS747" t="s">
        <v>14421</v>
      </c>
      <c r="BT747" t="str">
        <f>HYPERLINK("https%3A%2F%2Fwww.webofscience.com%2Fwos%2Fwoscc%2Ffull-record%2FWOS:000350272400031","View Full Record in Web of Science")</f>
        <v>View Full Record in Web of Science</v>
      </c>
    </row>
    <row r="748" spans="1:72" x14ac:dyDescent="0.15">
      <c r="A748" t="s">
        <v>72</v>
      </c>
      <c r="B748" t="s">
        <v>14422</v>
      </c>
      <c r="C748" t="s">
        <v>74</v>
      </c>
      <c r="D748" t="s">
        <v>74</v>
      </c>
      <c r="E748" t="s">
        <v>74</v>
      </c>
      <c r="F748" t="s">
        <v>14423</v>
      </c>
      <c r="G748" t="s">
        <v>74</v>
      </c>
      <c r="H748" t="s">
        <v>74</v>
      </c>
      <c r="I748" t="s">
        <v>14424</v>
      </c>
      <c r="J748" t="s">
        <v>2529</v>
      </c>
      <c r="K748" t="s">
        <v>74</v>
      </c>
      <c r="L748" t="s">
        <v>74</v>
      </c>
      <c r="M748" t="s">
        <v>78</v>
      </c>
      <c r="N748" t="s">
        <v>79</v>
      </c>
      <c r="O748" t="s">
        <v>74</v>
      </c>
      <c r="P748" t="s">
        <v>74</v>
      </c>
      <c r="Q748" t="s">
        <v>74</v>
      </c>
      <c r="R748" t="s">
        <v>74</v>
      </c>
      <c r="S748" t="s">
        <v>74</v>
      </c>
      <c r="T748" t="s">
        <v>74</v>
      </c>
      <c r="U748" t="s">
        <v>14425</v>
      </c>
      <c r="V748" t="s">
        <v>14426</v>
      </c>
      <c r="W748" t="s">
        <v>14427</v>
      </c>
      <c r="X748" t="s">
        <v>14428</v>
      </c>
      <c r="Y748" t="s">
        <v>14429</v>
      </c>
      <c r="Z748" t="s">
        <v>14430</v>
      </c>
      <c r="AA748" t="s">
        <v>74</v>
      </c>
      <c r="AB748" t="s">
        <v>74</v>
      </c>
      <c r="AC748" t="s">
        <v>14431</v>
      </c>
      <c r="AD748" t="s">
        <v>14432</v>
      </c>
      <c r="AE748" t="s">
        <v>14433</v>
      </c>
      <c r="AF748" t="s">
        <v>74</v>
      </c>
      <c r="AG748">
        <v>50</v>
      </c>
      <c r="AH748">
        <v>234</v>
      </c>
      <c r="AI748">
        <v>265</v>
      </c>
      <c r="AJ748">
        <v>36</v>
      </c>
      <c r="AK748">
        <v>305</v>
      </c>
      <c r="AL748" t="s">
        <v>422</v>
      </c>
      <c r="AM748" t="s">
        <v>423</v>
      </c>
      <c r="AN748" t="s">
        <v>424</v>
      </c>
      <c r="AO748" t="s">
        <v>2541</v>
      </c>
      <c r="AP748" t="s">
        <v>2542</v>
      </c>
      <c r="AQ748" t="s">
        <v>74</v>
      </c>
      <c r="AR748" t="s">
        <v>2543</v>
      </c>
      <c r="AS748" t="s">
        <v>2544</v>
      </c>
      <c r="AT748" t="s">
        <v>12379</v>
      </c>
      <c r="AU748">
        <v>2015</v>
      </c>
      <c r="AV748">
        <v>8</v>
      </c>
      <c r="AW748">
        <v>2</v>
      </c>
      <c r="AX748" t="s">
        <v>74</v>
      </c>
      <c r="AY748" t="s">
        <v>74</v>
      </c>
      <c r="AZ748" t="s">
        <v>74</v>
      </c>
      <c r="BA748" t="s">
        <v>74</v>
      </c>
      <c r="BB748">
        <v>91</v>
      </c>
      <c r="BC748">
        <v>96</v>
      </c>
      <c r="BD748" t="s">
        <v>74</v>
      </c>
      <c r="BE748" t="s">
        <v>14434</v>
      </c>
      <c r="BF748" t="str">
        <f>HYPERLINK("http://dx.doi.org/10.1038/NGEO2331","http://dx.doi.org/10.1038/NGEO2331")</f>
        <v>http://dx.doi.org/10.1038/NGEO2331</v>
      </c>
      <c r="BG748" t="s">
        <v>74</v>
      </c>
      <c r="BH748" t="s">
        <v>74</v>
      </c>
      <c r="BI748">
        <v>6</v>
      </c>
      <c r="BJ748" t="s">
        <v>219</v>
      </c>
      <c r="BK748" t="s">
        <v>100</v>
      </c>
      <c r="BL748" t="s">
        <v>220</v>
      </c>
      <c r="BM748" t="s">
        <v>14435</v>
      </c>
      <c r="BN748" t="s">
        <v>74</v>
      </c>
      <c r="BO748" t="s">
        <v>74</v>
      </c>
      <c r="BP748" t="s">
        <v>4339</v>
      </c>
      <c r="BQ748" t="s">
        <v>4340</v>
      </c>
      <c r="BR748" t="s">
        <v>104</v>
      </c>
      <c r="BS748" t="s">
        <v>14436</v>
      </c>
      <c r="BT748" t="str">
        <f>HYPERLINK("https%3A%2F%2Fwww.webofscience.com%2Fwos%2Fwoscc%2Ffull-record%2FWOS:000349354200009","View Full Record in Web of Science")</f>
        <v>View Full Record in Web of Science</v>
      </c>
    </row>
    <row r="749" spans="1:72" x14ac:dyDescent="0.15">
      <c r="A749" t="s">
        <v>72</v>
      </c>
      <c r="B749" t="s">
        <v>14437</v>
      </c>
      <c r="C749" t="s">
        <v>74</v>
      </c>
      <c r="D749" t="s">
        <v>74</v>
      </c>
      <c r="E749" t="s">
        <v>74</v>
      </c>
      <c r="F749" t="s">
        <v>14438</v>
      </c>
      <c r="G749" t="s">
        <v>74</v>
      </c>
      <c r="H749" t="s">
        <v>74</v>
      </c>
      <c r="I749" t="s">
        <v>14439</v>
      </c>
      <c r="J749" t="s">
        <v>3567</v>
      </c>
      <c r="K749" t="s">
        <v>74</v>
      </c>
      <c r="L749" t="s">
        <v>74</v>
      </c>
      <c r="M749" t="s">
        <v>78</v>
      </c>
      <c r="N749" t="s">
        <v>79</v>
      </c>
      <c r="O749" t="s">
        <v>74</v>
      </c>
      <c r="P749" t="s">
        <v>74</v>
      </c>
      <c r="Q749" t="s">
        <v>74</v>
      </c>
      <c r="R749" t="s">
        <v>74</v>
      </c>
      <c r="S749" t="s">
        <v>74</v>
      </c>
      <c r="T749" t="s">
        <v>14440</v>
      </c>
      <c r="U749" t="s">
        <v>14441</v>
      </c>
      <c r="V749" t="s">
        <v>14442</v>
      </c>
      <c r="W749" t="s">
        <v>14443</v>
      </c>
      <c r="X749" t="s">
        <v>14444</v>
      </c>
      <c r="Y749" t="s">
        <v>14445</v>
      </c>
      <c r="Z749" t="s">
        <v>14446</v>
      </c>
      <c r="AA749" t="s">
        <v>14447</v>
      </c>
      <c r="AB749" t="s">
        <v>14448</v>
      </c>
      <c r="AC749" t="s">
        <v>14449</v>
      </c>
      <c r="AD749" t="s">
        <v>14450</v>
      </c>
      <c r="AE749" t="s">
        <v>14451</v>
      </c>
      <c r="AF749" t="s">
        <v>74</v>
      </c>
      <c r="AG749">
        <v>50</v>
      </c>
      <c r="AH749">
        <v>29</v>
      </c>
      <c r="AI749">
        <v>30</v>
      </c>
      <c r="AJ749">
        <v>1</v>
      </c>
      <c r="AK749">
        <v>21</v>
      </c>
      <c r="AL749" t="s">
        <v>1158</v>
      </c>
      <c r="AM749" t="s">
        <v>787</v>
      </c>
      <c r="AN749" t="s">
        <v>1159</v>
      </c>
      <c r="AO749" t="s">
        <v>3580</v>
      </c>
      <c r="AP749" t="s">
        <v>3581</v>
      </c>
      <c r="AQ749" t="s">
        <v>74</v>
      </c>
      <c r="AR749" t="s">
        <v>3582</v>
      </c>
      <c r="AS749" t="s">
        <v>3583</v>
      </c>
      <c r="AT749" t="s">
        <v>12379</v>
      </c>
      <c r="AU749">
        <v>2015</v>
      </c>
      <c r="AV749">
        <v>86</v>
      </c>
      <c r="AW749" t="s">
        <v>74</v>
      </c>
      <c r="AX749" t="s">
        <v>74</v>
      </c>
      <c r="AY749" t="s">
        <v>74</v>
      </c>
      <c r="AZ749" t="s">
        <v>74</v>
      </c>
      <c r="BA749" t="s">
        <v>74</v>
      </c>
      <c r="BB749">
        <v>141</v>
      </c>
      <c r="BC749">
        <v>152</v>
      </c>
      <c r="BD749" t="s">
        <v>74</v>
      </c>
      <c r="BE749" t="s">
        <v>14452</v>
      </c>
      <c r="BF749" t="str">
        <f>HYPERLINK("http://dx.doi.org/10.1016/j.ocemod.2014.12.009","http://dx.doi.org/10.1016/j.ocemod.2014.12.009")</f>
        <v>http://dx.doi.org/10.1016/j.ocemod.2014.12.009</v>
      </c>
      <c r="BG749" t="s">
        <v>74</v>
      </c>
      <c r="BH749" t="s">
        <v>74</v>
      </c>
      <c r="BI749">
        <v>12</v>
      </c>
      <c r="BJ749" t="s">
        <v>3585</v>
      </c>
      <c r="BK749" t="s">
        <v>100</v>
      </c>
      <c r="BL749" t="s">
        <v>3585</v>
      </c>
      <c r="BM749" t="s">
        <v>13079</v>
      </c>
      <c r="BN749" t="s">
        <v>74</v>
      </c>
      <c r="BO749" t="s">
        <v>74</v>
      </c>
      <c r="BP749" t="s">
        <v>74</v>
      </c>
      <c r="BQ749" t="s">
        <v>74</v>
      </c>
      <c r="BR749" t="s">
        <v>104</v>
      </c>
      <c r="BS749" t="s">
        <v>14453</v>
      </c>
      <c r="BT749" t="str">
        <f>HYPERLINK("https%3A%2F%2Fwww.webofscience.com%2Fwos%2Fwoscc%2Ffull-record%2FWOS:000349695700009","View Full Record in Web of Science")</f>
        <v>View Full Record in Web of Science</v>
      </c>
    </row>
    <row r="750" spans="1:72" x14ac:dyDescent="0.15">
      <c r="A750" t="s">
        <v>72</v>
      </c>
      <c r="B750" t="s">
        <v>14454</v>
      </c>
      <c r="C750" t="s">
        <v>74</v>
      </c>
      <c r="D750" t="s">
        <v>74</v>
      </c>
      <c r="E750" t="s">
        <v>74</v>
      </c>
      <c r="F750" t="s">
        <v>14455</v>
      </c>
      <c r="G750" t="s">
        <v>74</v>
      </c>
      <c r="H750" t="s">
        <v>74</v>
      </c>
      <c r="I750" t="s">
        <v>14456</v>
      </c>
      <c r="J750" t="s">
        <v>7837</v>
      </c>
      <c r="K750" t="s">
        <v>74</v>
      </c>
      <c r="L750" t="s">
        <v>74</v>
      </c>
      <c r="M750" t="s">
        <v>78</v>
      </c>
      <c r="N750" t="s">
        <v>79</v>
      </c>
      <c r="O750" t="s">
        <v>74</v>
      </c>
      <c r="P750" t="s">
        <v>74</v>
      </c>
      <c r="Q750" t="s">
        <v>74</v>
      </c>
      <c r="R750" t="s">
        <v>74</v>
      </c>
      <c r="S750" t="s">
        <v>74</v>
      </c>
      <c r="T750" t="s">
        <v>14457</v>
      </c>
      <c r="U750" t="s">
        <v>14458</v>
      </c>
      <c r="V750" t="s">
        <v>14459</v>
      </c>
      <c r="W750" t="s">
        <v>14460</v>
      </c>
      <c r="X750" t="s">
        <v>14461</v>
      </c>
      <c r="Y750" t="s">
        <v>14462</v>
      </c>
      <c r="Z750" t="s">
        <v>14463</v>
      </c>
      <c r="AA750" t="s">
        <v>74</v>
      </c>
      <c r="AB750" t="s">
        <v>14464</v>
      </c>
      <c r="AC750" t="s">
        <v>14465</v>
      </c>
      <c r="AD750" t="s">
        <v>14466</v>
      </c>
      <c r="AE750" t="s">
        <v>14467</v>
      </c>
      <c r="AF750" t="s">
        <v>74</v>
      </c>
      <c r="AG750">
        <v>101</v>
      </c>
      <c r="AH750">
        <v>51</v>
      </c>
      <c r="AI750">
        <v>53</v>
      </c>
      <c r="AJ750">
        <v>0</v>
      </c>
      <c r="AK750">
        <v>44</v>
      </c>
      <c r="AL750" t="s">
        <v>266</v>
      </c>
      <c r="AM750" t="s">
        <v>267</v>
      </c>
      <c r="AN750" t="s">
        <v>268</v>
      </c>
      <c r="AO750" t="s">
        <v>7849</v>
      </c>
      <c r="AP750" t="s">
        <v>7850</v>
      </c>
      <c r="AQ750" t="s">
        <v>74</v>
      </c>
      <c r="AR750" t="s">
        <v>7837</v>
      </c>
      <c r="AS750" t="s">
        <v>7851</v>
      </c>
      <c r="AT750" t="s">
        <v>12379</v>
      </c>
      <c r="AU750">
        <v>2015</v>
      </c>
      <c r="AV750">
        <v>30</v>
      </c>
      <c r="AW750">
        <v>2</v>
      </c>
      <c r="AX750" t="s">
        <v>74</v>
      </c>
      <c r="AY750" t="s">
        <v>74</v>
      </c>
      <c r="AZ750" t="s">
        <v>74</v>
      </c>
      <c r="BA750" t="s">
        <v>74</v>
      </c>
      <c r="BB750">
        <v>23</v>
      </c>
      <c r="BC750">
        <v>38</v>
      </c>
      <c r="BD750" t="s">
        <v>74</v>
      </c>
      <c r="BE750" t="s">
        <v>14468</v>
      </c>
      <c r="BF750" t="str">
        <f>HYPERLINK("http://dx.doi.org/10.1002/2014PA002727","http://dx.doi.org/10.1002/2014PA002727")</f>
        <v>http://dx.doi.org/10.1002/2014PA002727</v>
      </c>
      <c r="BG750" t="s">
        <v>74</v>
      </c>
      <c r="BH750" t="s">
        <v>74</v>
      </c>
      <c r="BI750">
        <v>16</v>
      </c>
      <c r="BJ750" t="s">
        <v>7853</v>
      </c>
      <c r="BK750" t="s">
        <v>100</v>
      </c>
      <c r="BL750" t="s">
        <v>7854</v>
      </c>
      <c r="BM750" t="s">
        <v>12705</v>
      </c>
      <c r="BN750" t="s">
        <v>74</v>
      </c>
      <c r="BO750" t="s">
        <v>14469</v>
      </c>
      <c r="BP750" t="s">
        <v>74</v>
      </c>
      <c r="BQ750" t="s">
        <v>74</v>
      </c>
      <c r="BR750" t="s">
        <v>104</v>
      </c>
      <c r="BS750" t="s">
        <v>14470</v>
      </c>
      <c r="BT750" t="str">
        <f>HYPERLINK("https%3A%2F%2Fwww.webofscience.com%2Fwos%2Fwoscc%2Ffull-record%2FWOS:000351469300001","View Full Record in Web of Science")</f>
        <v>View Full Record in Web of Science</v>
      </c>
    </row>
    <row r="751" spans="1:72" x14ac:dyDescent="0.15">
      <c r="A751" t="s">
        <v>72</v>
      </c>
      <c r="B751" t="s">
        <v>14471</v>
      </c>
      <c r="C751" t="s">
        <v>74</v>
      </c>
      <c r="D751" t="s">
        <v>74</v>
      </c>
      <c r="E751" t="s">
        <v>74</v>
      </c>
      <c r="F751" t="s">
        <v>14472</v>
      </c>
      <c r="G751" t="s">
        <v>74</v>
      </c>
      <c r="H751" t="s">
        <v>74</v>
      </c>
      <c r="I751" t="s">
        <v>14473</v>
      </c>
      <c r="J751" t="s">
        <v>7837</v>
      </c>
      <c r="K751" t="s">
        <v>74</v>
      </c>
      <c r="L751" t="s">
        <v>74</v>
      </c>
      <c r="M751" t="s">
        <v>78</v>
      </c>
      <c r="N751" t="s">
        <v>79</v>
      </c>
      <c r="O751" t="s">
        <v>74</v>
      </c>
      <c r="P751" t="s">
        <v>74</v>
      </c>
      <c r="Q751" t="s">
        <v>74</v>
      </c>
      <c r="R751" t="s">
        <v>74</v>
      </c>
      <c r="S751" t="s">
        <v>74</v>
      </c>
      <c r="T751" t="s">
        <v>14474</v>
      </c>
      <c r="U751" t="s">
        <v>14475</v>
      </c>
      <c r="V751" t="s">
        <v>14476</v>
      </c>
      <c r="W751" t="s">
        <v>14477</v>
      </c>
      <c r="X751" t="s">
        <v>14478</v>
      </c>
      <c r="Y751" t="s">
        <v>14479</v>
      </c>
      <c r="Z751" t="s">
        <v>13056</v>
      </c>
      <c r="AA751" t="s">
        <v>14480</v>
      </c>
      <c r="AB751" t="s">
        <v>14481</v>
      </c>
      <c r="AC751" t="s">
        <v>14482</v>
      </c>
      <c r="AD751" t="s">
        <v>14483</v>
      </c>
      <c r="AE751" t="s">
        <v>14484</v>
      </c>
      <c r="AF751" t="s">
        <v>74</v>
      </c>
      <c r="AG751">
        <v>68</v>
      </c>
      <c r="AH751">
        <v>21</v>
      </c>
      <c r="AI751">
        <v>25</v>
      </c>
      <c r="AJ751">
        <v>1</v>
      </c>
      <c r="AK751">
        <v>17</v>
      </c>
      <c r="AL751" t="s">
        <v>266</v>
      </c>
      <c r="AM751" t="s">
        <v>267</v>
      </c>
      <c r="AN751" t="s">
        <v>268</v>
      </c>
      <c r="AO751" t="s">
        <v>7849</v>
      </c>
      <c r="AP751" t="s">
        <v>7850</v>
      </c>
      <c r="AQ751" t="s">
        <v>74</v>
      </c>
      <c r="AR751" t="s">
        <v>7837</v>
      </c>
      <c r="AS751" t="s">
        <v>7851</v>
      </c>
      <c r="AT751" t="s">
        <v>12379</v>
      </c>
      <c r="AU751">
        <v>2015</v>
      </c>
      <c r="AV751">
        <v>30</v>
      </c>
      <c r="AW751">
        <v>2</v>
      </c>
      <c r="AX751" t="s">
        <v>74</v>
      </c>
      <c r="AY751" t="s">
        <v>74</v>
      </c>
      <c r="AZ751" t="s">
        <v>74</v>
      </c>
      <c r="BA751" t="s">
        <v>74</v>
      </c>
      <c r="BB751">
        <v>118</v>
      </c>
      <c r="BC751">
        <v>132</v>
      </c>
      <c r="BD751" t="s">
        <v>74</v>
      </c>
      <c r="BE751" t="s">
        <v>14485</v>
      </c>
      <c r="BF751" t="str">
        <f>HYPERLINK("http://dx.doi.org/10.1002/2014PA002636","http://dx.doi.org/10.1002/2014PA002636")</f>
        <v>http://dx.doi.org/10.1002/2014PA002636</v>
      </c>
      <c r="BG751" t="s">
        <v>74</v>
      </c>
      <c r="BH751" t="s">
        <v>74</v>
      </c>
      <c r="BI751">
        <v>15</v>
      </c>
      <c r="BJ751" t="s">
        <v>7853</v>
      </c>
      <c r="BK751" t="s">
        <v>100</v>
      </c>
      <c r="BL751" t="s">
        <v>7854</v>
      </c>
      <c r="BM751" t="s">
        <v>12705</v>
      </c>
      <c r="BN751" t="s">
        <v>74</v>
      </c>
      <c r="BO751" t="s">
        <v>8301</v>
      </c>
      <c r="BP751" t="s">
        <v>74</v>
      </c>
      <c r="BQ751" t="s">
        <v>74</v>
      </c>
      <c r="BR751" t="s">
        <v>104</v>
      </c>
      <c r="BS751" t="s">
        <v>14486</v>
      </c>
      <c r="BT751" t="str">
        <f>HYPERLINK("https%3A%2F%2Fwww.webofscience.com%2Fwos%2Fwoscc%2Ffull-record%2FWOS:000351469300006","View Full Record in Web of Science")</f>
        <v>View Full Record in Web of Science</v>
      </c>
    </row>
    <row r="752" spans="1:72" x14ac:dyDescent="0.15">
      <c r="A752" t="s">
        <v>72</v>
      </c>
      <c r="B752" t="s">
        <v>14487</v>
      </c>
      <c r="C752" t="s">
        <v>74</v>
      </c>
      <c r="D752" t="s">
        <v>74</v>
      </c>
      <c r="E752" t="s">
        <v>74</v>
      </c>
      <c r="F752" t="s">
        <v>14488</v>
      </c>
      <c r="G752" t="s">
        <v>74</v>
      </c>
      <c r="H752" t="s">
        <v>74</v>
      </c>
      <c r="I752" t="s">
        <v>14489</v>
      </c>
      <c r="J752" t="s">
        <v>1290</v>
      </c>
      <c r="K752" t="s">
        <v>74</v>
      </c>
      <c r="L752" t="s">
        <v>74</v>
      </c>
      <c r="M752" t="s">
        <v>78</v>
      </c>
      <c r="N752" t="s">
        <v>79</v>
      </c>
      <c r="O752" t="s">
        <v>74</v>
      </c>
      <c r="P752" t="s">
        <v>74</v>
      </c>
      <c r="Q752" t="s">
        <v>74</v>
      </c>
      <c r="R752" t="s">
        <v>74</v>
      </c>
      <c r="S752" t="s">
        <v>74</v>
      </c>
      <c r="T752" t="s">
        <v>14490</v>
      </c>
      <c r="U752" t="s">
        <v>14491</v>
      </c>
      <c r="V752" t="s">
        <v>14492</v>
      </c>
      <c r="W752" t="s">
        <v>14493</v>
      </c>
      <c r="X752" t="s">
        <v>74</v>
      </c>
      <c r="Y752" t="s">
        <v>14494</v>
      </c>
      <c r="Z752" t="s">
        <v>14495</v>
      </c>
      <c r="AA752" t="s">
        <v>74</v>
      </c>
      <c r="AB752" t="s">
        <v>14496</v>
      </c>
      <c r="AC752" t="s">
        <v>74</v>
      </c>
      <c r="AD752" t="s">
        <v>74</v>
      </c>
      <c r="AE752" t="s">
        <v>74</v>
      </c>
      <c r="AF752" t="s">
        <v>74</v>
      </c>
      <c r="AG752">
        <v>60</v>
      </c>
      <c r="AH752">
        <v>9</v>
      </c>
      <c r="AI752">
        <v>11</v>
      </c>
      <c r="AJ752">
        <v>1</v>
      </c>
      <c r="AK752">
        <v>35</v>
      </c>
      <c r="AL752" t="s">
        <v>120</v>
      </c>
      <c r="AM752" t="s">
        <v>121</v>
      </c>
      <c r="AN752" t="s">
        <v>1304</v>
      </c>
      <c r="AO752" t="s">
        <v>1305</v>
      </c>
      <c r="AP752" t="s">
        <v>1306</v>
      </c>
      <c r="AQ752" t="s">
        <v>74</v>
      </c>
      <c r="AR752" t="s">
        <v>1307</v>
      </c>
      <c r="AS752" t="s">
        <v>1308</v>
      </c>
      <c r="AT752" t="s">
        <v>12379</v>
      </c>
      <c r="AU752">
        <v>2015</v>
      </c>
      <c r="AV752">
        <v>38</v>
      </c>
      <c r="AW752">
        <v>2</v>
      </c>
      <c r="AX752" t="s">
        <v>74</v>
      </c>
      <c r="AY752" t="s">
        <v>74</v>
      </c>
      <c r="AZ752" t="s">
        <v>74</v>
      </c>
      <c r="BA752" t="s">
        <v>74</v>
      </c>
      <c r="BB752">
        <v>221</v>
      </c>
      <c r="BC752">
        <v>230</v>
      </c>
      <c r="BD752" t="s">
        <v>74</v>
      </c>
      <c r="BE752" t="s">
        <v>14497</v>
      </c>
      <c r="BF752" t="str">
        <f>HYPERLINK("http://dx.doi.org/10.1007/s00300-014-1580-0","http://dx.doi.org/10.1007/s00300-014-1580-0")</f>
        <v>http://dx.doi.org/10.1007/s00300-014-1580-0</v>
      </c>
      <c r="BG752" t="s">
        <v>74</v>
      </c>
      <c r="BH752" t="s">
        <v>74</v>
      </c>
      <c r="BI752">
        <v>10</v>
      </c>
      <c r="BJ752" t="s">
        <v>1311</v>
      </c>
      <c r="BK752" t="s">
        <v>100</v>
      </c>
      <c r="BL752" t="s">
        <v>154</v>
      </c>
      <c r="BM752" t="s">
        <v>13436</v>
      </c>
      <c r="BN752" t="s">
        <v>74</v>
      </c>
      <c r="BO752" t="s">
        <v>2481</v>
      </c>
      <c r="BP752" t="s">
        <v>74</v>
      </c>
      <c r="BQ752" t="s">
        <v>74</v>
      </c>
      <c r="BR752" t="s">
        <v>104</v>
      </c>
      <c r="BS752" t="s">
        <v>14498</v>
      </c>
      <c r="BT752" t="str">
        <f>HYPERLINK("https%3A%2F%2Fwww.webofscience.com%2Fwos%2Fwoscc%2Ffull-record%2FWOS:000348310200009","View Full Record in Web of Science")</f>
        <v>View Full Record in Web of Science</v>
      </c>
    </row>
    <row r="753" spans="1:72" x14ac:dyDescent="0.15">
      <c r="A753" t="s">
        <v>72</v>
      </c>
      <c r="B753" t="s">
        <v>14499</v>
      </c>
      <c r="C753" t="s">
        <v>74</v>
      </c>
      <c r="D753" t="s">
        <v>74</v>
      </c>
      <c r="E753" t="s">
        <v>74</v>
      </c>
      <c r="F753" t="s">
        <v>14500</v>
      </c>
      <c r="G753" t="s">
        <v>74</v>
      </c>
      <c r="H753" t="s">
        <v>74</v>
      </c>
      <c r="I753" t="s">
        <v>14501</v>
      </c>
      <c r="J753" t="s">
        <v>1570</v>
      </c>
      <c r="K753" t="s">
        <v>74</v>
      </c>
      <c r="L753" t="s">
        <v>74</v>
      </c>
      <c r="M753" t="s">
        <v>78</v>
      </c>
      <c r="N753" t="s">
        <v>1291</v>
      </c>
      <c r="O753" t="s">
        <v>74</v>
      </c>
      <c r="P753" t="s">
        <v>74</v>
      </c>
      <c r="Q753" t="s">
        <v>74</v>
      </c>
      <c r="R753" t="s">
        <v>74</v>
      </c>
      <c r="S753" t="s">
        <v>74</v>
      </c>
      <c r="T753" t="s">
        <v>14502</v>
      </c>
      <c r="U753" t="s">
        <v>14503</v>
      </c>
      <c r="V753" t="s">
        <v>14504</v>
      </c>
      <c r="W753" t="s">
        <v>14505</v>
      </c>
      <c r="X753" t="s">
        <v>14506</v>
      </c>
      <c r="Y753" t="s">
        <v>14507</v>
      </c>
      <c r="Z753" t="s">
        <v>14508</v>
      </c>
      <c r="AA753" t="s">
        <v>14509</v>
      </c>
      <c r="AB753" t="s">
        <v>14510</v>
      </c>
      <c r="AC753" t="s">
        <v>14511</v>
      </c>
      <c r="AD753" t="s">
        <v>14512</v>
      </c>
      <c r="AE753" t="s">
        <v>14513</v>
      </c>
      <c r="AF753" t="s">
        <v>74</v>
      </c>
      <c r="AG753">
        <v>128</v>
      </c>
      <c r="AH753">
        <v>63</v>
      </c>
      <c r="AI753">
        <v>69</v>
      </c>
      <c r="AJ753">
        <v>1</v>
      </c>
      <c r="AK753">
        <v>42</v>
      </c>
      <c r="AL753" t="s">
        <v>786</v>
      </c>
      <c r="AM753" t="s">
        <v>787</v>
      </c>
      <c r="AN753" t="s">
        <v>788</v>
      </c>
      <c r="AO753" t="s">
        <v>1582</v>
      </c>
      <c r="AP753" t="s">
        <v>74</v>
      </c>
      <c r="AQ753" t="s">
        <v>74</v>
      </c>
      <c r="AR753" t="s">
        <v>1583</v>
      </c>
      <c r="AS753" t="s">
        <v>1584</v>
      </c>
      <c r="AT753" t="s">
        <v>12379</v>
      </c>
      <c r="AU753">
        <v>2015</v>
      </c>
      <c r="AV753">
        <v>131</v>
      </c>
      <c r="AW753" t="s">
        <v>74</v>
      </c>
      <c r="AX753" t="s">
        <v>74</v>
      </c>
      <c r="AY753" t="s">
        <v>74</v>
      </c>
      <c r="AZ753" t="s">
        <v>74</v>
      </c>
      <c r="BA753" t="s">
        <v>74</v>
      </c>
      <c r="BB753">
        <v>46</v>
      </c>
      <c r="BC753">
        <v>58</v>
      </c>
      <c r="BD753" t="s">
        <v>74</v>
      </c>
      <c r="BE753" t="s">
        <v>14514</v>
      </c>
      <c r="BF753" t="str">
        <f>HYPERLINK("http://dx.doi.org/10.1016/j.pocean.2014.11.011","http://dx.doi.org/10.1016/j.pocean.2014.11.011")</f>
        <v>http://dx.doi.org/10.1016/j.pocean.2014.11.011</v>
      </c>
      <c r="BG753" t="s">
        <v>74</v>
      </c>
      <c r="BH753" t="s">
        <v>74</v>
      </c>
      <c r="BI753">
        <v>13</v>
      </c>
      <c r="BJ753" t="s">
        <v>1540</v>
      </c>
      <c r="BK753" t="s">
        <v>100</v>
      </c>
      <c r="BL753" t="s">
        <v>1540</v>
      </c>
      <c r="BM753" t="s">
        <v>13013</v>
      </c>
      <c r="BN753" t="s">
        <v>74</v>
      </c>
      <c r="BO753" t="s">
        <v>248</v>
      </c>
      <c r="BP753" t="s">
        <v>74</v>
      </c>
      <c r="BQ753" t="s">
        <v>74</v>
      </c>
      <c r="BR753" t="s">
        <v>104</v>
      </c>
      <c r="BS753" t="s">
        <v>14515</v>
      </c>
      <c r="BT753" t="str">
        <f>HYPERLINK("https%3A%2F%2Fwww.webofscience.com%2Fwos%2Fwoscc%2Ffull-record%2FWOS:000350540400004","View Full Record in Web of Science")</f>
        <v>View Full Record in Web of Science</v>
      </c>
    </row>
    <row r="754" spans="1:72" x14ac:dyDescent="0.15">
      <c r="A754" t="s">
        <v>72</v>
      </c>
      <c r="B754" t="s">
        <v>14516</v>
      </c>
      <c r="C754" t="s">
        <v>74</v>
      </c>
      <c r="D754" t="s">
        <v>74</v>
      </c>
      <c r="E754" t="s">
        <v>74</v>
      </c>
      <c r="F754" t="s">
        <v>14517</v>
      </c>
      <c r="G754" t="s">
        <v>74</v>
      </c>
      <c r="H754" t="s">
        <v>74</v>
      </c>
      <c r="I754" t="s">
        <v>14518</v>
      </c>
      <c r="J754" t="s">
        <v>1570</v>
      </c>
      <c r="K754" t="s">
        <v>74</v>
      </c>
      <c r="L754" t="s">
        <v>74</v>
      </c>
      <c r="M754" t="s">
        <v>78</v>
      </c>
      <c r="N754" t="s">
        <v>1291</v>
      </c>
      <c r="O754" t="s">
        <v>74</v>
      </c>
      <c r="P754" t="s">
        <v>74</v>
      </c>
      <c r="Q754" t="s">
        <v>74</v>
      </c>
      <c r="R754" t="s">
        <v>74</v>
      </c>
      <c r="S754" t="s">
        <v>74</v>
      </c>
      <c r="T754" t="s">
        <v>74</v>
      </c>
      <c r="U754" t="s">
        <v>14519</v>
      </c>
      <c r="V754" t="s">
        <v>14520</v>
      </c>
      <c r="W754" t="s">
        <v>14521</v>
      </c>
      <c r="X754" t="s">
        <v>14522</v>
      </c>
      <c r="Y754" t="s">
        <v>14523</v>
      </c>
      <c r="Z754" t="s">
        <v>14524</v>
      </c>
      <c r="AA754" t="s">
        <v>14525</v>
      </c>
      <c r="AB754" t="s">
        <v>14526</v>
      </c>
      <c r="AC754" t="s">
        <v>14527</v>
      </c>
      <c r="AD754" t="s">
        <v>14528</v>
      </c>
      <c r="AE754" t="s">
        <v>14529</v>
      </c>
      <c r="AF754" t="s">
        <v>74</v>
      </c>
      <c r="AG754">
        <v>68</v>
      </c>
      <c r="AH754">
        <v>76</v>
      </c>
      <c r="AI754">
        <v>88</v>
      </c>
      <c r="AJ754">
        <v>2</v>
      </c>
      <c r="AK754">
        <v>77</v>
      </c>
      <c r="AL754" t="s">
        <v>786</v>
      </c>
      <c r="AM754" t="s">
        <v>787</v>
      </c>
      <c r="AN754" t="s">
        <v>788</v>
      </c>
      <c r="AO754" t="s">
        <v>1582</v>
      </c>
      <c r="AP754" t="s">
        <v>74</v>
      </c>
      <c r="AQ754" t="s">
        <v>74</v>
      </c>
      <c r="AR754" t="s">
        <v>1583</v>
      </c>
      <c r="AS754" t="s">
        <v>1584</v>
      </c>
      <c r="AT754" t="s">
        <v>12379</v>
      </c>
      <c r="AU754">
        <v>2015</v>
      </c>
      <c r="AV754">
        <v>131</v>
      </c>
      <c r="AW754" t="s">
        <v>74</v>
      </c>
      <c r="AX754" t="s">
        <v>74</v>
      </c>
      <c r="AY754" t="s">
        <v>74</v>
      </c>
      <c r="AZ754" t="s">
        <v>74</v>
      </c>
      <c r="BA754" t="s">
        <v>74</v>
      </c>
      <c r="BB754">
        <v>113</v>
      </c>
      <c r="BC754">
        <v>125</v>
      </c>
      <c r="BD754" t="s">
        <v>74</v>
      </c>
      <c r="BE754" t="s">
        <v>14530</v>
      </c>
      <c r="BF754" t="str">
        <f>HYPERLINK("http://dx.doi.org/10.1016/j.pocean.2014.12.003","http://dx.doi.org/10.1016/j.pocean.2014.12.003")</f>
        <v>http://dx.doi.org/10.1016/j.pocean.2014.12.003</v>
      </c>
      <c r="BG754" t="s">
        <v>74</v>
      </c>
      <c r="BH754" t="s">
        <v>74</v>
      </c>
      <c r="BI754">
        <v>13</v>
      </c>
      <c r="BJ754" t="s">
        <v>1540</v>
      </c>
      <c r="BK754" t="s">
        <v>100</v>
      </c>
      <c r="BL754" t="s">
        <v>1540</v>
      </c>
      <c r="BM754" t="s">
        <v>13013</v>
      </c>
      <c r="BN754" t="s">
        <v>74</v>
      </c>
      <c r="BO754" t="s">
        <v>248</v>
      </c>
      <c r="BP754" t="s">
        <v>74</v>
      </c>
      <c r="BQ754" t="s">
        <v>74</v>
      </c>
      <c r="BR754" t="s">
        <v>104</v>
      </c>
      <c r="BS754" t="s">
        <v>14531</v>
      </c>
      <c r="BT754" t="str">
        <f>HYPERLINK("https%3A%2F%2Fwww.webofscience.com%2Fwos%2Fwoscc%2Ffull-record%2FWOS:000350540400008","View Full Record in Web of Science")</f>
        <v>View Full Record in Web of Science</v>
      </c>
    </row>
    <row r="755" spans="1:72" x14ac:dyDescent="0.15">
      <c r="A755" t="s">
        <v>72</v>
      </c>
      <c r="B755" t="s">
        <v>14532</v>
      </c>
      <c r="C755" t="s">
        <v>74</v>
      </c>
      <c r="D755" t="s">
        <v>74</v>
      </c>
      <c r="E755" t="s">
        <v>74</v>
      </c>
      <c r="F755" t="s">
        <v>14533</v>
      </c>
      <c r="G755" t="s">
        <v>74</v>
      </c>
      <c r="H755" t="s">
        <v>74</v>
      </c>
      <c r="I755" t="s">
        <v>14534</v>
      </c>
      <c r="J755" t="s">
        <v>2229</v>
      </c>
      <c r="K755" t="s">
        <v>74</v>
      </c>
      <c r="L755" t="s">
        <v>74</v>
      </c>
      <c r="M755" t="s">
        <v>78</v>
      </c>
      <c r="N755" t="s">
        <v>79</v>
      </c>
      <c r="O755" t="s">
        <v>74</v>
      </c>
      <c r="P755" t="s">
        <v>74</v>
      </c>
      <c r="Q755" t="s">
        <v>74</v>
      </c>
      <c r="R755" t="s">
        <v>74</v>
      </c>
      <c r="S755" t="s">
        <v>74</v>
      </c>
      <c r="T755" t="s">
        <v>14535</v>
      </c>
      <c r="U755" t="s">
        <v>14536</v>
      </c>
      <c r="V755" t="s">
        <v>14537</v>
      </c>
      <c r="W755" t="s">
        <v>14538</v>
      </c>
      <c r="X755" t="s">
        <v>14539</v>
      </c>
      <c r="Y755" t="s">
        <v>14540</v>
      </c>
      <c r="Z755" t="s">
        <v>14541</v>
      </c>
      <c r="AA755" t="s">
        <v>14542</v>
      </c>
      <c r="AB755" t="s">
        <v>14543</v>
      </c>
      <c r="AC755" t="s">
        <v>14544</v>
      </c>
      <c r="AD755" t="s">
        <v>14545</v>
      </c>
      <c r="AE755" t="s">
        <v>14546</v>
      </c>
      <c r="AF755" t="s">
        <v>74</v>
      </c>
      <c r="AG755">
        <v>72</v>
      </c>
      <c r="AH755">
        <v>36</v>
      </c>
      <c r="AI755">
        <v>36</v>
      </c>
      <c r="AJ755">
        <v>2</v>
      </c>
      <c r="AK755">
        <v>316</v>
      </c>
      <c r="AL755" t="s">
        <v>2242</v>
      </c>
      <c r="AM755" t="s">
        <v>2243</v>
      </c>
      <c r="AN755" t="s">
        <v>2244</v>
      </c>
      <c r="AO755" t="s">
        <v>2245</v>
      </c>
      <c r="AP755" t="s">
        <v>74</v>
      </c>
      <c r="AQ755" t="s">
        <v>74</v>
      </c>
      <c r="AR755" t="s">
        <v>2229</v>
      </c>
      <c r="AS755" t="s">
        <v>2246</v>
      </c>
      <c r="AT755" t="s">
        <v>12379</v>
      </c>
      <c r="AU755">
        <v>2015</v>
      </c>
      <c r="AV755">
        <v>166</v>
      </c>
      <c r="AW755">
        <v>1</v>
      </c>
      <c r="AX755" t="s">
        <v>74</v>
      </c>
      <c r="AY755" t="s">
        <v>74</v>
      </c>
      <c r="AZ755" t="s">
        <v>74</v>
      </c>
      <c r="BA755" t="s">
        <v>74</v>
      </c>
      <c r="BB755">
        <v>131</v>
      </c>
      <c r="BC755">
        <v>145</v>
      </c>
      <c r="BD755" t="s">
        <v>74</v>
      </c>
      <c r="BE755" t="s">
        <v>14547</v>
      </c>
      <c r="BF755" t="str">
        <f>HYPERLINK("http://dx.doi.org/10.1016/j.protis.2014.12.003","http://dx.doi.org/10.1016/j.protis.2014.12.003")</f>
        <v>http://dx.doi.org/10.1016/j.protis.2014.12.003</v>
      </c>
      <c r="BG755" t="s">
        <v>74</v>
      </c>
      <c r="BH755" t="s">
        <v>74</v>
      </c>
      <c r="BI755">
        <v>15</v>
      </c>
      <c r="BJ755" t="s">
        <v>483</v>
      </c>
      <c r="BK755" t="s">
        <v>100</v>
      </c>
      <c r="BL755" t="s">
        <v>483</v>
      </c>
      <c r="BM755" t="s">
        <v>12533</v>
      </c>
      <c r="BN755">
        <v>25681687</v>
      </c>
      <c r="BO755" t="s">
        <v>408</v>
      </c>
      <c r="BP755" t="s">
        <v>74</v>
      </c>
      <c r="BQ755" t="s">
        <v>74</v>
      </c>
      <c r="BR755" t="s">
        <v>104</v>
      </c>
      <c r="BS755" t="s">
        <v>14548</v>
      </c>
      <c r="BT755" t="str">
        <f>HYPERLINK("https%3A%2F%2Fwww.webofscience.com%2Fwos%2Fwoscc%2Ffull-record%2FWOS:000352015800009","View Full Record in Web of Science")</f>
        <v>View Full Record in Web of Science</v>
      </c>
    </row>
    <row r="756" spans="1:72" x14ac:dyDescent="0.15">
      <c r="A756" t="s">
        <v>72</v>
      </c>
      <c r="B756" t="s">
        <v>14549</v>
      </c>
      <c r="C756" t="s">
        <v>74</v>
      </c>
      <c r="D756" t="s">
        <v>74</v>
      </c>
      <c r="E756" t="s">
        <v>74</v>
      </c>
      <c r="F756" t="s">
        <v>14550</v>
      </c>
      <c r="G756" t="s">
        <v>74</v>
      </c>
      <c r="H756" t="s">
        <v>74</v>
      </c>
      <c r="I756" t="s">
        <v>14551</v>
      </c>
      <c r="J756" t="s">
        <v>6183</v>
      </c>
      <c r="K756" t="s">
        <v>74</v>
      </c>
      <c r="L756" t="s">
        <v>74</v>
      </c>
      <c r="M756" t="s">
        <v>78</v>
      </c>
      <c r="N756" t="s">
        <v>79</v>
      </c>
      <c r="O756" t="s">
        <v>74</v>
      </c>
      <c r="P756" t="s">
        <v>74</v>
      </c>
      <c r="Q756" t="s">
        <v>74</v>
      </c>
      <c r="R756" t="s">
        <v>74</v>
      </c>
      <c r="S756" t="s">
        <v>74</v>
      </c>
      <c r="T756" t="s">
        <v>14552</v>
      </c>
      <c r="U756" t="s">
        <v>14553</v>
      </c>
      <c r="V756" t="s">
        <v>14554</v>
      </c>
      <c r="W756" t="s">
        <v>14555</v>
      </c>
      <c r="X756" t="s">
        <v>14556</v>
      </c>
      <c r="Y756" t="s">
        <v>14557</v>
      </c>
      <c r="Z756" t="s">
        <v>14558</v>
      </c>
      <c r="AA756" t="s">
        <v>14559</v>
      </c>
      <c r="AB756" t="s">
        <v>14560</v>
      </c>
      <c r="AC756" t="s">
        <v>14561</v>
      </c>
      <c r="AD756" t="s">
        <v>14562</v>
      </c>
      <c r="AE756" t="s">
        <v>14563</v>
      </c>
      <c r="AF756" t="s">
        <v>74</v>
      </c>
      <c r="AG756">
        <v>14</v>
      </c>
      <c r="AH756">
        <v>64</v>
      </c>
      <c r="AI756">
        <v>65</v>
      </c>
      <c r="AJ756">
        <v>0</v>
      </c>
      <c r="AK756">
        <v>15</v>
      </c>
      <c r="AL756" t="s">
        <v>1158</v>
      </c>
      <c r="AM756" t="s">
        <v>787</v>
      </c>
      <c r="AN756" t="s">
        <v>1159</v>
      </c>
      <c r="AO756" t="s">
        <v>6196</v>
      </c>
      <c r="AP756" t="s">
        <v>6197</v>
      </c>
      <c r="AQ756" t="s">
        <v>74</v>
      </c>
      <c r="AR756" t="s">
        <v>6198</v>
      </c>
      <c r="AS756" t="s">
        <v>6199</v>
      </c>
      <c r="AT756" t="s">
        <v>12379</v>
      </c>
      <c r="AU756">
        <v>2015</v>
      </c>
      <c r="AV756">
        <v>26</v>
      </c>
      <c r="AW756" t="s">
        <v>74</v>
      </c>
      <c r="AX756" t="s">
        <v>74</v>
      </c>
      <c r="AY756" t="s">
        <v>74</v>
      </c>
      <c r="AZ756" t="s">
        <v>454</v>
      </c>
      <c r="BA756" t="s">
        <v>74</v>
      </c>
      <c r="BB756">
        <v>3</v>
      </c>
      <c r="BC756">
        <v>10</v>
      </c>
      <c r="BD756" t="s">
        <v>74</v>
      </c>
      <c r="BE756" t="s">
        <v>14564</v>
      </c>
      <c r="BF756" t="str">
        <f>HYPERLINK("http://dx.doi.org/10.1016/j.quageo.2013.09.003","http://dx.doi.org/10.1016/j.quageo.2013.09.003")</f>
        <v>http://dx.doi.org/10.1016/j.quageo.2013.09.003</v>
      </c>
      <c r="BG756" t="s">
        <v>74</v>
      </c>
      <c r="BH756" t="s">
        <v>74</v>
      </c>
      <c r="BI756">
        <v>8</v>
      </c>
      <c r="BJ756" t="s">
        <v>795</v>
      </c>
      <c r="BK756" t="s">
        <v>100</v>
      </c>
      <c r="BL756" t="s">
        <v>796</v>
      </c>
      <c r="BM756" t="s">
        <v>14565</v>
      </c>
      <c r="BN756" t="s">
        <v>74</v>
      </c>
      <c r="BO756" t="s">
        <v>408</v>
      </c>
      <c r="BP756" t="s">
        <v>74</v>
      </c>
      <c r="BQ756" t="s">
        <v>74</v>
      </c>
      <c r="BR756" t="s">
        <v>104</v>
      </c>
      <c r="BS756" t="s">
        <v>14566</v>
      </c>
      <c r="BT756" t="str">
        <f>HYPERLINK("https%3A%2F%2Fwww.webofscience.com%2Fwos%2Fwoscc%2Ffull-record%2FWOS:000356643600002","View Full Record in Web of Science")</f>
        <v>View Full Record in Web of Science</v>
      </c>
    </row>
    <row r="757" spans="1:72" x14ac:dyDescent="0.15">
      <c r="A757" t="s">
        <v>72</v>
      </c>
      <c r="B757" t="s">
        <v>14567</v>
      </c>
      <c r="C757" t="s">
        <v>74</v>
      </c>
      <c r="D757" t="s">
        <v>74</v>
      </c>
      <c r="E757" t="s">
        <v>74</v>
      </c>
      <c r="F757" t="s">
        <v>14568</v>
      </c>
      <c r="G757" t="s">
        <v>74</v>
      </c>
      <c r="H757" t="s">
        <v>74</v>
      </c>
      <c r="I757" t="s">
        <v>14569</v>
      </c>
      <c r="J757" t="s">
        <v>6183</v>
      </c>
      <c r="K757" t="s">
        <v>74</v>
      </c>
      <c r="L757" t="s">
        <v>74</v>
      </c>
      <c r="M757" t="s">
        <v>78</v>
      </c>
      <c r="N757" t="s">
        <v>79</v>
      </c>
      <c r="O757" t="s">
        <v>74</v>
      </c>
      <c r="P757" t="s">
        <v>74</v>
      </c>
      <c r="Q757" t="s">
        <v>74</v>
      </c>
      <c r="R757" t="s">
        <v>74</v>
      </c>
      <c r="S757" t="s">
        <v>74</v>
      </c>
      <c r="T757" t="s">
        <v>14570</v>
      </c>
      <c r="U757" t="s">
        <v>14571</v>
      </c>
      <c r="V757" t="s">
        <v>14572</v>
      </c>
      <c r="W757" t="s">
        <v>14573</v>
      </c>
      <c r="X757" t="s">
        <v>14574</v>
      </c>
      <c r="Y757" t="s">
        <v>14575</v>
      </c>
      <c r="Z757" t="s">
        <v>14576</v>
      </c>
      <c r="AA757" t="s">
        <v>14577</v>
      </c>
      <c r="AB757" t="s">
        <v>14578</v>
      </c>
      <c r="AC757" t="s">
        <v>14579</v>
      </c>
      <c r="AD757" t="s">
        <v>14580</v>
      </c>
      <c r="AE757" t="s">
        <v>14581</v>
      </c>
      <c r="AF757" t="s">
        <v>74</v>
      </c>
      <c r="AG757">
        <v>27</v>
      </c>
      <c r="AH757">
        <v>42</v>
      </c>
      <c r="AI757">
        <v>47</v>
      </c>
      <c r="AJ757">
        <v>0</v>
      </c>
      <c r="AK757">
        <v>16</v>
      </c>
      <c r="AL757" t="s">
        <v>1158</v>
      </c>
      <c r="AM757" t="s">
        <v>787</v>
      </c>
      <c r="AN757" t="s">
        <v>1159</v>
      </c>
      <c r="AO757" t="s">
        <v>6196</v>
      </c>
      <c r="AP757" t="s">
        <v>6197</v>
      </c>
      <c r="AQ757" t="s">
        <v>74</v>
      </c>
      <c r="AR757" t="s">
        <v>6198</v>
      </c>
      <c r="AS757" t="s">
        <v>6199</v>
      </c>
      <c r="AT757" t="s">
        <v>12379</v>
      </c>
      <c r="AU757">
        <v>2015</v>
      </c>
      <c r="AV757">
        <v>26</v>
      </c>
      <c r="AW757" t="s">
        <v>74</v>
      </c>
      <c r="AX757" t="s">
        <v>74</v>
      </c>
      <c r="AY757" t="s">
        <v>74</v>
      </c>
      <c r="AZ757" t="s">
        <v>454</v>
      </c>
      <c r="BA757" t="s">
        <v>74</v>
      </c>
      <c r="BB757">
        <v>20</v>
      </c>
      <c r="BC757">
        <v>28</v>
      </c>
      <c r="BD757" t="s">
        <v>74</v>
      </c>
      <c r="BE757" t="s">
        <v>14582</v>
      </c>
      <c r="BF757" t="str">
        <f>HYPERLINK("http://dx.doi.org/10.1016/j.quageo.2012.11.009","http://dx.doi.org/10.1016/j.quageo.2012.11.009")</f>
        <v>http://dx.doi.org/10.1016/j.quageo.2012.11.009</v>
      </c>
      <c r="BG757" t="s">
        <v>74</v>
      </c>
      <c r="BH757" t="s">
        <v>74</v>
      </c>
      <c r="BI757">
        <v>9</v>
      </c>
      <c r="BJ757" t="s">
        <v>795</v>
      </c>
      <c r="BK757" t="s">
        <v>100</v>
      </c>
      <c r="BL757" t="s">
        <v>796</v>
      </c>
      <c r="BM757" t="s">
        <v>14565</v>
      </c>
      <c r="BN757" t="s">
        <v>74</v>
      </c>
      <c r="BO757" t="s">
        <v>248</v>
      </c>
      <c r="BP757" t="s">
        <v>74</v>
      </c>
      <c r="BQ757" t="s">
        <v>74</v>
      </c>
      <c r="BR757" t="s">
        <v>104</v>
      </c>
      <c r="BS757" t="s">
        <v>14583</v>
      </c>
      <c r="BT757" t="str">
        <f>HYPERLINK("https%3A%2F%2Fwww.webofscience.com%2Fwos%2Fwoscc%2Ffull-record%2FWOS:000356643600004","View Full Record in Web of Science")</f>
        <v>View Full Record in Web of Science</v>
      </c>
    </row>
    <row r="758" spans="1:72" x14ac:dyDescent="0.15">
      <c r="A758" t="s">
        <v>72</v>
      </c>
      <c r="B758" t="s">
        <v>14584</v>
      </c>
      <c r="C758" t="s">
        <v>74</v>
      </c>
      <c r="D758" t="s">
        <v>74</v>
      </c>
      <c r="E758" t="s">
        <v>74</v>
      </c>
      <c r="F758" t="s">
        <v>14585</v>
      </c>
      <c r="G758" t="s">
        <v>74</v>
      </c>
      <c r="H758" t="s">
        <v>74</v>
      </c>
      <c r="I758" t="s">
        <v>14586</v>
      </c>
      <c r="J758" t="s">
        <v>539</v>
      </c>
      <c r="K758" t="s">
        <v>74</v>
      </c>
      <c r="L758" t="s">
        <v>74</v>
      </c>
      <c r="M758" t="s">
        <v>78</v>
      </c>
      <c r="N758" t="s">
        <v>79</v>
      </c>
      <c r="O758" t="s">
        <v>74</v>
      </c>
      <c r="P758" t="s">
        <v>74</v>
      </c>
      <c r="Q758" t="s">
        <v>74</v>
      </c>
      <c r="R758" t="s">
        <v>74</v>
      </c>
      <c r="S758" t="s">
        <v>74</v>
      </c>
      <c r="T758" t="s">
        <v>74</v>
      </c>
      <c r="U758" t="s">
        <v>14587</v>
      </c>
      <c r="V758" t="s">
        <v>14588</v>
      </c>
      <c r="W758" t="s">
        <v>14589</v>
      </c>
      <c r="X758" t="s">
        <v>14590</v>
      </c>
      <c r="Y758" t="s">
        <v>14591</v>
      </c>
      <c r="Z758" t="s">
        <v>14592</v>
      </c>
      <c r="AA758" t="s">
        <v>14593</v>
      </c>
      <c r="AB758" t="s">
        <v>14594</v>
      </c>
      <c r="AC758" t="s">
        <v>14595</v>
      </c>
      <c r="AD758" t="s">
        <v>14596</v>
      </c>
      <c r="AE758" t="s">
        <v>14597</v>
      </c>
      <c r="AF758" t="s">
        <v>74</v>
      </c>
      <c r="AG758">
        <v>31</v>
      </c>
      <c r="AH758">
        <v>50</v>
      </c>
      <c r="AI758">
        <v>56</v>
      </c>
      <c r="AJ758">
        <v>0</v>
      </c>
      <c r="AK758">
        <v>43</v>
      </c>
      <c r="AL758" t="s">
        <v>551</v>
      </c>
      <c r="AM758" t="s">
        <v>267</v>
      </c>
      <c r="AN758" t="s">
        <v>552</v>
      </c>
      <c r="AO758" t="s">
        <v>553</v>
      </c>
      <c r="AP758" t="s">
        <v>554</v>
      </c>
      <c r="AQ758" t="s">
        <v>74</v>
      </c>
      <c r="AR758" t="s">
        <v>539</v>
      </c>
      <c r="AS758" t="s">
        <v>555</v>
      </c>
      <c r="AT758" t="s">
        <v>14598</v>
      </c>
      <c r="AU758">
        <v>2015</v>
      </c>
      <c r="AV758">
        <v>347</v>
      </c>
      <c r="AW758">
        <v>6221</v>
      </c>
      <c r="AX758" t="s">
        <v>74</v>
      </c>
      <c r="AY758" t="s">
        <v>74</v>
      </c>
      <c r="AZ758" t="s">
        <v>74</v>
      </c>
      <c r="BA758" t="s">
        <v>74</v>
      </c>
      <c r="BB758">
        <v>540</v>
      </c>
      <c r="BC758">
        <v>543</v>
      </c>
      <c r="BD758" t="s">
        <v>74</v>
      </c>
      <c r="BE758" t="s">
        <v>14599</v>
      </c>
      <c r="BF758" t="str">
        <f>HYPERLINK("http://dx.doi.org/10.1126/science.1257103","http://dx.doi.org/10.1126/science.1257103")</f>
        <v>http://dx.doi.org/10.1126/science.1257103</v>
      </c>
      <c r="BG758" t="s">
        <v>74</v>
      </c>
      <c r="BH758" t="s">
        <v>74</v>
      </c>
      <c r="BI758">
        <v>4</v>
      </c>
      <c r="BJ758" t="s">
        <v>429</v>
      </c>
      <c r="BK758" t="s">
        <v>100</v>
      </c>
      <c r="BL758" t="s">
        <v>430</v>
      </c>
      <c r="BM758" t="s">
        <v>14600</v>
      </c>
      <c r="BN758">
        <v>25635098</v>
      </c>
      <c r="BO758" t="s">
        <v>74</v>
      </c>
      <c r="BP758" t="s">
        <v>74</v>
      </c>
      <c r="BQ758" t="s">
        <v>74</v>
      </c>
      <c r="BR758" t="s">
        <v>104</v>
      </c>
      <c r="BS758" t="s">
        <v>14601</v>
      </c>
      <c r="BT758" t="str">
        <f>HYPERLINK("https%3A%2F%2Fwww.webofscience.com%2Fwos%2Fwoscc%2Ffull-record%2FWOS:000348639300051","View Full Record in Web of Science")</f>
        <v>View Full Record in Web of Science</v>
      </c>
    </row>
    <row r="759" spans="1:72" x14ac:dyDescent="0.15">
      <c r="A759" t="s">
        <v>72</v>
      </c>
      <c r="B759" t="s">
        <v>14602</v>
      </c>
      <c r="C759" t="s">
        <v>74</v>
      </c>
      <c r="D759" t="s">
        <v>74</v>
      </c>
      <c r="E759" t="s">
        <v>74</v>
      </c>
      <c r="F759" t="s">
        <v>14603</v>
      </c>
      <c r="G759" t="s">
        <v>74</v>
      </c>
      <c r="H759" t="s">
        <v>74</v>
      </c>
      <c r="I759" t="s">
        <v>14604</v>
      </c>
      <c r="J759" t="s">
        <v>253</v>
      </c>
      <c r="K759" t="s">
        <v>74</v>
      </c>
      <c r="L759" t="s">
        <v>74</v>
      </c>
      <c r="M759" t="s">
        <v>78</v>
      </c>
      <c r="N759" t="s">
        <v>79</v>
      </c>
      <c r="O759" t="s">
        <v>74</v>
      </c>
      <c r="P759" t="s">
        <v>74</v>
      </c>
      <c r="Q759" t="s">
        <v>74</v>
      </c>
      <c r="R759" t="s">
        <v>74</v>
      </c>
      <c r="S759" t="s">
        <v>74</v>
      </c>
      <c r="T759" t="s">
        <v>14605</v>
      </c>
      <c r="U759" t="s">
        <v>14606</v>
      </c>
      <c r="V759" t="s">
        <v>14607</v>
      </c>
      <c r="W759" t="s">
        <v>14608</v>
      </c>
      <c r="X759" t="s">
        <v>14609</v>
      </c>
      <c r="Y759" t="s">
        <v>14610</v>
      </c>
      <c r="Z759" t="s">
        <v>14611</v>
      </c>
      <c r="AA759" t="s">
        <v>74</v>
      </c>
      <c r="AB759" t="s">
        <v>14612</v>
      </c>
      <c r="AC759" t="s">
        <v>14613</v>
      </c>
      <c r="AD759" t="s">
        <v>14614</v>
      </c>
      <c r="AE759" t="s">
        <v>14615</v>
      </c>
      <c r="AF759" t="s">
        <v>74</v>
      </c>
      <c r="AG759">
        <v>44</v>
      </c>
      <c r="AH759">
        <v>152</v>
      </c>
      <c r="AI759">
        <v>166</v>
      </c>
      <c r="AJ759">
        <v>3</v>
      </c>
      <c r="AK759">
        <v>47</v>
      </c>
      <c r="AL759" t="s">
        <v>266</v>
      </c>
      <c r="AM759" t="s">
        <v>267</v>
      </c>
      <c r="AN759" t="s">
        <v>268</v>
      </c>
      <c r="AO759" t="s">
        <v>269</v>
      </c>
      <c r="AP759" t="s">
        <v>270</v>
      </c>
      <c r="AQ759" t="s">
        <v>74</v>
      </c>
      <c r="AR759" t="s">
        <v>271</v>
      </c>
      <c r="AS759" t="s">
        <v>272</v>
      </c>
      <c r="AT759" t="s">
        <v>14616</v>
      </c>
      <c r="AU759">
        <v>2015</v>
      </c>
      <c r="AV759">
        <v>42</v>
      </c>
      <c r="AW759">
        <v>2</v>
      </c>
      <c r="AX759" t="s">
        <v>74</v>
      </c>
      <c r="AY759" t="s">
        <v>74</v>
      </c>
      <c r="AZ759" t="s">
        <v>74</v>
      </c>
      <c r="BA759" t="s">
        <v>74</v>
      </c>
      <c r="BB759">
        <v>432</v>
      </c>
      <c r="BC759">
        <v>440</v>
      </c>
      <c r="BD759" t="s">
        <v>74</v>
      </c>
      <c r="BE759" t="s">
        <v>14617</v>
      </c>
      <c r="BF759" t="str">
        <f>HYPERLINK("http://dx.doi.org/10.1002/2014GL062281","http://dx.doi.org/10.1002/2014GL062281")</f>
        <v>http://dx.doi.org/10.1002/2014GL062281</v>
      </c>
      <c r="BG759" t="s">
        <v>74</v>
      </c>
      <c r="BH759" t="s">
        <v>74</v>
      </c>
      <c r="BI759">
        <v>9</v>
      </c>
      <c r="BJ759" t="s">
        <v>219</v>
      </c>
      <c r="BK759" t="s">
        <v>100</v>
      </c>
      <c r="BL759" t="s">
        <v>220</v>
      </c>
      <c r="BM759" t="s">
        <v>14618</v>
      </c>
      <c r="BN759" t="s">
        <v>74</v>
      </c>
      <c r="BO759" t="s">
        <v>9138</v>
      </c>
      <c r="BP759" t="s">
        <v>74</v>
      </c>
      <c r="BQ759" t="s">
        <v>74</v>
      </c>
      <c r="BR759" t="s">
        <v>104</v>
      </c>
      <c r="BS759" t="s">
        <v>14619</v>
      </c>
      <c r="BT759" t="str">
        <f>HYPERLINK("https%3A%2F%2Fwww.webofscience.com%2Fwos%2Fwoscc%2Ffull-record%2FWOS:000349956000032","View Full Record in Web of Science")</f>
        <v>View Full Record in Web of Science</v>
      </c>
    </row>
    <row r="760" spans="1:72" x14ac:dyDescent="0.15">
      <c r="A760" t="s">
        <v>72</v>
      </c>
      <c r="B760" t="s">
        <v>14620</v>
      </c>
      <c r="C760" t="s">
        <v>74</v>
      </c>
      <c r="D760" t="s">
        <v>74</v>
      </c>
      <c r="E760" t="s">
        <v>74</v>
      </c>
      <c r="F760" t="s">
        <v>14621</v>
      </c>
      <c r="G760" t="s">
        <v>74</v>
      </c>
      <c r="H760" t="s">
        <v>74</v>
      </c>
      <c r="I760" t="s">
        <v>14622</v>
      </c>
      <c r="J760" t="s">
        <v>463</v>
      </c>
      <c r="K760" t="s">
        <v>74</v>
      </c>
      <c r="L760" t="s">
        <v>74</v>
      </c>
      <c r="M760" t="s">
        <v>78</v>
      </c>
      <c r="N760" t="s">
        <v>79</v>
      </c>
      <c r="O760" t="s">
        <v>74</v>
      </c>
      <c r="P760" t="s">
        <v>74</v>
      </c>
      <c r="Q760" t="s">
        <v>74</v>
      </c>
      <c r="R760" t="s">
        <v>74</v>
      </c>
      <c r="S760" t="s">
        <v>74</v>
      </c>
      <c r="T760" t="s">
        <v>14623</v>
      </c>
      <c r="U760" t="s">
        <v>14624</v>
      </c>
      <c r="V760" t="s">
        <v>14625</v>
      </c>
      <c r="W760" t="s">
        <v>14626</v>
      </c>
      <c r="X760" t="s">
        <v>14627</v>
      </c>
      <c r="Y760" t="s">
        <v>14628</v>
      </c>
      <c r="Z760" t="s">
        <v>14629</v>
      </c>
      <c r="AA760" t="s">
        <v>74</v>
      </c>
      <c r="AB760" t="s">
        <v>14630</v>
      </c>
      <c r="AC760" t="s">
        <v>14631</v>
      </c>
      <c r="AD760" t="s">
        <v>14632</v>
      </c>
      <c r="AE760" t="s">
        <v>14633</v>
      </c>
      <c r="AF760" t="s">
        <v>74</v>
      </c>
      <c r="AG760">
        <v>78</v>
      </c>
      <c r="AH760">
        <v>48</v>
      </c>
      <c r="AI760">
        <v>59</v>
      </c>
      <c r="AJ760">
        <v>2</v>
      </c>
      <c r="AK760">
        <v>56</v>
      </c>
      <c r="AL760" t="s">
        <v>476</v>
      </c>
      <c r="AM760" t="s">
        <v>477</v>
      </c>
      <c r="AN760" t="s">
        <v>478</v>
      </c>
      <c r="AO760" t="s">
        <v>479</v>
      </c>
      <c r="AP760" t="s">
        <v>74</v>
      </c>
      <c r="AQ760" t="s">
        <v>74</v>
      </c>
      <c r="AR760" t="s">
        <v>480</v>
      </c>
      <c r="AS760" t="s">
        <v>481</v>
      </c>
      <c r="AT760" t="s">
        <v>14616</v>
      </c>
      <c r="AU760">
        <v>2015</v>
      </c>
      <c r="AV760">
        <v>6</v>
      </c>
      <c r="AW760" t="s">
        <v>74</v>
      </c>
      <c r="AX760" t="s">
        <v>74</v>
      </c>
      <c r="AY760" t="s">
        <v>74</v>
      </c>
      <c r="AZ760" t="s">
        <v>74</v>
      </c>
      <c r="BA760" t="s">
        <v>74</v>
      </c>
      <c r="BB760" t="s">
        <v>74</v>
      </c>
      <c r="BC760" t="s">
        <v>74</v>
      </c>
      <c r="BD760">
        <v>9</v>
      </c>
      <c r="BE760" t="s">
        <v>14634</v>
      </c>
      <c r="BF760" t="str">
        <f>HYPERLINK("http://dx.doi.org/10.3389/fmicb.2015.00009","http://dx.doi.org/10.3389/fmicb.2015.00009")</f>
        <v>http://dx.doi.org/10.3389/fmicb.2015.00009</v>
      </c>
      <c r="BG760" t="s">
        <v>74</v>
      </c>
      <c r="BH760" t="s">
        <v>74</v>
      </c>
      <c r="BI760">
        <v>12</v>
      </c>
      <c r="BJ760" t="s">
        <v>483</v>
      </c>
      <c r="BK760" t="s">
        <v>100</v>
      </c>
      <c r="BL760" t="s">
        <v>483</v>
      </c>
      <c r="BM760" t="s">
        <v>14635</v>
      </c>
      <c r="BN760">
        <v>25674080</v>
      </c>
      <c r="BO760" t="s">
        <v>485</v>
      </c>
      <c r="BP760" t="s">
        <v>74</v>
      </c>
      <c r="BQ760" t="s">
        <v>74</v>
      </c>
      <c r="BR760" t="s">
        <v>104</v>
      </c>
      <c r="BS760" t="s">
        <v>14636</v>
      </c>
      <c r="BT760" t="str">
        <f>HYPERLINK("https%3A%2F%2Fwww.webofscience.com%2Fwos%2Fwoscc%2Ffull-record%2FWOS:000349100500001","View Full Record in Web of Science")</f>
        <v>View Full Record in Web of Science</v>
      </c>
    </row>
    <row r="761" spans="1:72" x14ac:dyDescent="0.15">
      <c r="A761" t="s">
        <v>72</v>
      </c>
      <c r="B761" t="s">
        <v>14637</v>
      </c>
      <c r="C761" t="s">
        <v>74</v>
      </c>
      <c r="D761" t="s">
        <v>74</v>
      </c>
      <c r="E761" t="s">
        <v>74</v>
      </c>
      <c r="F761" t="s">
        <v>14638</v>
      </c>
      <c r="G761" t="s">
        <v>74</v>
      </c>
      <c r="H761" t="s">
        <v>74</v>
      </c>
      <c r="I761" t="s">
        <v>14639</v>
      </c>
      <c r="J761" t="s">
        <v>253</v>
      </c>
      <c r="K761" t="s">
        <v>74</v>
      </c>
      <c r="L761" t="s">
        <v>74</v>
      </c>
      <c r="M761" t="s">
        <v>78</v>
      </c>
      <c r="N761" t="s">
        <v>79</v>
      </c>
      <c r="O761" t="s">
        <v>74</v>
      </c>
      <c r="P761" t="s">
        <v>74</v>
      </c>
      <c r="Q761" t="s">
        <v>74</v>
      </c>
      <c r="R761" t="s">
        <v>74</v>
      </c>
      <c r="S761" t="s">
        <v>74</v>
      </c>
      <c r="T761" t="s">
        <v>14640</v>
      </c>
      <c r="U761" t="s">
        <v>14641</v>
      </c>
      <c r="V761" t="s">
        <v>14642</v>
      </c>
      <c r="W761" t="s">
        <v>14643</v>
      </c>
      <c r="X761" t="s">
        <v>14644</v>
      </c>
      <c r="Y761" t="s">
        <v>14645</v>
      </c>
      <c r="Z761" t="s">
        <v>14646</v>
      </c>
      <c r="AA761" t="s">
        <v>14647</v>
      </c>
      <c r="AB761" t="s">
        <v>14648</v>
      </c>
      <c r="AC761" t="s">
        <v>14649</v>
      </c>
      <c r="AD761" t="s">
        <v>14650</v>
      </c>
      <c r="AE761" t="s">
        <v>14651</v>
      </c>
      <c r="AF761" t="s">
        <v>74</v>
      </c>
      <c r="AG761">
        <v>29</v>
      </c>
      <c r="AH761">
        <v>24</v>
      </c>
      <c r="AI761">
        <v>26</v>
      </c>
      <c r="AJ761">
        <v>0</v>
      </c>
      <c r="AK761">
        <v>28</v>
      </c>
      <c r="AL761" t="s">
        <v>266</v>
      </c>
      <c r="AM761" t="s">
        <v>267</v>
      </c>
      <c r="AN761" t="s">
        <v>268</v>
      </c>
      <c r="AO761" t="s">
        <v>269</v>
      </c>
      <c r="AP761" t="s">
        <v>270</v>
      </c>
      <c r="AQ761" t="s">
        <v>74</v>
      </c>
      <c r="AR761" t="s">
        <v>271</v>
      </c>
      <c r="AS761" t="s">
        <v>272</v>
      </c>
      <c r="AT761" t="s">
        <v>14616</v>
      </c>
      <c r="AU761">
        <v>2015</v>
      </c>
      <c r="AV761">
        <v>42</v>
      </c>
      <c r="AW761">
        <v>2</v>
      </c>
      <c r="AX761" t="s">
        <v>74</v>
      </c>
      <c r="AY761" t="s">
        <v>74</v>
      </c>
      <c r="AZ761" t="s">
        <v>74</v>
      </c>
      <c r="BA761" t="s">
        <v>74</v>
      </c>
      <c r="BB761">
        <v>459</v>
      </c>
      <c r="BC761">
        <v>465</v>
      </c>
      <c r="BD761" t="s">
        <v>74</v>
      </c>
      <c r="BE761" t="s">
        <v>14652</v>
      </c>
      <c r="BF761" t="str">
        <f>HYPERLINK("http://dx.doi.org/10.1002/2014GL062850","http://dx.doi.org/10.1002/2014GL062850")</f>
        <v>http://dx.doi.org/10.1002/2014GL062850</v>
      </c>
      <c r="BG761" t="s">
        <v>74</v>
      </c>
      <c r="BH761" t="s">
        <v>74</v>
      </c>
      <c r="BI761">
        <v>7</v>
      </c>
      <c r="BJ761" t="s">
        <v>219</v>
      </c>
      <c r="BK761" t="s">
        <v>100</v>
      </c>
      <c r="BL761" t="s">
        <v>220</v>
      </c>
      <c r="BM761" t="s">
        <v>14618</v>
      </c>
      <c r="BN761" t="s">
        <v>74</v>
      </c>
      <c r="BO761" t="s">
        <v>408</v>
      </c>
      <c r="BP761" t="s">
        <v>74</v>
      </c>
      <c r="BQ761" t="s">
        <v>74</v>
      </c>
      <c r="BR761" t="s">
        <v>104</v>
      </c>
      <c r="BS761" t="s">
        <v>14653</v>
      </c>
      <c r="BT761" t="str">
        <f>HYPERLINK("https%3A%2F%2Fwww.webofscience.com%2Fwos%2Fwoscc%2Ffull-record%2FWOS:000349956000035","View Full Record in Web of Science")</f>
        <v>View Full Record in Web of Science</v>
      </c>
    </row>
    <row r="762" spans="1:72" x14ac:dyDescent="0.15">
      <c r="A762" t="s">
        <v>72</v>
      </c>
      <c r="B762" t="s">
        <v>14654</v>
      </c>
      <c r="C762" t="s">
        <v>74</v>
      </c>
      <c r="D762" t="s">
        <v>74</v>
      </c>
      <c r="E762" t="s">
        <v>74</v>
      </c>
      <c r="F762" t="s">
        <v>14655</v>
      </c>
      <c r="G762" t="s">
        <v>74</v>
      </c>
      <c r="H762" t="s">
        <v>74</v>
      </c>
      <c r="I762" t="s">
        <v>14656</v>
      </c>
      <c r="J762" t="s">
        <v>253</v>
      </c>
      <c r="K762" t="s">
        <v>74</v>
      </c>
      <c r="L762" t="s">
        <v>74</v>
      </c>
      <c r="M762" t="s">
        <v>78</v>
      </c>
      <c r="N762" t="s">
        <v>79</v>
      </c>
      <c r="O762" t="s">
        <v>74</v>
      </c>
      <c r="P762" t="s">
        <v>74</v>
      </c>
      <c r="Q762" t="s">
        <v>74</v>
      </c>
      <c r="R762" t="s">
        <v>74</v>
      </c>
      <c r="S762" t="s">
        <v>74</v>
      </c>
      <c r="T762" t="s">
        <v>14657</v>
      </c>
      <c r="U762" t="s">
        <v>14658</v>
      </c>
      <c r="V762" t="s">
        <v>14659</v>
      </c>
      <c r="W762" t="s">
        <v>14660</v>
      </c>
      <c r="X762" t="s">
        <v>14661</v>
      </c>
      <c r="Y762" t="s">
        <v>14662</v>
      </c>
      <c r="Z762" t="s">
        <v>14663</v>
      </c>
      <c r="AA762" t="s">
        <v>14664</v>
      </c>
      <c r="AB762" t="s">
        <v>14665</v>
      </c>
      <c r="AC762" t="s">
        <v>14666</v>
      </c>
      <c r="AD762" t="s">
        <v>14667</v>
      </c>
      <c r="AE762" t="s">
        <v>14668</v>
      </c>
      <c r="AF762" t="s">
        <v>74</v>
      </c>
      <c r="AG762">
        <v>26</v>
      </c>
      <c r="AH762">
        <v>407</v>
      </c>
      <c r="AI762">
        <v>463</v>
      </c>
      <c r="AJ762">
        <v>18</v>
      </c>
      <c r="AK762">
        <v>151</v>
      </c>
      <c r="AL762" t="s">
        <v>266</v>
      </c>
      <c r="AM762" t="s">
        <v>267</v>
      </c>
      <c r="AN762" t="s">
        <v>268</v>
      </c>
      <c r="AO762" t="s">
        <v>269</v>
      </c>
      <c r="AP762" t="s">
        <v>270</v>
      </c>
      <c r="AQ762" t="s">
        <v>74</v>
      </c>
      <c r="AR762" t="s">
        <v>271</v>
      </c>
      <c r="AS762" t="s">
        <v>272</v>
      </c>
      <c r="AT762" t="s">
        <v>14616</v>
      </c>
      <c r="AU762">
        <v>2015</v>
      </c>
      <c r="AV762">
        <v>42</v>
      </c>
      <c r="AW762">
        <v>2</v>
      </c>
      <c r="AX762" t="s">
        <v>74</v>
      </c>
      <c r="AY762" t="s">
        <v>74</v>
      </c>
      <c r="AZ762" t="s">
        <v>74</v>
      </c>
      <c r="BA762" t="s">
        <v>74</v>
      </c>
      <c r="BB762">
        <v>542</v>
      </c>
      <c r="BC762">
        <v>549</v>
      </c>
      <c r="BD762" t="s">
        <v>74</v>
      </c>
      <c r="BE762" t="s">
        <v>14669</v>
      </c>
      <c r="BF762" t="str">
        <f>HYPERLINK("http://dx.doi.org/10.1002/2014GL061957","http://dx.doi.org/10.1002/2014GL061957")</f>
        <v>http://dx.doi.org/10.1002/2014GL061957</v>
      </c>
      <c r="BG762" t="s">
        <v>74</v>
      </c>
      <c r="BH762" t="s">
        <v>74</v>
      </c>
      <c r="BI762">
        <v>8</v>
      </c>
      <c r="BJ762" t="s">
        <v>219</v>
      </c>
      <c r="BK762" t="s">
        <v>100</v>
      </c>
      <c r="BL762" t="s">
        <v>220</v>
      </c>
      <c r="BM762" t="s">
        <v>14618</v>
      </c>
      <c r="BN762" t="s">
        <v>74</v>
      </c>
      <c r="BO762" t="s">
        <v>1832</v>
      </c>
      <c r="BP762" t="s">
        <v>4339</v>
      </c>
      <c r="BQ762" t="s">
        <v>4340</v>
      </c>
      <c r="BR762" t="s">
        <v>104</v>
      </c>
      <c r="BS762" t="s">
        <v>14670</v>
      </c>
      <c r="BT762" t="str">
        <f>HYPERLINK("https%3A%2F%2Fwww.webofscience.com%2Fwos%2Fwoscc%2Ffull-record%2FWOS:000349956000044","View Full Record in Web of Science")</f>
        <v>View Full Record in Web of Science</v>
      </c>
    </row>
    <row r="763" spans="1:72" x14ac:dyDescent="0.15">
      <c r="A763" t="s">
        <v>72</v>
      </c>
      <c r="B763" t="s">
        <v>14671</v>
      </c>
      <c r="C763" t="s">
        <v>74</v>
      </c>
      <c r="D763" t="s">
        <v>74</v>
      </c>
      <c r="E763" t="s">
        <v>74</v>
      </c>
      <c r="F763" t="s">
        <v>14672</v>
      </c>
      <c r="G763" t="s">
        <v>74</v>
      </c>
      <c r="H763" t="s">
        <v>74</v>
      </c>
      <c r="I763" t="s">
        <v>14673</v>
      </c>
      <c r="J763" t="s">
        <v>515</v>
      </c>
      <c r="K763" t="s">
        <v>74</v>
      </c>
      <c r="L763" t="s">
        <v>74</v>
      </c>
      <c r="M763" t="s">
        <v>78</v>
      </c>
      <c r="N763" t="s">
        <v>79</v>
      </c>
      <c r="O763" t="s">
        <v>74</v>
      </c>
      <c r="P763" t="s">
        <v>74</v>
      </c>
      <c r="Q763" t="s">
        <v>74</v>
      </c>
      <c r="R763" t="s">
        <v>74</v>
      </c>
      <c r="S763" t="s">
        <v>74</v>
      </c>
      <c r="T763" t="s">
        <v>14674</v>
      </c>
      <c r="U763" t="s">
        <v>14675</v>
      </c>
      <c r="V763" t="s">
        <v>14676</v>
      </c>
      <c r="W763" t="s">
        <v>14677</v>
      </c>
      <c r="X763" t="s">
        <v>14678</v>
      </c>
      <c r="Y763" t="s">
        <v>14679</v>
      </c>
      <c r="Z763" t="s">
        <v>14680</v>
      </c>
      <c r="AA763" t="s">
        <v>14681</v>
      </c>
      <c r="AB763" t="s">
        <v>14682</v>
      </c>
      <c r="AC763" t="s">
        <v>14683</v>
      </c>
      <c r="AD763" t="s">
        <v>14683</v>
      </c>
      <c r="AE763" t="s">
        <v>14684</v>
      </c>
      <c r="AF763" t="s">
        <v>74</v>
      </c>
      <c r="AG763">
        <v>46</v>
      </c>
      <c r="AH763">
        <v>14</v>
      </c>
      <c r="AI763">
        <v>14</v>
      </c>
      <c r="AJ763">
        <v>1</v>
      </c>
      <c r="AK763">
        <v>25</v>
      </c>
      <c r="AL763" t="s">
        <v>527</v>
      </c>
      <c r="AM763" t="s">
        <v>528</v>
      </c>
      <c r="AN763" t="s">
        <v>529</v>
      </c>
      <c r="AO763" t="s">
        <v>530</v>
      </c>
      <c r="AP763" t="s">
        <v>74</v>
      </c>
      <c r="AQ763" t="s">
        <v>74</v>
      </c>
      <c r="AR763" t="s">
        <v>531</v>
      </c>
      <c r="AS763" t="s">
        <v>532</v>
      </c>
      <c r="AT763" t="s">
        <v>14685</v>
      </c>
      <c r="AU763">
        <v>2015</v>
      </c>
      <c r="AV763">
        <v>108</v>
      </c>
      <c r="AW763">
        <v>2</v>
      </c>
      <c r="AX763" t="s">
        <v>74</v>
      </c>
      <c r="AY763" t="s">
        <v>74</v>
      </c>
      <c r="AZ763" t="s">
        <v>74</v>
      </c>
      <c r="BA763" t="s">
        <v>74</v>
      </c>
      <c r="BB763">
        <v>239</v>
      </c>
      <c r="BC763">
        <v>245</v>
      </c>
      <c r="BD763" t="s">
        <v>74</v>
      </c>
      <c r="BE763" t="s">
        <v>74</v>
      </c>
      <c r="BF763" t="s">
        <v>74</v>
      </c>
      <c r="BG763" t="s">
        <v>74</v>
      </c>
      <c r="BH763" t="s">
        <v>74</v>
      </c>
      <c r="BI763">
        <v>7</v>
      </c>
      <c r="BJ763" t="s">
        <v>429</v>
      </c>
      <c r="BK763" t="s">
        <v>100</v>
      </c>
      <c r="BL763" t="s">
        <v>430</v>
      </c>
      <c r="BM763" t="s">
        <v>14686</v>
      </c>
      <c r="BN763" t="s">
        <v>74</v>
      </c>
      <c r="BO763" t="s">
        <v>74</v>
      </c>
      <c r="BP763" t="s">
        <v>74</v>
      </c>
      <c r="BQ763" t="s">
        <v>74</v>
      </c>
      <c r="BR763" t="s">
        <v>104</v>
      </c>
      <c r="BS763" t="s">
        <v>14687</v>
      </c>
      <c r="BT763" t="str">
        <f>HYPERLINK("https%3A%2F%2Fwww.webofscience.com%2Fwos%2Fwoscc%2Ffull-record%2FWOS:000349424100019","View Full Record in Web of Science")</f>
        <v>View Full Record in Web of Science</v>
      </c>
    </row>
    <row r="764" spans="1:72" x14ac:dyDescent="0.15">
      <c r="A764" t="s">
        <v>72</v>
      </c>
      <c r="B764" t="s">
        <v>14688</v>
      </c>
      <c r="C764" t="s">
        <v>74</v>
      </c>
      <c r="D764" t="s">
        <v>74</v>
      </c>
      <c r="E764" t="s">
        <v>74</v>
      </c>
      <c r="F764" t="s">
        <v>14689</v>
      </c>
      <c r="G764" t="s">
        <v>74</v>
      </c>
      <c r="H764" t="s">
        <v>74</v>
      </c>
      <c r="I764" t="s">
        <v>14690</v>
      </c>
      <c r="J764" t="s">
        <v>4495</v>
      </c>
      <c r="K764" t="s">
        <v>74</v>
      </c>
      <c r="L764" t="s">
        <v>74</v>
      </c>
      <c r="M764" t="s">
        <v>78</v>
      </c>
      <c r="N764" t="s">
        <v>79</v>
      </c>
      <c r="O764" t="s">
        <v>74</v>
      </c>
      <c r="P764" t="s">
        <v>74</v>
      </c>
      <c r="Q764" t="s">
        <v>74</v>
      </c>
      <c r="R764" t="s">
        <v>74</v>
      </c>
      <c r="S764" t="s">
        <v>74</v>
      </c>
      <c r="T764" t="s">
        <v>74</v>
      </c>
      <c r="U764" t="s">
        <v>14691</v>
      </c>
      <c r="V764" t="s">
        <v>14692</v>
      </c>
      <c r="W764" t="s">
        <v>14693</v>
      </c>
      <c r="X764" t="s">
        <v>14694</v>
      </c>
      <c r="Y764" t="s">
        <v>14695</v>
      </c>
      <c r="Z764" t="s">
        <v>14696</v>
      </c>
      <c r="AA764" t="s">
        <v>14697</v>
      </c>
      <c r="AB764" t="s">
        <v>14698</v>
      </c>
      <c r="AC764" t="s">
        <v>14699</v>
      </c>
      <c r="AD764" t="s">
        <v>14700</v>
      </c>
      <c r="AE764" t="s">
        <v>74</v>
      </c>
      <c r="AF764" t="s">
        <v>74</v>
      </c>
      <c r="AG764">
        <v>411</v>
      </c>
      <c r="AH764">
        <v>75</v>
      </c>
      <c r="AI764">
        <v>78</v>
      </c>
      <c r="AJ764">
        <v>0</v>
      </c>
      <c r="AK764">
        <v>28</v>
      </c>
      <c r="AL764" t="s">
        <v>4506</v>
      </c>
      <c r="AM764" t="s">
        <v>4507</v>
      </c>
      <c r="AN764" t="s">
        <v>4508</v>
      </c>
      <c r="AO764" t="s">
        <v>4509</v>
      </c>
      <c r="AP764" t="s">
        <v>74</v>
      </c>
      <c r="AQ764" t="s">
        <v>74</v>
      </c>
      <c r="AR764" t="s">
        <v>4510</v>
      </c>
      <c r="AS764" t="s">
        <v>4511</v>
      </c>
      <c r="AT764" t="s">
        <v>14701</v>
      </c>
      <c r="AU764">
        <v>2015</v>
      </c>
      <c r="AV764">
        <v>3</v>
      </c>
      <c r="AW764" t="s">
        <v>74</v>
      </c>
      <c r="AX764" t="s">
        <v>74</v>
      </c>
      <c r="AY764" t="s">
        <v>74</v>
      </c>
      <c r="AZ764" t="s">
        <v>74</v>
      </c>
      <c r="BA764" t="s">
        <v>74</v>
      </c>
      <c r="BB764" t="s">
        <v>74</v>
      </c>
      <c r="BC764" t="s">
        <v>74</v>
      </c>
      <c r="BD764">
        <v>38</v>
      </c>
      <c r="BE764" t="s">
        <v>14702</v>
      </c>
      <c r="BF764" t="str">
        <f>HYPERLINK("http://dx.doi.org/10.12952/journal.elementa.000038","http://dx.doi.org/10.12952/journal.elementa.000038")</f>
        <v>http://dx.doi.org/10.12952/journal.elementa.000038</v>
      </c>
      <c r="BG764" t="s">
        <v>74</v>
      </c>
      <c r="BH764" t="s">
        <v>74</v>
      </c>
      <c r="BI764">
        <v>53</v>
      </c>
      <c r="BJ764" t="s">
        <v>1741</v>
      </c>
      <c r="BK764" t="s">
        <v>100</v>
      </c>
      <c r="BL764" t="s">
        <v>1742</v>
      </c>
      <c r="BM764" t="s">
        <v>14703</v>
      </c>
      <c r="BN764" t="s">
        <v>74</v>
      </c>
      <c r="BO764" t="s">
        <v>14704</v>
      </c>
      <c r="BP764" t="s">
        <v>74</v>
      </c>
      <c r="BQ764" t="s">
        <v>74</v>
      </c>
      <c r="BR764" t="s">
        <v>104</v>
      </c>
      <c r="BS764" t="s">
        <v>14705</v>
      </c>
      <c r="BT764" t="str">
        <f>HYPERLINK("https%3A%2F%2Fwww.webofscience.com%2Fwos%2Fwoscc%2Ffull-record%2FWOS:000362107800001","View Full Record in Web of Science")</f>
        <v>View Full Record in Web of Science</v>
      </c>
    </row>
    <row r="765" spans="1:72" x14ac:dyDescent="0.15">
      <c r="A765" t="s">
        <v>72</v>
      </c>
      <c r="B765" t="s">
        <v>14706</v>
      </c>
      <c r="C765" t="s">
        <v>74</v>
      </c>
      <c r="D765" t="s">
        <v>74</v>
      </c>
      <c r="E765" t="s">
        <v>74</v>
      </c>
      <c r="F765" t="s">
        <v>14707</v>
      </c>
      <c r="G765" t="s">
        <v>74</v>
      </c>
      <c r="H765" t="s">
        <v>74</v>
      </c>
      <c r="I765" t="s">
        <v>14708</v>
      </c>
      <c r="J765" t="s">
        <v>14709</v>
      </c>
      <c r="K765" t="s">
        <v>74</v>
      </c>
      <c r="L765" t="s">
        <v>74</v>
      </c>
      <c r="M765" t="s">
        <v>78</v>
      </c>
      <c r="N765" t="s">
        <v>79</v>
      </c>
      <c r="O765" t="s">
        <v>74</v>
      </c>
      <c r="P765" t="s">
        <v>74</v>
      </c>
      <c r="Q765" t="s">
        <v>74</v>
      </c>
      <c r="R765" t="s">
        <v>74</v>
      </c>
      <c r="S765" t="s">
        <v>74</v>
      </c>
      <c r="T765" t="s">
        <v>14710</v>
      </c>
      <c r="U765" t="s">
        <v>14711</v>
      </c>
      <c r="V765" t="s">
        <v>14712</v>
      </c>
      <c r="W765" t="s">
        <v>14713</v>
      </c>
      <c r="X765" t="s">
        <v>14714</v>
      </c>
      <c r="Y765" t="s">
        <v>14715</v>
      </c>
      <c r="Z765" t="s">
        <v>14716</v>
      </c>
      <c r="AA765" t="s">
        <v>14717</v>
      </c>
      <c r="AB765" t="s">
        <v>14718</v>
      </c>
      <c r="AC765" t="s">
        <v>14719</v>
      </c>
      <c r="AD765" t="s">
        <v>14720</v>
      </c>
      <c r="AE765" t="s">
        <v>14721</v>
      </c>
      <c r="AF765" t="s">
        <v>74</v>
      </c>
      <c r="AG765">
        <v>36</v>
      </c>
      <c r="AH765">
        <v>2</v>
      </c>
      <c r="AI765">
        <v>3</v>
      </c>
      <c r="AJ765">
        <v>1</v>
      </c>
      <c r="AK765">
        <v>20</v>
      </c>
      <c r="AL765" t="s">
        <v>7073</v>
      </c>
      <c r="AM765" t="s">
        <v>378</v>
      </c>
      <c r="AN765" t="s">
        <v>7074</v>
      </c>
      <c r="AO765" t="s">
        <v>14722</v>
      </c>
      <c r="AP765" t="s">
        <v>14723</v>
      </c>
      <c r="AQ765" t="s">
        <v>74</v>
      </c>
      <c r="AR765" t="s">
        <v>14724</v>
      </c>
      <c r="AS765" t="s">
        <v>14725</v>
      </c>
      <c r="AT765" t="s">
        <v>14726</v>
      </c>
      <c r="AU765">
        <v>2015</v>
      </c>
      <c r="AV765">
        <v>365</v>
      </c>
      <c r="AW765" t="s">
        <v>74</v>
      </c>
      <c r="AX765" t="s">
        <v>74</v>
      </c>
      <c r="AY765" t="s">
        <v>74</v>
      </c>
      <c r="AZ765" t="s">
        <v>74</v>
      </c>
      <c r="BA765" t="s">
        <v>74</v>
      </c>
      <c r="BB765">
        <v>67</v>
      </c>
      <c r="BC765">
        <v>75</v>
      </c>
      <c r="BD765" t="s">
        <v>74</v>
      </c>
      <c r="BE765" t="s">
        <v>14727</v>
      </c>
      <c r="BF765" t="str">
        <f>HYPERLINK("http://dx.doi.org/10.1016/j.jtbi.2014.10.004","http://dx.doi.org/10.1016/j.jtbi.2014.10.004")</f>
        <v>http://dx.doi.org/10.1016/j.jtbi.2014.10.004</v>
      </c>
      <c r="BG765" t="s">
        <v>74</v>
      </c>
      <c r="BH765" t="s">
        <v>74</v>
      </c>
      <c r="BI765">
        <v>9</v>
      </c>
      <c r="BJ765" t="s">
        <v>14728</v>
      </c>
      <c r="BK765" t="s">
        <v>100</v>
      </c>
      <c r="BL765" t="s">
        <v>14729</v>
      </c>
      <c r="BM765" t="s">
        <v>14730</v>
      </c>
      <c r="BN765">
        <v>25445187</v>
      </c>
      <c r="BO765" t="s">
        <v>74</v>
      </c>
      <c r="BP765" t="s">
        <v>74</v>
      </c>
      <c r="BQ765" t="s">
        <v>74</v>
      </c>
      <c r="BR765" t="s">
        <v>104</v>
      </c>
      <c r="BS765" t="s">
        <v>14731</v>
      </c>
      <c r="BT765" t="str">
        <f>HYPERLINK("https%3A%2F%2Fwww.webofscience.com%2Fwos%2Fwoscc%2Ffull-record%2FWOS:000347267200007","View Full Record in Web of Science")</f>
        <v>View Full Record in Web of Science</v>
      </c>
    </row>
    <row r="766" spans="1:72" x14ac:dyDescent="0.15">
      <c r="A766" t="s">
        <v>72</v>
      </c>
      <c r="B766" t="s">
        <v>14732</v>
      </c>
      <c r="C766" t="s">
        <v>74</v>
      </c>
      <c r="D766" t="s">
        <v>74</v>
      </c>
      <c r="E766" t="s">
        <v>74</v>
      </c>
      <c r="F766" t="s">
        <v>14733</v>
      </c>
      <c r="G766" t="s">
        <v>74</v>
      </c>
      <c r="H766" t="s">
        <v>74</v>
      </c>
      <c r="I766" t="s">
        <v>14734</v>
      </c>
      <c r="J766" t="s">
        <v>14735</v>
      </c>
      <c r="K766" t="s">
        <v>74</v>
      </c>
      <c r="L766" t="s">
        <v>74</v>
      </c>
      <c r="M766" t="s">
        <v>78</v>
      </c>
      <c r="N766" t="s">
        <v>79</v>
      </c>
      <c r="O766" t="s">
        <v>74</v>
      </c>
      <c r="P766" t="s">
        <v>74</v>
      </c>
      <c r="Q766" t="s">
        <v>74</v>
      </c>
      <c r="R766" t="s">
        <v>74</v>
      </c>
      <c r="S766" t="s">
        <v>74</v>
      </c>
      <c r="T766" t="s">
        <v>14736</v>
      </c>
      <c r="U766" t="s">
        <v>14737</v>
      </c>
      <c r="V766" t="s">
        <v>14738</v>
      </c>
      <c r="W766" t="s">
        <v>14739</v>
      </c>
      <c r="X766" t="s">
        <v>14740</v>
      </c>
      <c r="Y766" t="s">
        <v>14741</v>
      </c>
      <c r="Z766" t="s">
        <v>3106</v>
      </c>
      <c r="AA766" t="s">
        <v>3107</v>
      </c>
      <c r="AB766" t="s">
        <v>14742</v>
      </c>
      <c r="AC766" t="s">
        <v>14743</v>
      </c>
      <c r="AD766" t="s">
        <v>14744</v>
      </c>
      <c r="AE766" t="s">
        <v>14745</v>
      </c>
      <c r="AF766" t="s">
        <v>74</v>
      </c>
      <c r="AG766">
        <v>29</v>
      </c>
      <c r="AH766">
        <v>19</v>
      </c>
      <c r="AI766">
        <v>21</v>
      </c>
      <c r="AJ766">
        <v>0</v>
      </c>
      <c r="AK766">
        <v>1</v>
      </c>
      <c r="AL766" t="s">
        <v>840</v>
      </c>
      <c r="AM766" t="s">
        <v>378</v>
      </c>
      <c r="AN766" t="s">
        <v>841</v>
      </c>
      <c r="AO766" t="s">
        <v>14746</v>
      </c>
      <c r="AP766" t="s">
        <v>74</v>
      </c>
      <c r="AQ766" t="s">
        <v>74</v>
      </c>
      <c r="AR766" t="s">
        <v>14735</v>
      </c>
      <c r="AS766" t="s">
        <v>14747</v>
      </c>
      <c r="AT766" t="s">
        <v>14726</v>
      </c>
      <c r="AU766">
        <v>2015</v>
      </c>
      <c r="AV766">
        <v>15</v>
      </c>
      <c r="AW766" t="s">
        <v>74</v>
      </c>
      <c r="AX766" t="s">
        <v>74</v>
      </c>
      <c r="AY766" t="s">
        <v>74</v>
      </c>
      <c r="AZ766" t="s">
        <v>74</v>
      </c>
      <c r="BA766" t="s">
        <v>74</v>
      </c>
      <c r="BB766" t="s">
        <v>74</v>
      </c>
      <c r="BC766" t="s">
        <v>74</v>
      </c>
      <c r="BD766">
        <v>16</v>
      </c>
      <c r="BE766" t="s">
        <v>14748</v>
      </c>
      <c r="BF766" t="str">
        <f>HYPERLINK("http://dx.doi.org/10.1186/s12889-015-1367-4","http://dx.doi.org/10.1186/s12889-015-1367-4")</f>
        <v>http://dx.doi.org/10.1186/s12889-015-1367-4</v>
      </c>
      <c r="BG766" t="s">
        <v>74</v>
      </c>
      <c r="BH766" t="s">
        <v>74</v>
      </c>
      <c r="BI766">
        <v>7</v>
      </c>
      <c r="BJ766" t="s">
        <v>14749</v>
      </c>
      <c r="BK766" t="s">
        <v>100</v>
      </c>
      <c r="BL766" t="s">
        <v>14749</v>
      </c>
      <c r="BM766" t="s">
        <v>14750</v>
      </c>
      <c r="BN766">
        <v>25604750</v>
      </c>
      <c r="BO766" t="s">
        <v>14751</v>
      </c>
      <c r="BP766" t="s">
        <v>74</v>
      </c>
      <c r="BQ766" t="s">
        <v>74</v>
      </c>
      <c r="BR766" t="s">
        <v>104</v>
      </c>
      <c r="BS766" t="s">
        <v>14752</v>
      </c>
      <c r="BT766" t="str">
        <f>HYPERLINK("https%3A%2F%2Fwww.webofscience.com%2Fwos%2Fwoscc%2Ffull-record%2FWOS:000349744800001","View Full Record in Web of Science")</f>
        <v>View Full Record in Web of Science</v>
      </c>
    </row>
    <row r="767" spans="1:72" x14ac:dyDescent="0.15">
      <c r="A767" t="s">
        <v>72</v>
      </c>
      <c r="B767" t="s">
        <v>14753</v>
      </c>
      <c r="C767" t="s">
        <v>74</v>
      </c>
      <c r="D767" t="s">
        <v>74</v>
      </c>
      <c r="E767" t="s">
        <v>74</v>
      </c>
      <c r="F767" t="s">
        <v>14754</v>
      </c>
      <c r="G767" t="s">
        <v>74</v>
      </c>
      <c r="H767" t="s">
        <v>74</v>
      </c>
      <c r="I767" t="s">
        <v>14755</v>
      </c>
      <c r="J767" t="s">
        <v>1072</v>
      </c>
      <c r="K767" t="s">
        <v>74</v>
      </c>
      <c r="L767" t="s">
        <v>74</v>
      </c>
      <c r="M767" t="s">
        <v>78</v>
      </c>
      <c r="N767" t="s">
        <v>79</v>
      </c>
      <c r="O767" t="s">
        <v>74</v>
      </c>
      <c r="P767" t="s">
        <v>74</v>
      </c>
      <c r="Q767" t="s">
        <v>74</v>
      </c>
      <c r="R767" t="s">
        <v>74</v>
      </c>
      <c r="S767" t="s">
        <v>74</v>
      </c>
      <c r="T767" t="s">
        <v>14756</v>
      </c>
      <c r="U767" t="s">
        <v>14757</v>
      </c>
      <c r="V767" t="s">
        <v>14758</v>
      </c>
      <c r="W767" t="s">
        <v>14759</v>
      </c>
      <c r="X767" t="s">
        <v>74</v>
      </c>
      <c r="Y767" t="s">
        <v>14760</v>
      </c>
      <c r="Z767" t="s">
        <v>14761</v>
      </c>
      <c r="AA767" t="s">
        <v>74</v>
      </c>
      <c r="AB767" t="s">
        <v>74</v>
      </c>
      <c r="AC767" t="s">
        <v>74</v>
      </c>
      <c r="AD767" t="s">
        <v>74</v>
      </c>
      <c r="AE767" t="s">
        <v>74</v>
      </c>
      <c r="AF767" t="s">
        <v>74</v>
      </c>
      <c r="AG767">
        <v>58</v>
      </c>
      <c r="AH767">
        <v>13</v>
      </c>
      <c r="AI767">
        <v>14</v>
      </c>
      <c r="AJ767">
        <v>1</v>
      </c>
      <c r="AK767">
        <v>33</v>
      </c>
      <c r="AL767" t="s">
        <v>1085</v>
      </c>
      <c r="AM767" t="s">
        <v>1086</v>
      </c>
      <c r="AN767" t="s">
        <v>1087</v>
      </c>
      <c r="AO767" t="s">
        <v>1088</v>
      </c>
      <c r="AP767" t="s">
        <v>1089</v>
      </c>
      <c r="AQ767" t="s">
        <v>74</v>
      </c>
      <c r="AR767" t="s">
        <v>1090</v>
      </c>
      <c r="AS767" t="s">
        <v>1091</v>
      </c>
      <c r="AT767" t="s">
        <v>14762</v>
      </c>
      <c r="AU767">
        <v>2015</v>
      </c>
      <c r="AV767">
        <v>519</v>
      </c>
      <c r="AW767" t="s">
        <v>74</v>
      </c>
      <c r="AX767" t="s">
        <v>74</v>
      </c>
      <c r="AY767" t="s">
        <v>74</v>
      </c>
      <c r="AZ767" t="s">
        <v>74</v>
      </c>
      <c r="BA767" t="s">
        <v>74</v>
      </c>
      <c r="BB767">
        <v>89</v>
      </c>
      <c r="BC767">
        <v>101</v>
      </c>
      <c r="BD767" t="s">
        <v>74</v>
      </c>
      <c r="BE767" t="s">
        <v>14763</v>
      </c>
      <c r="BF767" t="str">
        <f>HYPERLINK("http://dx.doi.org/10.3354/meps11082","http://dx.doi.org/10.3354/meps11082")</f>
        <v>http://dx.doi.org/10.3354/meps11082</v>
      </c>
      <c r="BG767" t="s">
        <v>74</v>
      </c>
      <c r="BH767" t="s">
        <v>74</v>
      </c>
      <c r="BI767">
        <v>13</v>
      </c>
      <c r="BJ767" t="s">
        <v>1094</v>
      </c>
      <c r="BK767" t="s">
        <v>100</v>
      </c>
      <c r="BL767" t="s">
        <v>1095</v>
      </c>
      <c r="BM767" t="s">
        <v>14764</v>
      </c>
      <c r="BN767" t="s">
        <v>74</v>
      </c>
      <c r="BO767" t="s">
        <v>156</v>
      </c>
      <c r="BP767" t="s">
        <v>74</v>
      </c>
      <c r="BQ767" t="s">
        <v>74</v>
      </c>
      <c r="BR767" t="s">
        <v>104</v>
      </c>
      <c r="BS767" t="s">
        <v>14765</v>
      </c>
      <c r="BT767" t="str">
        <f>HYPERLINK("https%3A%2F%2Fwww.webofscience.com%2Fwos%2Fwoscc%2Ffull-record%2FWOS:000349093800007","View Full Record in Web of Science")</f>
        <v>View Full Record in Web of Science</v>
      </c>
    </row>
    <row r="768" spans="1:72" x14ac:dyDescent="0.15">
      <c r="A768" t="s">
        <v>72</v>
      </c>
      <c r="B768" t="s">
        <v>14766</v>
      </c>
      <c r="C768" t="s">
        <v>74</v>
      </c>
      <c r="D768" t="s">
        <v>74</v>
      </c>
      <c r="E768" t="s">
        <v>74</v>
      </c>
      <c r="F768" t="s">
        <v>14767</v>
      </c>
      <c r="G768" t="s">
        <v>74</v>
      </c>
      <c r="H768" t="s">
        <v>74</v>
      </c>
      <c r="I768" t="s">
        <v>14768</v>
      </c>
      <c r="J768" t="s">
        <v>1072</v>
      </c>
      <c r="K768" t="s">
        <v>74</v>
      </c>
      <c r="L768" t="s">
        <v>74</v>
      </c>
      <c r="M768" t="s">
        <v>78</v>
      </c>
      <c r="N768" t="s">
        <v>79</v>
      </c>
      <c r="O768" t="s">
        <v>74</v>
      </c>
      <c r="P768" t="s">
        <v>74</v>
      </c>
      <c r="Q768" t="s">
        <v>74</v>
      </c>
      <c r="R768" t="s">
        <v>74</v>
      </c>
      <c r="S768" t="s">
        <v>74</v>
      </c>
      <c r="T768" t="s">
        <v>14769</v>
      </c>
      <c r="U768" t="s">
        <v>14770</v>
      </c>
      <c r="V768" t="s">
        <v>14771</v>
      </c>
      <c r="W768" t="s">
        <v>14772</v>
      </c>
      <c r="X768" t="s">
        <v>14773</v>
      </c>
      <c r="Y768" t="s">
        <v>14774</v>
      </c>
      <c r="Z768" t="s">
        <v>14775</v>
      </c>
      <c r="AA768" t="s">
        <v>14776</v>
      </c>
      <c r="AB768" t="s">
        <v>14777</v>
      </c>
      <c r="AC768" t="s">
        <v>14778</v>
      </c>
      <c r="AD768" t="s">
        <v>6068</v>
      </c>
      <c r="AE768" t="s">
        <v>14779</v>
      </c>
      <c r="AF768" t="s">
        <v>74</v>
      </c>
      <c r="AG768">
        <v>58</v>
      </c>
      <c r="AH768">
        <v>19</v>
      </c>
      <c r="AI768">
        <v>20</v>
      </c>
      <c r="AJ768">
        <v>1</v>
      </c>
      <c r="AK768">
        <v>38</v>
      </c>
      <c r="AL768" t="s">
        <v>1085</v>
      </c>
      <c r="AM768" t="s">
        <v>1086</v>
      </c>
      <c r="AN768" t="s">
        <v>1087</v>
      </c>
      <c r="AO768" t="s">
        <v>1088</v>
      </c>
      <c r="AP768" t="s">
        <v>1089</v>
      </c>
      <c r="AQ768" t="s">
        <v>74</v>
      </c>
      <c r="AR768" t="s">
        <v>1090</v>
      </c>
      <c r="AS768" t="s">
        <v>1091</v>
      </c>
      <c r="AT768" t="s">
        <v>14762</v>
      </c>
      <c r="AU768">
        <v>2015</v>
      </c>
      <c r="AV768">
        <v>519</v>
      </c>
      <c r="AW768" t="s">
        <v>74</v>
      </c>
      <c r="AX768" t="s">
        <v>74</v>
      </c>
      <c r="AY768" t="s">
        <v>74</v>
      </c>
      <c r="AZ768" t="s">
        <v>74</v>
      </c>
      <c r="BA768" t="s">
        <v>74</v>
      </c>
      <c r="BB768">
        <v>115</v>
      </c>
      <c r="BC768">
        <v>128</v>
      </c>
      <c r="BD768" t="s">
        <v>74</v>
      </c>
      <c r="BE768" t="s">
        <v>14780</v>
      </c>
      <c r="BF768" t="str">
        <f>HYPERLINK("http://dx.doi.org/10.3354/meps11098","http://dx.doi.org/10.3354/meps11098")</f>
        <v>http://dx.doi.org/10.3354/meps11098</v>
      </c>
      <c r="BG768" t="s">
        <v>74</v>
      </c>
      <c r="BH768" t="s">
        <v>74</v>
      </c>
      <c r="BI768">
        <v>14</v>
      </c>
      <c r="BJ768" t="s">
        <v>1094</v>
      </c>
      <c r="BK768" t="s">
        <v>100</v>
      </c>
      <c r="BL768" t="s">
        <v>1095</v>
      </c>
      <c r="BM768" t="s">
        <v>14764</v>
      </c>
      <c r="BN768" t="s">
        <v>74</v>
      </c>
      <c r="BO768" t="s">
        <v>156</v>
      </c>
      <c r="BP768" t="s">
        <v>74</v>
      </c>
      <c r="BQ768" t="s">
        <v>74</v>
      </c>
      <c r="BR768" t="s">
        <v>104</v>
      </c>
      <c r="BS768" t="s">
        <v>14781</v>
      </c>
      <c r="BT768" t="str">
        <f>HYPERLINK("https%3A%2F%2Fwww.webofscience.com%2Fwos%2Fwoscc%2Ffull-record%2FWOS:000349093800009","View Full Record in Web of Science")</f>
        <v>View Full Record in Web of Science</v>
      </c>
    </row>
    <row r="769" spans="1:72" x14ac:dyDescent="0.15">
      <c r="A769" t="s">
        <v>72</v>
      </c>
      <c r="B769" t="s">
        <v>14782</v>
      </c>
      <c r="C769" t="s">
        <v>74</v>
      </c>
      <c r="D769" t="s">
        <v>74</v>
      </c>
      <c r="E769" t="s">
        <v>74</v>
      </c>
      <c r="F769" t="s">
        <v>14783</v>
      </c>
      <c r="G769" t="s">
        <v>74</v>
      </c>
      <c r="H769" t="s">
        <v>74</v>
      </c>
      <c r="I769" t="s">
        <v>14784</v>
      </c>
      <c r="J769" t="s">
        <v>4433</v>
      </c>
      <c r="K769" t="s">
        <v>74</v>
      </c>
      <c r="L769" t="s">
        <v>74</v>
      </c>
      <c r="M769" t="s">
        <v>78</v>
      </c>
      <c r="N769" t="s">
        <v>79</v>
      </c>
      <c r="O769" t="s">
        <v>74</v>
      </c>
      <c r="P769" t="s">
        <v>74</v>
      </c>
      <c r="Q769" t="s">
        <v>74</v>
      </c>
      <c r="R769" t="s">
        <v>74</v>
      </c>
      <c r="S769" t="s">
        <v>74</v>
      </c>
      <c r="T769" t="s">
        <v>14785</v>
      </c>
      <c r="U769" t="s">
        <v>14786</v>
      </c>
      <c r="V769" t="s">
        <v>14787</v>
      </c>
      <c r="W769" t="s">
        <v>14788</v>
      </c>
      <c r="X769" t="s">
        <v>14789</v>
      </c>
      <c r="Y769" t="s">
        <v>14790</v>
      </c>
      <c r="Z769" t="s">
        <v>14791</v>
      </c>
      <c r="AA769" t="s">
        <v>74</v>
      </c>
      <c r="AB769" t="s">
        <v>14792</v>
      </c>
      <c r="AC769" t="s">
        <v>14793</v>
      </c>
      <c r="AD769" t="s">
        <v>14794</v>
      </c>
      <c r="AE769" t="s">
        <v>14795</v>
      </c>
      <c r="AF769" t="s">
        <v>74</v>
      </c>
      <c r="AG769">
        <v>46</v>
      </c>
      <c r="AH769">
        <v>23</v>
      </c>
      <c r="AI769">
        <v>29</v>
      </c>
      <c r="AJ769">
        <v>1</v>
      </c>
      <c r="AK769">
        <v>48</v>
      </c>
      <c r="AL769" t="s">
        <v>4446</v>
      </c>
      <c r="AM769" t="s">
        <v>267</v>
      </c>
      <c r="AN769" t="s">
        <v>4447</v>
      </c>
      <c r="AO769" t="s">
        <v>4448</v>
      </c>
      <c r="AP769" t="s">
        <v>74</v>
      </c>
      <c r="AQ769" t="s">
        <v>74</v>
      </c>
      <c r="AR769" t="s">
        <v>4449</v>
      </c>
      <c r="AS769" t="s">
        <v>4450</v>
      </c>
      <c r="AT769" t="s">
        <v>14762</v>
      </c>
      <c r="AU769">
        <v>2015</v>
      </c>
      <c r="AV769">
        <v>112</v>
      </c>
      <c r="AW769">
        <v>3</v>
      </c>
      <c r="AX769" t="s">
        <v>74</v>
      </c>
      <c r="AY769" t="s">
        <v>74</v>
      </c>
      <c r="AZ769" t="s">
        <v>74</v>
      </c>
      <c r="BA769" t="s">
        <v>74</v>
      </c>
      <c r="BB769">
        <v>737</v>
      </c>
      <c r="BC769">
        <v>742</v>
      </c>
      <c r="BD769" t="s">
        <v>74</v>
      </c>
      <c r="BE769" t="s">
        <v>14796</v>
      </c>
      <c r="BF769" t="str">
        <f>HYPERLINK("http://dx.doi.org/10.1073/pnas.1422272112","http://dx.doi.org/10.1073/pnas.1422272112")</f>
        <v>http://dx.doi.org/10.1073/pnas.1422272112</v>
      </c>
      <c r="BG769" t="s">
        <v>74</v>
      </c>
      <c r="BH769" t="s">
        <v>74</v>
      </c>
      <c r="BI769">
        <v>6</v>
      </c>
      <c r="BJ769" t="s">
        <v>429</v>
      </c>
      <c r="BK769" t="s">
        <v>100</v>
      </c>
      <c r="BL769" t="s">
        <v>430</v>
      </c>
      <c r="BM769" t="s">
        <v>14797</v>
      </c>
      <c r="BN769">
        <v>25561557</v>
      </c>
      <c r="BO769" t="s">
        <v>293</v>
      </c>
      <c r="BP769" t="s">
        <v>74</v>
      </c>
      <c r="BQ769" t="s">
        <v>74</v>
      </c>
      <c r="BR769" t="s">
        <v>104</v>
      </c>
      <c r="BS769" t="s">
        <v>14798</v>
      </c>
      <c r="BT769" t="str">
        <f>HYPERLINK("https%3A%2F%2Fwww.webofscience.com%2Fwos%2Fwoscc%2Ffull-record%2FWOS:000348040700039","View Full Record in Web of Science")</f>
        <v>View Full Record in Web of Science</v>
      </c>
    </row>
    <row r="770" spans="1:72" x14ac:dyDescent="0.15">
      <c r="A770" t="s">
        <v>72</v>
      </c>
      <c r="B770" t="s">
        <v>14799</v>
      </c>
      <c r="C770" t="s">
        <v>74</v>
      </c>
      <c r="D770" t="s">
        <v>74</v>
      </c>
      <c r="E770" t="s">
        <v>74</v>
      </c>
      <c r="F770" t="s">
        <v>14800</v>
      </c>
      <c r="G770" t="s">
        <v>74</v>
      </c>
      <c r="H770" t="s">
        <v>74</v>
      </c>
      <c r="I770" t="s">
        <v>14801</v>
      </c>
      <c r="J770" t="s">
        <v>608</v>
      </c>
      <c r="K770" t="s">
        <v>74</v>
      </c>
      <c r="L770" t="s">
        <v>74</v>
      </c>
      <c r="M770" t="s">
        <v>78</v>
      </c>
      <c r="N770" t="s">
        <v>79</v>
      </c>
      <c r="O770" t="s">
        <v>74</v>
      </c>
      <c r="P770" t="s">
        <v>74</v>
      </c>
      <c r="Q770" t="s">
        <v>74</v>
      </c>
      <c r="R770" t="s">
        <v>74</v>
      </c>
      <c r="S770" t="s">
        <v>74</v>
      </c>
      <c r="T770" t="s">
        <v>14802</v>
      </c>
      <c r="U770" t="s">
        <v>14803</v>
      </c>
      <c r="V770" t="s">
        <v>14804</v>
      </c>
      <c r="W770" t="s">
        <v>14805</v>
      </c>
      <c r="X770" t="s">
        <v>14806</v>
      </c>
      <c r="Y770" t="s">
        <v>14807</v>
      </c>
      <c r="Z770" t="s">
        <v>14808</v>
      </c>
      <c r="AA770" t="s">
        <v>14809</v>
      </c>
      <c r="AB770" t="s">
        <v>14810</v>
      </c>
      <c r="AC770" t="s">
        <v>14811</v>
      </c>
      <c r="AD770" t="s">
        <v>14812</v>
      </c>
      <c r="AE770" t="s">
        <v>14813</v>
      </c>
      <c r="AF770" t="s">
        <v>74</v>
      </c>
      <c r="AG770">
        <v>79</v>
      </c>
      <c r="AH770">
        <v>72</v>
      </c>
      <c r="AI770">
        <v>79</v>
      </c>
      <c r="AJ770">
        <v>0</v>
      </c>
      <c r="AK770">
        <v>5</v>
      </c>
      <c r="AL770" t="s">
        <v>621</v>
      </c>
      <c r="AM770" t="s">
        <v>622</v>
      </c>
      <c r="AN770" t="s">
        <v>623</v>
      </c>
      <c r="AO770" t="s">
        <v>624</v>
      </c>
      <c r="AP770" t="s">
        <v>625</v>
      </c>
      <c r="AQ770" t="s">
        <v>74</v>
      </c>
      <c r="AR770" t="s">
        <v>626</v>
      </c>
      <c r="AS770" t="s">
        <v>627</v>
      </c>
      <c r="AT770" t="s">
        <v>14762</v>
      </c>
      <c r="AU770">
        <v>2015</v>
      </c>
      <c r="AV770">
        <v>799</v>
      </c>
      <c r="AW770">
        <v>1</v>
      </c>
      <c r="AX770" t="s">
        <v>74</v>
      </c>
      <c r="AY770" t="s">
        <v>74</v>
      </c>
      <c r="AZ770" t="s">
        <v>74</v>
      </c>
      <c r="BA770" t="s">
        <v>74</v>
      </c>
      <c r="BB770" t="s">
        <v>74</v>
      </c>
      <c r="BC770" t="s">
        <v>74</v>
      </c>
      <c r="BD770">
        <v>107</v>
      </c>
      <c r="BE770" t="s">
        <v>14814</v>
      </c>
      <c r="BF770" t="str">
        <f>HYPERLINK("http://dx.doi.org/10.1088/0004-637X/799/1/107","http://dx.doi.org/10.1088/0004-637X/799/1/107")</f>
        <v>http://dx.doi.org/10.1088/0004-637X/799/1/107</v>
      </c>
      <c r="BG770" t="s">
        <v>74</v>
      </c>
      <c r="BH770" t="s">
        <v>74</v>
      </c>
      <c r="BI770">
        <v>8</v>
      </c>
      <c r="BJ770" t="s">
        <v>246</v>
      </c>
      <c r="BK770" t="s">
        <v>100</v>
      </c>
      <c r="BL770" t="s">
        <v>246</v>
      </c>
      <c r="BM770" t="s">
        <v>14815</v>
      </c>
      <c r="BN770" t="s">
        <v>74</v>
      </c>
      <c r="BO770" t="s">
        <v>2201</v>
      </c>
      <c r="BP770" t="s">
        <v>74</v>
      </c>
      <c r="BQ770" t="s">
        <v>74</v>
      </c>
      <c r="BR770" t="s">
        <v>104</v>
      </c>
      <c r="BS770" t="s">
        <v>14816</v>
      </c>
      <c r="BT770" t="str">
        <f>HYPERLINK("https%3A%2F%2Fwww.webofscience.com%2Fwos%2Fwoscc%2Ffull-record%2FWOS:000348214500105","View Full Record in Web of Science")</f>
        <v>View Full Record in Web of Science</v>
      </c>
    </row>
    <row r="771" spans="1:72" x14ac:dyDescent="0.15">
      <c r="A771" t="s">
        <v>72</v>
      </c>
      <c r="B771" t="s">
        <v>14817</v>
      </c>
      <c r="C771" t="s">
        <v>74</v>
      </c>
      <c r="D771" t="s">
        <v>74</v>
      </c>
      <c r="E771" t="s">
        <v>74</v>
      </c>
      <c r="F771" t="s">
        <v>14818</v>
      </c>
      <c r="G771" t="s">
        <v>74</v>
      </c>
      <c r="H771" t="s">
        <v>74</v>
      </c>
      <c r="I771" t="s">
        <v>14819</v>
      </c>
      <c r="J771" t="s">
        <v>4992</v>
      </c>
      <c r="K771" t="s">
        <v>74</v>
      </c>
      <c r="L771" t="s">
        <v>74</v>
      </c>
      <c r="M771" t="s">
        <v>78</v>
      </c>
      <c r="N771" t="s">
        <v>79</v>
      </c>
      <c r="O771" t="s">
        <v>74</v>
      </c>
      <c r="P771" t="s">
        <v>74</v>
      </c>
      <c r="Q771" t="s">
        <v>74</v>
      </c>
      <c r="R771" t="s">
        <v>74</v>
      </c>
      <c r="S771" t="s">
        <v>74</v>
      </c>
      <c r="T771" t="s">
        <v>74</v>
      </c>
      <c r="U771" t="s">
        <v>14820</v>
      </c>
      <c r="V771" t="s">
        <v>14821</v>
      </c>
      <c r="W771" t="s">
        <v>14822</v>
      </c>
      <c r="X771" t="s">
        <v>14823</v>
      </c>
      <c r="Y771" t="s">
        <v>14824</v>
      </c>
      <c r="Z771" t="s">
        <v>14825</v>
      </c>
      <c r="AA771" t="s">
        <v>14826</v>
      </c>
      <c r="AB771" t="s">
        <v>14827</v>
      </c>
      <c r="AC771" t="s">
        <v>14828</v>
      </c>
      <c r="AD771" t="s">
        <v>14829</v>
      </c>
      <c r="AE771" t="s">
        <v>14830</v>
      </c>
      <c r="AF771" t="s">
        <v>74</v>
      </c>
      <c r="AG771">
        <v>39</v>
      </c>
      <c r="AH771">
        <v>16</v>
      </c>
      <c r="AI771">
        <v>17</v>
      </c>
      <c r="AJ771">
        <v>1</v>
      </c>
      <c r="AK771">
        <v>56</v>
      </c>
      <c r="AL771" t="s">
        <v>646</v>
      </c>
      <c r="AM771" t="s">
        <v>267</v>
      </c>
      <c r="AN771" t="s">
        <v>647</v>
      </c>
      <c r="AO771" t="s">
        <v>5004</v>
      </c>
      <c r="AP771" t="s">
        <v>5005</v>
      </c>
      <c r="AQ771" t="s">
        <v>74</v>
      </c>
      <c r="AR771" t="s">
        <v>5006</v>
      </c>
      <c r="AS771" t="s">
        <v>5007</v>
      </c>
      <c r="AT771" t="s">
        <v>14762</v>
      </c>
      <c r="AU771">
        <v>2015</v>
      </c>
      <c r="AV771">
        <v>49</v>
      </c>
      <c r="AW771">
        <v>2</v>
      </c>
      <c r="AX771" t="s">
        <v>74</v>
      </c>
      <c r="AY771" t="s">
        <v>74</v>
      </c>
      <c r="AZ771" t="s">
        <v>74</v>
      </c>
      <c r="BA771" t="s">
        <v>74</v>
      </c>
      <c r="BB771">
        <v>1035</v>
      </c>
      <c r="BC771">
        <v>1042</v>
      </c>
      <c r="BD771" t="s">
        <v>74</v>
      </c>
      <c r="BE771" t="s">
        <v>14831</v>
      </c>
      <c r="BF771" t="str">
        <f>HYPERLINK("http://dx.doi.org/10.1021/es505271p","http://dx.doi.org/10.1021/es505271p")</f>
        <v>http://dx.doi.org/10.1021/es505271p</v>
      </c>
      <c r="BG771" t="s">
        <v>74</v>
      </c>
      <c r="BH771" t="s">
        <v>74</v>
      </c>
      <c r="BI771">
        <v>8</v>
      </c>
      <c r="BJ771" t="s">
        <v>5010</v>
      </c>
      <c r="BK771" t="s">
        <v>100</v>
      </c>
      <c r="BL771" t="s">
        <v>5011</v>
      </c>
      <c r="BM771" t="s">
        <v>14832</v>
      </c>
      <c r="BN771">
        <v>25526317</v>
      </c>
      <c r="BO771" t="s">
        <v>74</v>
      </c>
      <c r="BP771" t="s">
        <v>74</v>
      </c>
      <c r="BQ771" t="s">
        <v>74</v>
      </c>
      <c r="BR771" t="s">
        <v>104</v>
      </c>
      <c r="BS771" t="s">
        <v>14833</v>
      </c>
      <c r="BT771" t="str">
        <f>HYPERLINK("https%3A%2F%2Fwww.webofscience.com%2Fwos%2Fwoscc%2Ffull-record%2FWOS:000348332400042","View Full Record in Web of Science")</f>
        <v>View Full Record in Web of Science</v>
      </c>
    </row>
    <row r="772" spans="1:72" x14ac:dyDescent="0.15">
      <c r="A772" t="s">
        <v>72</v>
      </c>
      <c r="B772" t="s">
        <v>14834</v>
      </c>
      <c r="C772" t="s">
        <v>74</v>
      </c>
      <c r="D772" t="s">
        <v>74</v>
      </c>
      <c r="E772" t="s">
        <v>74</v>
      </c>
      <c r="F772" t="s">
        <v>14835</v>
      </c>
      <c r="G772" t="s">
        <v>74</v>
      </c>
      <c r="H772" t="s">
        <v>74</v>
      </c>
      <c r="I772" t="s">
        <v>14836</v>
      </c>
      <c r="J772" t="s">
        <v>1072</v>
      </c>
      <c r="K772" t="s">
        <v>74</v>
      </c>
      <c r="L772" t="s">
        <v>74</v>
      </c>
      <c r="M772" t="s">
        <v>78</v>
      </c>
      <c r="N772" t="s">
        <v>79</v>
      </c>
      <c r="O772" t="s">
        <v>74</v>
      </c>
      <c r="P772" t="s">
        <v>74</v>
      </c>
      <c r="Q772" t="s">
        <v>74</v>
      </c>
      <c r="R772" t="s">
        <v>74</v>
      </c>
      <c r="S772" t="s">
        <v>74</v>
      </c>
      <c r="T772" t="s">
        <v>14837</v>
      </c>
      <c r="U772" t="s">
        <v>14838</v>
      </c>
      <c r="V772" t="s">
        <v>14839</v>
      </c>
      <c r="W772" t="s">
        <v>14840</v>
      </c>
      <c r="X772" t="s">
        <v>14841</v>
      </c>
      <c r="Y772" t="s">
        <v>14842</v>
      </c>
      <c r="Z772" t="s">
        <v>14843</v>
      </c>
      <c r="AA772" t="s">
        <v>14844</v>
      </c>
      <c r="AB772" t="s">
        <v>14845</v>
      </c>
      <c r="AC772" t="s">
        <v>14846</v>
      </c>
      <c r="AD772" t="s">
        <v>14847</v>
      </c>
      <c r="AE772" t="s">
        <v>14848</v>
      </c>
      <c r="AF772" t="s">
        <v>74</v>
      </c>
      <c r="AG772">
        <v>58</v>
      </c>
      <c r="AH772">
        <v>54</v>
      </c>
      <c r="AI772">
        <v>65</v>
      </c>
      <c r="AJ772">
        <v>3</v>
      </c>
      <c r="AK772">
        <v>58</v>
      </c>
      <c r="AL772" t="s">
        <v>1085</v>
      </c>
      <c r="AM772" t="s">
        <v>1086</v>
      </c>
      <c r="AN772" t="s">
        <v>1087</v>
      </c>
      <c r="AO772" t="s">
        <v>1088</v>
      </c>
      <c r="AP772" t="s">
        <v>1089</v>
      </c>
      <c r="AQ772" t="s">
        <v>74</v>
      </c>
      <c r="AR772" t="s">
        <v>1090</v>
      </c>
      <c r="AS772" t="s">
        <v>1091</v>
      </c>
      <c r="AT772" t="s">
        <v>14762</v>
      </c>
      <c r="AU772">
        <v>2015</v>
      </c>
      <c r="AV772">
        <v>519</v>
      </c>
      <c r="AW772" t="s">
        <v>74</v>
      </c>
      <c r="AX772" t="s">
        <v>74</v>
      </c>
      <c r="AY772" t="s">
        <v>74</v>
      </c>
      <c r="AZ772" t="s">
        <v>74</v>
      </c>
      <c r="BA772" t="s">
        <v>74</v>
      </c>
      <c r="BB772">
        <v>221</v>
      </c>
      <c r="BC772">
        <v>237</v>
      </c>
      <c r="BD772" t="s">
        <v>74</v>
      </c>
      <c r="BE772" t="s">
        <v>14849</v>
      </c>
      <c r="BF772" t="str">
        <f>HYPERLINK("http://dx.doi.org/10.3354/meps11095","http://dx.doi.org/10.3354/meps11095")</f>
        <v>http://dx.doi.org/10.3354/meps11095</v>
      </c>
      <c r="BG772" t="s">
        <v>74</v>
      </c>
      <c r="BH772" t="s">
        <v>74</v>
      </c>
      <c r="BI772">
        <v>17</v>
      </c>
      <c r="BJ772" t="s">
        <v>1094</v>
      </c>
      <c r="BK772" t="s">
        <v>100</v>
      </c>
      <c r="BL772" t="s">
        <v>1095</v>
      </c>
      <c r="BM772" t="s">
        <v>14764</v>
      </c>
      <c r="BN772" t="s">
        <v>74</v>
      </c>
      <c r="BO772" t="s">
        <v>156</v>
      </c>
      <c r="BP772" t="s">
        <v>74</v>
      </c>
      <c r="BQ772" t="s">
        <v>74</v>
      </c>
      <c r="BR772" t="s">
        <v>104</v>
      </c>
      <c r="BS772" t="s">
        <v>14850</v>
      </c>
      <c r="BT772" t="str">
        <f>HYPERLINK("https%3A%2F%2Fwww.webofscience.com%2Fwos%2Fwoscc%2Ffull-record%2FWOS:000349093800017","View Full Record in Web of Science")</f>
        <v>View Full Record in Web of Science</v>
      </c>
    </row>
    <row r="773" spans="1:72" x14ac:dyDescent="0.15">
      <c r="A773" t="s">
        <v>72</v>
      </c>
      <c r="B773" t="s">
        <v>14851</v>
      </c>
      <c r="C773" t="s">
        <v>74</v>
      </c>
      <c r="D773" t="s">
        <v>74</v>
      </c>
      <c r="E773" t="s">
        <v>74</v>
      </c>
      <c r="F773" t="s">
        <v>14852</v>
      </c>
      <c r="G773" t="s">
        <v>74</v>
      </c>
      <c r="H773" t="s">
        <v>74</v>
      </c>
      <c r="I773" t="s">
        <v>14853</v>
      </c>
      <c r="J773" t="s">
        <v>253</v>
      </c>
      <c r="K773" t="s">
        <v>74</v>
      </c>
      <c r="L773" t="s">
        <v>74</v>
      </c>
      <c r="M773" t="s">
        <v>78</v>
      </c>
      <c r="N773" t="s">
        <v>79</v>
      </c>
      <c r="O773" t="s">
        <v>74</v>
      </c>
      <c r="P773" t="s">
        <v>74</v>
      </c>
      <c r="Q773" t="s">
        <v>74</v>
      </c>
      <c r="R773" t="s">
        <v>74</v>
      </c>
      <c r="S773" t="s">
        <v>74</v>
      </c>
      <c r="T773" t="s">
        <v>14854</v>
      </c>
      <c r="U773" t="s">
        <v>14855</v>
      </c>
      <c r="V773" t="s">
        <v>14856</v>
      </c>
      <c r="W773" t="s">
        <v>14857</v>
      </c>
      <c r="X773" t="s">
        <v>14858</v>
      </c>
      <c r="Y773" t="s">
        <v>14859</v>
      </c>
      <c r="Z773" t="s">
        <v>14860</v>
      </c>
      <c r="AA773" t="s">
        <v>7783</v>
      </c>
      <c r="AB773" t="s">
        <v>7784</v>
      </c>
      <c r="AC773" t="s">
        <v>14861</v>
      </c>
      <c r="AD773" t="s">
        <v>14862</v>
      </c>
      <c r="AE773" t="s">
        <v>14863</v>
      </c>
      <c r="AF773" t="s">
        <v>74</v>
      </c>
      <c r="AG773">
        <v>34</v>
      </c>
      <c r="AH773">
        <v>30</v>
      </c>
      <c r="AI773">
        <v>36</v>
      </c>
      <c r="AJ773">
        <v>1</v>
      </c>
      <c r="AK773">
        <v>54</v>
      </c>
      <c r="AL773" t="s">
        <v>266</v>
      </c>
      <c r="AM773" t="s">
        <v>267</v>
      </c>
      <c r="AN773" t="s">
        <v>268</v>
      </c>
      <c r="AO773" t="s">
        <v>269</v>
      </c>
      <c r="AP773" t="s">
        <v>270</v>
      </c>
      <c r="AQ773" t="s">
        <v>74</v>
      </c>
      <c r="AR773" t="s">
        <v>271</v>
      </c>
      <c r="AS773" t="s">
        <v>272</v>
      </c>
      <c r="AT773" t="s">
        <v>14864</v>
      </c>
      <c r="AU773">
        <v>2015</v>
      </c>
      <c r="AV773">
        <v>42</v>
      </c>
      <c r="AW773">
        <v>1</v>
      </c>
      <c r="AX773" t="s">
        <v>74</v>
      </c>
      <c r="AY773" t="s">
        <v>74</v>
      </c>
      <c r="AZ773" t="s">
        <v>74</v>
      </c>
      <c r="BA773" t="s">
        <v>74</v>
      </c>
      <c r="BB773">
        <v>96</v>
      </c>
      <c r="BC773">
        <v>103</v>
      </c>
      <c r="BD773" t="s">
        <v>74</v>
      </c>
      <c r="BE773" t="s">
        <v>14865</v>
      </c>
      <c r="BF773" t="str">
        <f>HYPERLINK("http://dx.doi.org/10.1002/2014GL062431","http://dx.doi.org/10.1002/2014GL062431")</f>
        <v>http://dx.doi.org/10.1002/2014GL062431</v>
      </c>
      <c r="BG773" t="s">
        <v>74</v>
      </c>
      <c r="BH773" t="s">
        <v>74</v>
      </c>
      <c r="BI773">
        <v>8</v>
      </c>
      <c r="BJ773" t="s">
        <v>219</v>
      </c>
      <c r="BK773" t="s">
        <v>100</v>
      </c>
      <c r="BL773" t="s">
        <v>220</v>
      </c>
      <c r="BM773" t="s">
        <v>14866</v>
      </c>
      <c r="BN773" t="s">
        <v>74</v>
      </c>
      <c r="BO773" t="s">
        <v>293</v>
      </c>
      <c r="BP773" t="s">
        <v>74</v>
      </c>
      <c r="BQ773" t="s">
        <v>74</v>
      </c>
      <c r="BR773" t="s">
        <v>104</v>
      </c>
      <c r="BS773" t="s">
        <v>14867</v>
      </c>
      <c r="BT773" t="str">
        <f>HYPERLINK("https%3A%2F%2Fwww.webofscience.com%2Fwos%2Fwoscc%2Ffull-record%2FWOS:000349036500014","View Full Record in Web of Science")</f>
        <v>View Full Record in Web of Science</v>
      </c>
    </row>
    <row r="774" spans="1:72" x14ac:dyDescent="0.15">
      <c r="A774" t="s">
        <v>72</v>
      </c>
      <c r="B774" t="s">
        <v>14868</v>
      </c>
      <c r="C774" t="s">
        <v>74</v>
      </c>
      <c r="D774" t="s">
        <v>74</v>
      </c>
      <c r="E774" t="s">
        <v>74</v>
      </c>
      <c r="F774" t="s">
        <v>14869</v>
      </c>
      <c r="G774" t="s">
        <v>74</v>
      </c>
      <c r="H774" t="s">
        <v>74</v>
      </c>
      <c r="I774" t="s">
        <v>14870</v>
      </c>
      <c r="J774" t="s">
        <v>253</v>
      </c>
      <c r="K774" t="s">
        <v>74</v>
      </c>
      <c r="L774" t="s">
        <v>74</v>
      </c>
      <c r="M774" t="s">
        <v>78</v>
      </c>
      <c r="N774" t="s">
        <v>79</v>
      </c>
      <c r="O774" t="s">
        <v>74</v>
      </c>
      <c r="P774" t="s">
        <v>74</v>
      </c>
      <c r="Q774" t="s">
        <v>74</v>
      </c>
      <c r="R774" t="s">
        <v>74</v>
      </c>
      <c r="S774" t="s">
        <v>74</v>
      </c>
      <c r="T774" t="s">
        <v>14871</v>
      </c>
      <c r="U774" t="s">
        <v>14872</v>
      </c>
      <c r="V774" t="s">
        <v>14873</v>
      </c>
      <c r="W774" t="s">
        <v>14874</v>
      </c>
      <c r="X774" t="s">
        <v>14875</v>
      </c>
      <c r="Y774" t="s">
        <v>14876</v>
      </c>
      <c r="Z774" t="s">
        <v>14877</v>
      </c>
      <c r="AA774" t="s">
        <v>14878</v>
      </c>
      <c r="AB774" t="s">
        <v>14879</v>
      </c>
      <c r="AC774" t="s">
        <v>14880</v>
      </c>
      <c r="AD774" t="s">
        <v>14881</v>
      </c>
      <c r="AE774" t="s">
        <v>14882</v>
      </c>
      <c r="AF774" t="s">
        <v>74</v>
      </c>
      <c r="AG774">
        <v>47</v>
      </c>
      <c r="AH774">
        <v>49</v>
      </c>
      <c r="AI774">
        <v>50</v>
      </c>
      <c r="AJ774">
        <v>1</v>
      </c>
      <c r="AK774">
        <v>32</v>
      </c>
      <c r="AL774" t="s">
        <v>266</v>
      </c>
      <c r="AM774" t="s">
        <v>267</v>
      </c>
      <c r="AN774" t="s">
        <v>268</v>
      </c>
      <c r="AO774" t="s">
        <v>269</v>
      </c>
      <c r="AP774" t="s">
        <v>270</v>
      </c>
      <c r="AQ774" t="s">
        <v>74</v>
      </c>
      <c r="AR774" t="s">
        <v>271</v>
      </c>
      <c r="AS774" t="s">
        <v>272</v>
      </c>
      <c r="AT774" t="s">
        <v>14864</v>
      </c>
      <c r="AU774">
        <v>2015</v>
      </c>
      <c r="AV774">
        <v>42</v>
      </c>
      <c r="AW774">
        <v>1</v>
      </c>
      <c r="AX774" t="s">
        <v>74</v>
      </c>
      <c r="AY774" t="s">
        <v>74</v>
      </c>
      <c r="AZ774" t="s">
        <v>74</v>
      </c>
      <c r="BA774" t="s">
        <v>74</v>
      </c>
      <c r="BB774">
        <v>84</v>
      </c>
      <c r="BC774">
        <v>89</v>
      </c>
      <c r="BD774" t="s">
        <v>74</v>
      </c>
      <c r="BE774" t="s">
        <v>14883</v>
      </c>
      <c r="BF774" t="str">
        <f>HYPERLINK("http://dx.doi.org/10.1002/2014GL062218","http://dx.doi.org/10.1002/2014GL062218")</f>
        <v>http://dx.doi.org/10.1002/2014GL062218</v>
      </c>
      <c r="BG774" t="s">
        <v>74</v>
      </c>
      <c r="BH774" t="s">
        <v>74</v>
      </c>
      <c r="BI774">
        <v>6</v>
      </c>
      <c r="BJ774" t="s">
        <v>219</v>
      </c>
      <c r="BK774" t="s">
        <v>100</v>
      </c>
      <c r="BL774" t="s">
        <v>220</v>
      </c>
      <c r="BM774" t="s">
        <v>14866</v>
      </c>
      <c r="BN774" t="s">
        <v>74</v>
      </c>
      <c r="BO774" t="s">
        <v>156</v>
      </c>
      <c r="BP774" t="s">
        <v>74</v>
      </c>
      <c r="BQ774" t="s">
        <v>74</v>
      </c>
      <c r="BR774" t="s">
        <v>104</v>
      </c>
      <c r="BS774" t="s">
        <v>14884</v>
      </c>
      <c r="BT774" t="str">
        <f>HYPERLINK("https%3A%2F%2Fwww.webofscience.com%2Fwos%2Fwoscc%2Ffull-record%2FWOS:000349036500012","View Full Record in Web of Science")</f>
        <v>View Full Record in Web of Science</v>
      </c>
    </row>
    <row r="775" spans="1:72" x14ac:dyDescent="0.15">
      <c r="A775" t="s">
        <v>72</v>
      </c>
      <c r="B775" t="s">
        <v>14885</v>
      </c>
      <c r="C775" t="s">
        <v>74</v>
      </c>
      <c r="D775" t="s">
        <v>74</v>
      </c>
      <c r="E775" t="s">
        <v>74</v>
      </c>
      <c r="F775" t="s">
        <v>14886</v>
      </c>
      <c r="G775" t="s">
        <v>74</v>
      </c>
      <c r="H775" t="s">
        <v>74</v>
      </c>
      <c r="I775" t="s">
        <v>14887</v>
      </c>
      <c r="J775" t="s">
        <v>253</v>
      </c>
      <c r="K775" t="s">
        <v>74</v>
      </c>
      <c r="L775" t="s">
        <v>74</v>
      </c>
      <c r="M775" t="s">
        <v>78</v>
      </c>
      <c r="N775" t="s">
        <v>79</v>
      </c>
      <c r="O775" t="s">
        <v>74</v>
      </c>
      <c r="P775" t="s">
        <v>74</v>
      </c>
      <c r="Q775" t="s">
        <v>74</v>
      </c>
      <c r="R775" t="s">
        <v>74</v>
      </c>
      <c r="S775" t="s">
        <v>74</v>
      </c>
      <c r="T775" t="s">
        <v>14888</v>
      </c>
      <c r="U775" t="s">
        <v>14889</v>
      </c>
      <c r="V775" t="s">
        <v>14890</v>
      </c>
      <c r="W775" t="s">
        <v>14891</v>
      </c>
      <c r="X775" t="s">
        <v>14892</v>
      </c>
      <c r="Y775" t="s">
        <v>14893</v>
      </c>
      <c r="Z775" t="s">
        <v>14894</v>
      </c>
      <c r="AA775" t="s">
        <v>74</v>
      </c>
      <c r="AB775" t="s">
        <v>14895</v>
      </c>
      <c r="AC775" t="s">
        <v>14896</v>
      </c>
      <c r="AD775" t="s">
        <v>14897</v>
      </c>
      <c r="AE775" t="s">
        <v>14898</v>
      </c>
      <c r="AF775" t="s">
        <v>74</v>
      </c>
      <c r="AG775">
        <v>31</v>
      </c>
      <c r="AH775">
        <v>48</v>
      </c>
      <c r="AI775">
        <v>54</v>
      </c>
      <c r="AJ775">
        <v>0</v>
      </c>
      <c r="AK775">
        <v>40</v>
      </c>
      <c r="AL775" t="s">
        <v>266</v>
      </c>
      <c r="AM775" t="s">
        <v>267</v>
      </c>
      <c r="AN775" t="s">
        <v>268</v>
      </c>
      <c r="AO775" t="s">
        <v>269</v>
      </c>
      <c r="AP775" t="s">
        <v>270</v>
      </c>
      <c r="AQ775" t="s">
        <v>74</v>
      </c>
      <c r="AR775" t="s">
        <v>271</v>
      </c>
      <c r="AS775" t="s">
        <v>272</v>
      </c>
      <c r="AT775" t="s">
        <v>14864</v>
      </c>
      <c r="AU775">
        <v>2015</v>
      </c>
      <c r="AV775">
        <v>42</v>
      </c>
      <c r="AW775">
        <v>1</v>
      </c>
      <c r="AX775" t="s">
        <v>74</v>
      </c>
      <c r="AY775" t="s">
        <v>74</v>
      </c>
      <c r="AZ775" t="s">
        <v>74</v>
      </c>
      <c r="BA775" t="s">
        <v>74</v>
      </c>
      <c r="BB775">
        <v>90</v>
      </c>
      <c r="BC775">
        <v>95</v>
      </c>
      <c r="BD775" t="s">
        <v>74</v>
      </c>
      <c r="BE775" t="s">
        <v>14899</v>
      </c>
      <c r="BF775" t="str">
        <f>HYPERLINK("http://dx.doi.org/10.1002/2014GL062231","http://dx.doi.org/10.1002/2014GL062231")</f>
        <v>http://dx.doi.org/10.1002/2014GL062231</v>
      </c>
      <c r="BG775" t="s">
        <v>74</v>
      </c>
      <c r="BH775" t="s">
        <v>74</v>
      </c>
      <c r="BI775">
        <v>6</v>
      </c>
      <c r="BJ775" t="s">
        <v>219</v>
      </c>
      <c r="BK775" t="s">
        <v>100</v>
      </c>
      <c r="BL775" t="s">
        <v>220</v>
      </c>
      <c r="BM775" t="s">
        <v>14866</v>
      </c>
      <c r="BN775" t="s">
        <v>74</v>
      </c>
      <c r="BO775" t="s">
        <v>74</v>
      </c>
      <c r="BP775" t="s">
        <v>74</v>
      </c>
      <c r="BQ775" t="s">
        <v>74</v>
      </c>
      <c r="BR775" t="s">
        <v>104</v>
      </c>
      <c r="BS775" t="s">
        <v>14900</v>
      </c>
      <c r="BT775" t="str">
        <f>HYPERLINK("https%3A%2F%2Fwww.webofscience.com%2Fwos%2Fwoscc%2Ffull-record%2FWOS:000349036500013","View Full Record in Web of Science")</f>
        <v>View Full Record in Web of Science</v>
      </c>
    </row>
    <row r="776" spans="1:72" x14ac:dyDescent="0.15">
      <c r="A776" t="s">
        <v>72</v>
      </c>
      <c r="B776" t="s">
        <v>14901</v>
      </c>
      <c r="C776" t="s">
        <v>74</v>
      </c>
      <c r="D776" t="s">
        <v>74</v>
      </c>
      <c r="E776" t="s">
        <v>74</v>
      </c>
      <c r="F776" t="s">
        <v>14902</v>
      </c>
      <c r="G776" t="s">
        <v>74</v>
      </c>
      <c r="H776" t="s">
        <v>74</v>
      </c>
      <c r="I776" t="s">
        <v>14903</v>
      </c>
      <c r="J776" t="s">
        <v>253</v>
      </c>
      <c r="K776" t="s">
        <v>74</v>
      </c>
      <c r="L776" t="s">
        <v>74</v>
      </c>
      <c r="M776" t="s">
        <v>78</v>
      </c>
      <c r="N776" t="s">
        <v>79</v>
      </c>
      <c r="O776" t="s">
        <v>74</v>
      </c>
      <c r="P776" t="s">
        <v>74</v>
      </c>
      <c r="Q776" t="s">
        <v>74</v>
      </c>
      <c r="R776" t="s">
        <v>74</v>
      </c>
      <c r="S776" t="s">
        <v>74</v>
      </c>
      <c r="T776" t="s">
        <v>14904</v>
      </c>
      <c r="U776" t="s">
        <v>14905</v>
      </c>
      <c r="V776" t="s">
        <v>14906</v>
      </c>
      <c r="W776" t="s">
        <v>14907</v>
      </c>
      <c r="X776" t="s">
        <v>14908</v>
      </c>
      <c r="Y776" t="s">
        <v>14909</v>
      </c>
      <c r="Z776" t="s">
        <v>14910</v>
      </c>
      <c r="AA776" t="s">
        <v>14911</v>
      </c>
      <c r="AB776" t="s">
        <v>14912</v>
      </c>
      <c r="AC776" t="s">
        <v>14913</v>
      </c>
      <c r="AD776" t="s">
        <v>14914</v>
      </c>
      <c r="AE776" t="s">
        <v>14915</v>
      </c>
      <c r="AF776" t="s">
        <v>74</v>
      </c>
      <c r="AG776">
        <v>47</v>
      </c>
      <c r="AH776">
        <v>99</v>
      </c>
      <c r="AI776">
        <v>105</v>
      </c>
      <c r="AJ776">
        <v>1</v>
      </c>
      <c r="AK776">
        <v>51</v>
      </c>
      <c r="AL776" t="s">
        <v>266</v>
      </c>
      <c r="AM776" t="s">
        <v>267</v>
      </c>
      <c r="AN776" t="s">
        <v>268</v>
      </c>
      <c r="AO776" t="s">
        <v>269</v>
      </c>
      <c r="AP776" t="s">
        <v>270</v>
      </c>
      <c r="AQ776" t="s">
        <v>74</v>
      </c>
      <c r="AR776" t="s">
        <v>271</v>
      </c>
      <c r="AS776" t="s">
        <v>272</v>
      </c>
      <c r="AT776" t="s">
        <v>14864</v>
      </c>
      <c r="AU776">
        <v>2015</v>
      </c>
      <c r="AV776">
        <v>42</v>
      </c>
      <c r="AW776">
        <v>1</v>
      </c>
      <c r="AX776" t="s">
        <v>74</v>
      </c>
      <c r="AY776" t="s">
        <v>74</v>
      </c>
      <c r="AZ776" t="s">
        <v>74</v>
      </c>
      <c r="BA776" t="s">
        <v>74</v>
      </c>
      <c r="BB776">
        <v>129</v>
      </c>
      <c r="BC776">
        <v>137</v>
      </c>
      <c r="BD776" t="s">
        <v>74</v>
      </c>
      <c r="BE776" t="s">
        <v>14916</v>
      </c>
      <c r="BF776" t="str">
        <f>HYPERLINK("http://dx.doi.org/10.1002/2014GL062447","http://dx.doi.org/10.1002/2014GL062447")</f>
        <v>http://dx.doi.org/10.1002/2014GL062447</v>
      </c>
      <c r="BG776" t="s">
        <v>74</v>
      </c>
      <c r="BH776" t="s">
        <v>74</v>
      </c>
      <c r="BI776">
        <v>9</v>
      </c>
      <c r="BJ776" t="s">
        <v>219</v>
      </c>
      <c r="BK776" t="s">
        <v>100</v>
      </c>
      <c r="BL776" t="s">
        <v>220</v>
      </c>
      <c r="BM776" t="s">
        <v>14866</v>
      </c>
      <c r="BN776" t="s">
        <v>74</v>
      </c>
      <c r="BO776" t="s">
        <v>733</v>
      </c>
      <c r="BP776" t="s">
        <v>74</v>
      </c>
      <c r="BQ776" t="s">
        <v>74</v>
      </c>
      <c r="BR776" t="s">
        <v>104</v>
      </c>
      <c r="BS776" t="s">
        <v>14917</v>
      </c>
      <c r="BT776" t="str">
        <f>HYPERLINK("https%3A%2F%2Fwww.webofscience.com%2Fwos%2Fwoscc%2Ffull-record%2FWOS:000349036500018","View Full Record in Web of Science")</f>
        <v>View Full Record in Web of Science</v>
      </c>
    </row>
    <row r="777" spans="1:72" x14ac:dyDescent="0.15">
      <c r="A777" t="s">
        <v>72</v>
      </c>
      <c r="B777" t="s">
        <v>14918</v>
      </c>
      <c r="C777" t="s">
        <v>74</v>
      </c>
      <c r="D777" t="s">
        <v>74</v>
      </c>
      <c r="E777" t="s">
        <v>74</v>
      </c>
      <c r="F777" t="s">
        <v>14919</v>
      </c>
      <c r="G777" t="s">
        <v>74</v>
      </c>
      <c r="H777" t="s">
        <v>74</v>
      </c>
      <c r="I777" t="s">
        <v>14920</v>
      </c>
      <c r="J777" t="s">
        <v>253</v>
      </c>
      <c r="K777" t="s">
        <v>74</v>
      </c>
      <c r="L777" t="s">
        <v>74</v>
      </c>
      <c r="M777" t="s">
        <v>78</v>
      </c>
      <c r="N777" t="s">
        <v>79</v>
      </c>
      <c r="O777" t="s">
        <v>74</v>
      </c>
      <c r="P777" t="s">
        <v>74</v>
      </c>
      <c r="Q777" t="s">
        <v>74</v>
      </c>
      <c r="R777" t="s">
        <v>74</v>
      </c>
      <c r="S777" t="s">
        <v>74</v>
      </c>
      <c r="T777" t="s">
        <v>14921</v>
      </c>
      <c r="U777" t="s">
        <v>14922</v>
      </c>
      <c r="V777" t="s">
        <v>14923</v>
      </c>
      <c r="W777" t="s">
        <v>14924</v>
      </c>
      <c r="X777" t="s">
        <v>14925</v>
      </c>
      <c r="Y777" t="s">
        <v>14926</v>
      </c>
      <c r="Z777" t="s">
        <v>14927</v>
      </c>
      <c r="AA777" t="s">
        <v>14928</v>
      </c>
      <c r="AB777" t="s">
        <v>14929</v>
      </c>
      <c r="AC777" t="s">
        <v>14930</v>
      </c>
      <c r="AD777" t="s">
        <v>14931</v>
      </c>
      <c r="AE777" t="s">
        <v>14932</v>
      </c>
      <c r="AF777" t="s">
        <v>74</v>
      </c>
      <c r="AG777">
        <v>19</v>
      </c>
      <c r="AH777">
        <v>17</v>
      </c>
      <c r="AI777">
        <v>18</v>
      </c>
      <c r="AJ777">
        <v>1</v>
      </c>
      <c r="AK777">
        <v>10</v>
      </c>
      <c r="AL777" t="s">
        <v>266</v>
      </c>
      <c r="AM777" t="s">
        <v>267</v>
      </c>
      <c r="AN777" t="s">
        <v>268</v>
      </c>
      <c r="AO777" t="s">
        <v>269</v>
      </c>
      <c r="AP777" t="s">
        <v>270</v>
      </c>
      <c r="AQ777" t="s">
        <v>74</v>
      </c>
      <c r="AR777" t="s">
        <v>271</v>
      </c>
      <c r="AS777" t="s">
        <v>272</v>
      </c>
      <c r="AT777" t="s">
        <v>14864</v>
      </c>
      <c r="AU777">
        <v>2015</v>
      </c>
      <c r="AV777">
        <v>42</v>
      </c>
      <c r="AW777">
        <v>1</v>
      </c>
      <c r="AX777" t="s">
        <v>74</v>
      </c>
      <c r="AY777" t="s">
        <v>74</v>
      </c>
      <c r="AZ777" t="s">
        <v>74</v>
      </c>
      <c r="BA777" t="s">
        <v>74</v>
      </c>
      <c r="BB777">
        <v>162</v>
      </c>
      <c r="BC777">
        <v>168</v>
      </c>
      <c r="BD777" t="s">
        <v>74</v>
      </c>
      <c r="BE777" t="s">
        <v>14933</v>
      </c>
      <c r="BF777" t="str">
        <f>HYPERLINK("http://dx.doi.org/10.1002/2014GL062142","http://dx.doi.org/10.1002/2014GL062142")</f>
        <v>http://dx.doi.org/10.1002/2014GL062142</v>
      </c>
      <c r="BG777" t="s">
        <v>74</v>
      </c>
      <c r="BH777" t="s">
        <v>74</v>
      </c>
      <c r="BI777">
        <v>7</v>
      </c>
      <c r="BJ777" t="s">
        <v>219</v>
      </c>
      <c r="BK777" t="s">
        <v>100</v>
      </c>
      <c r="BL777" t="s">
        <v>220</v>
      </c>
      <c r="BM777" t="s">
        <v>14866</v>
      </c>
      <c r="BN777" t="s">
        <v>74</v>
      </c>
      <c r="BO777" t="s">
        <v>8301</v>
      </c>
      <c r="BP777" t="s">
        <v>74</v>
      </c>
      <c r="BQ777" t="s">
        <v>74</v>
      </c>
      <c r="BR777" t="s">
        <v>104</v>
      </c>
      <c r="BS777" t="s">
        <v>14934</v>
      </c>
      <c r="BT777" t="str">
        <f>HYPERLINK("https%3A%2F%2Fwww.webofscience.com%2Fwos%2Fwoscc%2Ffull-record%2FWOS:000349036500022","View Full Record in Web of Science")</f>
        <v>View Full Record in Web of Science</v>
      </c>
    </row>
    <row r="778" spans="1:72" x14ac:dyDescent="0.15">
      <c r="A778" t="s">
        <v>72</v>
      </c>
      <c r="B778" t="s">
        <v>14935</v>
      </c>
      <c r="C778" t="s">
        <v>74</v>
      </c>
      <c r="D778" t="s">
        <v>74</v>
      </c>
      <c r="E778" t="s">
        <v>74</v>
      </c>
      <c r="F778" t="s">
        <v>14936</v>
      </c>
      <c r="G778" t="s">
        <v>74</v>
      </c>
      <c r="H778" t="s">
        <v>74</v>
      </c>
      <c r="I778" t="s">
        <v>14937</v>
      </c>
      <c r="J778" t="s">
        <v>2694</v>
      </c>
      <c r="K778" t="s">
        <v>74</v>
      </c>
      <c r="L778" t="s">
        <v>74</v>
      </c>
      <c r="M778" t="s">
        <v>78</v>
      </c>
      <c r="N778" t="s">
        <v>79</v>
      </c>
      <c r="O778" t="s">
        <v>74</v>
      </c>
      <c r="P778" t="s">
        <v>74</v>
      </c>
      <c r="Q778" t="s">
        <v>74</v>
      </c>
      <c r="R778" t="s">
        <v>74</v>
      </c>
      <c r="S778" t="s">
        <v>74</v>
      </c>
      <c r="T778" t="s">
        <v>14938</v>
      </c>
      <c r="U778" t="s">
        <v>14939</v>
      </c>
      <c r="V778" t="s">
        <v>14940</v>
      </c>
      <c r="W778" t="s">
        <v>14941</v>
      </c>
      <c r="X778" t="s">
        <v>14942</v>
      </c>
      <c r="Y778" t="s">
        <v>14943</v>
      </c>
      <c r="Z778" t="s">
        <v>14944</v>
      </c>
      <c r="AA778" t="s">
        <v>14945</v>
      </c>
      <c r="AB778" t="s">
        <v>14946</v>
      </c>
      <c r="AC778" t="s">
        <v>14947</v>
      </c>
      <c r="AD778" t="s">
        <v>14948</v>
      </c>
      <c r="AE778" t="s">
        <v>14949</v>
      </c>
      <c r="AF778" t="s">
        <v>74</v>
      </c>
      <c r="AG778">
        <v>64</v>
      </c>
      <c r="AH778">
        <v>17</v>
      </c>
      <c r="AI778">
        <v>18</v>
      </c>
      <c r="AJ778">
        <v>1</v>
      </c>
      <c r="AK778">
        <v>15</v>
      </c>
      <c r="AL778" t="s">
        <v>815</v>
      </c>
      <c r="AM778" t="s">
        <v>816</v>
      </c>
      <c r="AN778" t="s">
        <v>817</v>
      </c>
      <c r="AO778" t="s">
        <v>2707</v>
      </c>
      <c r="AP778" t="s">
        <v>2708</v>
      </c>
      <c r="AQ778" t="s">
        <v>74</v>
      </c>
      <c r="AR778" t="s">
        <v>2709</v>
      </c>
      <c r="AS778" t="s">
        <v>2710</v>
      </c>
      <c r="AT778" t="s">
        <v>14950</v>
      </c>
      <c r="AU778">
        <v>2015</v>
      </c>
      <c r="AV778">
        <v>418</v>
      </c>
      <c r="AW778" t="s">
        <v>74</v>
      </c>
      <c r="AX778" t="s">
        <v>74</v>
      </c>
      <c r="AY778" t="s">
        <v>74</v>
      </c>
      <c r="AZ778" t="s">
        <v>74</v>
      </c>
      <c r="BA778" t="s">
        <v>74</v>
      </c>
      <c r="BB778">
        <v>12</v>
      </c>
      <c r="BC778">
        <v>18</v>
      </c>
      <c r="BD778" t="s">
        <v>74</v>
      </c>
      <c r="BE778" t="s">
        <v>14951</v>
      </c>
      <c r="BF778" t="str">
        <f>HYPERLINK("http://dx.doi.org/10.1016/j.palaeo.2014.11.012","http://dx.doi.org/10.1016/j.palaeo.2014.11.012")</f>
        <v>http://dx.doi.org/10.1016/j.palaeo.2014.11.012</v>
      </c>
      <c r="BG778" t="s">
        <v>74</v>
      </c>
      <c r="BH778" t="s">
        <v>74</v>
      </c>
      <c r="BI778">
        <v>7</v>
      </c>
      <c r="BJ778" t="s">
        <v>2712</v>
      </c>
      <c r="BK778" t="s">
        <v>100</v>
      </c>
      <c r="BL778" t="s">
        <v>2713</v>
      </c>
      <c r="BM778" t="s">
        <v>14952</v>
      </c>
      <c r="BN778" t="s">
        <v>74</v>
      </c>
      <c r="BO778" t="s">
        <v>559</v>
      </c>
      <c r="BP778" t="s">
        <v>74</v>
      </c>
      <c r="BQ778" t="s">
        <v>74</v>
      </c>
      <c r="BR778" t="s">
        <v>104</v>
      </c>
      <c r="BS778" t="s">
        <v>14953</v>
      </c>
      <c r="BT778" t="str">
        <f>HYPERLINK("https%3A%2F%2Fwww.webofscience.com%2Fwos%2Fwoscc%2Ffull-record%2FWOS:000349804100002","View Full Record in Web of Science")</f>
        <v>View Full Record in Web of Science</v>
      </c>
    </row>
    <row r="779" spans="1:72" x14ac:dyDescent="0.15">
      <c r="A779" t="s">
        <v>72</v>
      </c>
      <c r="B779" t="s">
        <v>14954</v>
      </c>
      <c r="C779" t="s">
        <v>74</v>
      </c>
      <c r="D779" t="s">
        <v>74</v>
      </c>
      <c r="E779" t="s">
        <v>74</v>
      </c>
      <c r="F779" t="s">
        <v>14955</v>
      </c>
      <c r="G779" t="s">
        <v>74</v>
      </c>
      <c r="H779" t="s">
        <v>74</v>
      </c>
      <c r="I779" t="s">
        <v>14956</v>
      </c>
      <c r="J779" t="s">
        <v>848</v>
      </c>
      <c r="K779" t="s">
        <v>74</v>
      </c>
      <c r="L779" t="s">
        <v>74</v>
      </c>
      <c r="M779" t="s">
        <v>78</v>
      </c>
      <c r="N779" t="s">
        <v>79</v>
      </c>
      <c r="O779" t="s">
        <v>74</v>
      </c>
      <c r="P779" t="s">
        <v>74</v>
      </c>
      <c r="Q779" t="s">
        <v>74</v>
      </c>
      <c r="R779" t="s">
        <v>74</v>
      </c>
      <c r="S779" t="s">
        <v>74</v>
      </c>
      <c r="T779" t="s">
        <v>14957</v>
      </c>
      <c r="U779" t="s">
        <v>14958</v>
      </c>
      <c r="V779" t="s">
        <v>14959</v>
      </c>
      <c r="W779" t="s">
        <v>14960</v>
      </c>
      <c r="X779" t="s">
        <v>14961</v>
      </c>
      <c r="Y779" t="s">
        <v>14962</v>
      </c>
      <c r="Z779" t="s">
        <v>14963</v>
      </c>
      <c r="AA779" t="s">
        <v>14964</v>
      </c>
      <c r="AB779" t="s">
        <v>14965</v>
      </c>
      <c r="AC779" t="s">
        <v>14966</v>
      </c>
      <c r="AD779" t="s">
        <v>14967</v>
      </c>
      <c r="AE779" t="s">
        <v>14968</v>
      </c>
      <c r="AF779" t="s">
        <v>74</v>
      </c>
      <c r="AG779">
        <v>76</v>
      </c>
      <c r="AH779">
        <v>74</v>
      </c>
      <c r="AI779">
        <v>77</v>
      </c>
      <c r="AJ779">
        <v>2</v>
      </c>
      <c r="AK779">
        <v>36</v>
      </c>
      <c r="AL779" t="s">
        <v>815</v>
      </c>
      <c r="AM779" t="s">
        <v>816</v>
      </c>
      <c r="AN779" t="s">
        <v>817</v>
      </c>
      <c r="AO779" t="s">
        <v>858</v>
      </c>
      <c r="AP779" t="s">
        <v>859</v>
      </c>
      <c r="AQ779" t="s">
        <v>74</v>
      </c>
      <c r="AR779" t="s">
        <v>860</v>
      </c>
      <c r="AS779" t="s">
        <v>861</v>
      </c>
      <c r="AT779" t="s">
        <v>14950</v>
      </c>
      <c r="AU779">
        <v>2015</v>
      </c>
      <c r="AV779">
        <v>410</v>
      </c>
      <c r="AW779" t="s">
        <v>74</v>
      </c>
      <c r="AX779" t="s">
        <v>74</v>
      </c>
      <c r="AY779" t="s">
        <v>74</v>
      </c>
      <c r="AZ779" t="s">
        <v>74</v>
      </c>
      <c r="BA779" t="s">
        <v>74</v>
      </c>
      <c r="BB779">
        <v>1</v>
      </c>
      <c r="BC779">
        <v>11</v>
      </c>
      <c r="BD779" t="s">
        <v>74</v>
      </c>
      <c r="BE779" t="s">
        <v>14969</v>
      </c>
      <c r="BF779" t="str">
        <f>HYPERLINK("http://dx.doi.org/10.1016/j.epsl.2014.11.012","http://dx.doi.org/10.1016/j.epsl.2014.11.012")</f>
        <v>http://dx.doi.org/10.1016/j.epsl.2014.11.012</v>
      </c>
      <c r="BG779" t="s">
        <v>74</v>
      </c>
      <c r="BH779" t="s">
        <v>74</v>
      </c>
      <c r="BI779">
        <v>11</v>
      </c>
      <c r="BJ779" t="s">
        <v>863</v>
      </c>
      <c r="BK779" t="s">
        <v>100</v>
      </c>
      <c r="BL779" t="s">
        <v>863</v>
      </c>
      <c r="BM779" t="s">
        <v>14970</v>
      </c>
      <c r="BN779" t="s">
        <v>74</v>
      </c>
      <c r="BO779" t="s">
        <v>74</v>
      </c>
      <c r="BP779" t="s">
        <v>74</v>
      </c>
      <c r="BQ779" t="s">
        <v>74</v>
      </c>
      <c r="BR779" t="s">
        <v>104</v>
      </c>
      <c r="BS779" t="s">
        <v>14971</v>
      </c>
      <c r="BT779" t="str">
        <f>HYPERLINK("https%3A%2F%2Fwww.webofscience.com%2Fwos%2Fwoscc%2Ffull-record%2FWOS:000349196400001","View Full Record in Web of Science")</f>
        <v>View Full Record in Web of Science</v>
      </c>
    </row>
    <row r="780" spans="1:72" x14ac:dyDescent="0.15">
      <c r="A780" t="s">
        <v>72</v>
      </c>
      <c r="B780" t="s">
        <v>14972</v>
      </c>
      <c r="C780" t="s">
        <v>74</v>
      </c>
      <c r="D780" t="s">
        <v>74</v>
      </c>
      <c r="E780" t="s">
        <v>74</v>
      </c>
      <c r="F780" t="s">
        <v>14973</v>
      </c>
      <c r="G780" t="s">
        <v>74</v>
      </c>
      <c r="H780" t="s">
        <v>74</v>
      </c>
      <c r="I780" t="s">
        <v>14974</v>
      </c>
      <c r="J780" t="s">
        <v>848</v>
      </c>
      <c r="K780" t="s">
        <v>74</v>
      </c>
      <c r="L780" t="s">
        <v>74</v>
      </c>
      <c r="M780" t="s">
        <v>78</v>
      </c>
      <c r="N780" t="s">
        <v>79</v>
      </c>
      <c r="O780" t="s">
        <v>74</v>
      </c>
      <c r="P780" t="s">
        <v>74</v>
      </c>
      <c r="Q780" t="s">
        <v>74</v>
      </c>
      <c r="R780" t="s">
        <v>74</v>
      </c>
      <c r="S780" t="s">
        <v>74</v>
      </c>
      <c r="T780" t="s">
        <v>14975</v>
      </c>
      <c r="U780" t="s">
        <v>14976</v>
      </c>
      <c r="V780" t="s">
        <v>14977</v>
      </c>
      <c r="W780" t="s">
        <v>14978</v>
      </c>
      <c r="X780" t="s">
        <v>14979</v>
      </c>
      <c r="Y780" t="s">
        <v>14980</v>
      </c>
      <c r="Z780" t="s">
        <v>14981</v>
      </c>
      <c r="AA780" t="s">
        <v>14982</v>
      </c>
      <c r="AB780" t="s">
        <v>14983</v>
      </c>
      <c r="AC780" t="s">
        <v>14984</v>
      </c>
      <c r="AD780" t="s">
        <v>14985</v>
      </c>
      <c r="AE780" t="s">
        <v>14986</v>
      </c>
      <c r="AF780" t="s">
        <v>74</v>
      </c>
      <c r="AG780">
        <v>75</v>
      </c>
      <c r="AH780">
        <v>75</v>
      </c>
      <c r="AI780">
        <v>80</v>
      </c>
      <c r="AJ780">
        <v>0</v>
      </c>
      <c r="AK780">
        <v>35</v>
      </c>
      <c r="AL780" t="s">
        <v>1039</v>
      </c>
      <c r="AM780" t="s">
        <v>816</v>
      </c>
      <c r="AN780" t="s">
        <v>1040</v>
      </c>
      <c r="AO780" t="s">
        <v>858</v>
      </c>
      <c r="AP780" t="s">
        <v>859</v>
      </c>
      <c r="AQ780" t="s">
        <v>74</v>
      </c>
      <c r="AR780" t="s">
        <v>860</v>
      </c>
      <c r="AS780" t="s">
        <v>861</v>
      </c>
      <c r="AT780" t="s">
        <v>14950</v>
      </c>
      <c r="AU780">
        <v>2015</v>
      </c>
      <c r="AV780">
        <v>410</v>
      </c>
      <c r="AW780" t="s">
        <v>74</v>
      </c>
      <c r="AX780" t="s">
        <v>74</v>
      </c>
      <c r="AY780" t="s">
        <v>74</v>
      </c>
      <c r="AZ780" t="s">
        <v>74</v>
      </c>
      <c r="BA780" t="s">
        <v>74</v>
      </c>
      <c r="BB780">
        <v>140</v>
      </c>
      <c r="BC780">
        <v>151</v>
      </c>
      <c r="BD780" t="s">
        <v>74</v>
      </c>
      <c r="BE780" t="s">
        <v>14987</v>
      </c>
      <c r="BF780" t="str">
        <f>HYPERLINK("http://dx.doi.org/10.1016/j.epsl.2014.11.022","http://dx.doi.org/10.1016/j.epsl.2014.11.022")</f>
        <v>http://dx.doi.org/10.1016/j.epsl.2014.11.022</v>
      </c>
      <c r="BG780" t="s">
        <v>74</v>
      </c>
      <c r="BH780" t="s">
        <v>74</v>
      </c>
      <c r="BI780">
        <v>12</v>
      </c>
      <c r="BJ780" t="s">
        <v>863</v>
      </c>
      <c r="BK780" t="s">
        <v>100</v>
      </c>
      <c r="BL780" t="s">
        <v>863</v>
      </c>
      <c r="BM780" t="s">
        <v>14970</v>
      </c>
      <c r="BN780" t="s">
        <v>74</v>
      </c>
      <c r="BO780" t="s">
        <v>74</v>
      </c>
      <c r="BP780" t="s">
        <v>74</v>
      </c>
      <c r="BQ780" t="s">
        <v>74</v>
      </c>
      <c r="BR780" t="s">
        <v>104</v>
      </c>
      <c r="BS780" t="s">
        <v>14988</v>
      </c>
      <c r="BT780" t="str">
        <f>HYPERLINK("https%3A%2F%2Fwww.webofscience.com%2Fwos%2Fwoscc%2Ffull-record%2FWOS:000349196400014","View Full Record in Web of Science")</f>
        <v>View Full Record in Web of Science</v>
      </c>
    </row>
    <row r="781" spans="1:72" x14ac:dyDescent="0.15">
      <c r="A781" t="s">
        <v>72</v>
      </c>
      <c r="B781" t="s">
        <v>14989</v>
      </c>
      <c r="C781" t="s">
        <v>74</v>
      </c>
      <c r="D781" t="s">
        <v>74</v>
      </c>
      <c r="E781" t="s">
        <v>74</v>
      </c>
      <c r="F781" t="s">
        <v>14990</v>
      </c>
      <c r="G781" t="s">
        <v>74</v>
      </c>
      <c r="H781" t="s">
        <v>74</v>
      </c>
      <c r="I781" t="s">
        <v>14991</v>
      </c>
      <c r="J781" t="s">
        <v>848</v>
      </c>
      <c r="K781" t="s">
        <v>74</v>
      </c>
      <c r="L781" t="s">
        <v>74</v>
      </c>
      <c r="M781" t="s">
        <v>78</v>
      </c>
      <c r="N781" t="s">
        <v>79</v>
      </c>
      <c r="O781" t="s">
        <v>74</v>
      </c>
      <c r="P781" t="s">
        <v>74</v>
      </c>
      <c r="Q781" t="s">
        <v>74</v>
      </c>
      <c r="R781" t="s">
        <v>74</v>
      </c>
      <c r="S781" t="s">
        <v>74</v>
      </c>
      <c r="T781" t="s">
        <v>14992</v>
      </c>
      <c r="U781" t="s">
        <v>14993</v>
      </c>
      <c r="V781" t="s">
        <v>14994</v>
      </c>
      <c r="W781" t="s">
        <v>14995</v>
      </c>
      <c r="X781" t="s">
        <v>14996</v>
      </c>
      <c r="Y781" t="s">
        <v>14997</v>
      </c>
      <c r="Z781" t="s">
        <v>14998</v>
      </c>
      <c r="AA781" t="s">
        <v>14999</v>
      </c>
      <c r="AB781" t="s">
        <v>15000</v>
      </c>
      <c r="AC781" t="s">
        <v>15001</v>
      </c>
      <c r="AD781" t="s">
        <v>15002</v>
      </c>
      <c r="AE781" t="s">
        <v>15003</v>
      </c>
      <c r="AF781" t="s">
        <v>74</v>
      </c>
      <c r="AG781">
        <v>101</v>
      </c>
      <c r="AH781">
        <v>16</v>
      </c>
      <c r="AI781">
        <v>17</v>
      </c>
      <c r="AJ781">
        <v>0</v>
      </c>
      <c r="AK781">
        <v>42</v>
      </c>
      <c r="AL781" t="s">
        <v>1039</v>
      </c>
      <c r="AM781" t="s">
        <v>816</v>
      </c>
      <c r="AN781" t="s">
        <v>1040</v>
      </c>
      <c r="AO781" t="s">
        <v>858</v>
      </c>
      <c r="AP781" t="s">
        <v>859</v>
      </c>
      <c r="AQ781" t="s">
        <v>74</v>
      </c>
      <c r="AR781" t="s">
        <v>860</v>
      </c>
      <c r="AS781" t="s">
        <v>861</v>
      </c>
      <c r="AT781" t="s">
        <v>14950</v>
      </c>
      <c r="AU781">
        <v>2015</v>
      </c>
      <c r="AV781">
        <v>410</v>
      </c>
      <c r="AW781" t="s">
        <v>74</v>
      </c>
      <c r="AX781" t="s">
        <v>74</v>
      </c>
      <c r="AY781" t="s">
        <v>74</v>
      </c>
      <c r="AZ781" t="s">
        <v>74</v>
      </c>
      <c r="BA781" t="s">
        <v>74</v>
      </c>
      <c r="BB781">
        <v>152</v>
      </c>
      <c r="BC781">
        <v>164</v>
      </c>
      <c r="BD781" t="s">
        <v>74</v>
      </c>
      <c r="BE781" t="s">
        <v>15004</v>
      </c>
      <c r="BF781" t="str">
        <f>HYPERLINK("http://dx.doi.org/10.1016/j.epsl.2014.11.031","http://dx.doi.org/10.1016/j.epsl.2014.11.031")</f>
        <v>http://dx.doi.org/10.1016/j.epsl.2014.11.031</v>
      </c>
      <c r="BG781" t="s">
        <v>74</v>
      </c>
      <c r="BH781" t="s">
        <v>74</v>
      </c>
      <c r="BI781">
        <v>13</v>
      </c>
      <c r="BJ781" t="s">
        <v>863</v>
      </c>
      <c r="BK781" t="s">
        <v>100</v>
      </c>
      <c r="BL781" t="s">
        <v>863</v>
      </c>
      <c r="BM781" t="s">
        <v>14970</v>
      </c>
      <c r="BN781" t="s">
        <v>74</v>
      </c>
      <c r="BO781" t="s">
        <v>74</v>
      </c>
      <c r="BP781" t="s">
        <v>74</v>
      </c>
      <c r="BQ781" t="s">
        <v>74</v>
      </c>
      <c r="BR781" t="s">
        <v>104</v>
      </c>
      <c r="BS781" t="s">
        <v>15005</v>
      </c>
      <c r="BT781" t="str">
        <f>HYPERLINK("https%3A%2F%2Fwww.webofscience.com%2Fwos%2Fwoscc%2Ffull-record%2FWOS:000349196400015","View Full Record in Web of Science")</f>
        <v>View Full Record in Web of Science</v>
      </c>
    </row>
    <row r="782" spans="1:72" x14ac:dyDescent="0.15">
      <c r="A782" t="s">
        <v>72</v>
      </c>
      <c r="B782" t="s">
        <v>15006</v>
      </c>
      <c r="C782" t="s">
        <v>74</v>
      </c>
      <c r="D782" t="s">
        <v>74</v>
      </c>
      <c r="E782" t="s">
        <v>74</v>
      </c>
      <c r="F782" t="s">
        <v>15007</v>
      </c>
      <c r="G782" t="s">
        <v>74</v>
      </c>
      <c r="H782" t="s">
        <v>74</v>
      </c>
      <c r="I782" t="s">
        <v>15008</v>
      </c>
      <c r="J782" t="s">
        <v>4694</v>
      </c>
      <c r="K782" t="s">
        <v>74</v>
      </c>
      <c r="L782" t="s">
        <v>74</v>
      </c>
      <c r="M782" t="s">
        <v>78</v>
      </c>
      <c r="N782" t="s">
        <v>79</v>
      </c>
      <c r="O782" t="s">
        <v>74</v>
      </c>
      <c r="P782" t="s">
        <v>74</v>
      </c>
      <c r="Q782" t="s">
        <v>74</v>
      </c>
      <c r="R782" t="s">
        <v>74</v>
      </c>
      <c r="S782" t="s">
        <v>74</v>
      </c>
      <c r="T782" t="s">
        <v>15009</v>
      </c>
      <c r="U782" t="s">
        <v>15010</v>
      </c>
      <c r="V782" t="s">
        <v>15011</v>
      </c>
      <c r="W782" t="s">
        <v>15012</v>
      </c>
      <c r="X782" t="s">
        <v>15013</v>
      </c>
      <c r="Y782" t="s">
        <v>15014</v>
      </c>
      <c r="Z782" t="s">
        <v>15015</v>
      </c>
      <c r="AA782" t="s">
        <v>15016</v>
      </c>
      <c r="AB782" t="s">
        <v>15017</v>
      </c>
      <c r="AC782" t="s">
        <v>15018</v>
      </c>
      <c r="AD782" t="s">
        <v>15019</v>
      </c>
      <c r="AE782" t="s">
        <v>15020</v>
      </c>
      <c r="AF782" t="s">
        <v>74</v>
      </c>
      <c r="AG782">
        <v>30</v>
      </c>
      <c r="AH782">
        <v>22</v>
      </c>
      <c r="AI782">
        <v>26</v>
      </c>
      <c r="AJ782">
        <v>0</v>
      </c>
      <c r="AK782">
        <v>39</v>
      </c>
      <c r="AL782" t="s">
        <v>786</v>
      </c>
      <c r="AM782" t="s">
        <v>787</v>
      </c>
      <c r="AN782" t="s">
        <v>788</v>
      </c>
      <c r="AO782" t="s">
        <v>4707</v>
      </c>
      <c r="AP782" t="s">
        <v>4708</v>
      </c>
      <c r="AQ782" t="s">
        <v>74</v>
      </c>
      <c r="AR782" t="s">
        <v>4709</v>
      </c>
      <c r="AS782" t="s">
        <v>4710</v>
      </c>
      <c r="AT782" t="s">
        <v>14950</v>
      </c>
      <c r="AU782">
        <v>2015</v>
      </c>
      <c r="AV782">
        <v>90</v>
      </c>
      <c r="AW782" t="s">
        <v>2281</v>
      </c>
      <c r="AX782" t="s">
        <v>74</v>
      </c>
      <c r="AY782" t="s">
        <v>74</v>
      </c>
      <c r="AZ782" t="s">
        <v>74</v>
      </c>
      <c r="BA782" t="s">
        <v>74</v>
      </c>
      <c r="BB782">
        <v>33</v>
      </c>
      <c r="BC782">
        <v>40</v>
      </c>
      <c r="BD782" t="s">
        <v>74</v>
      </c>
      <c r="BE782" t="s">
        <v>15021</v>
      </c>
      <c r="BF782" t="str">
        <f>HYPERLINK("http://dx.doi.org/10.1016/j.marpolbul.2014.11.035","http://dx.doi.org/10.1016/j.marpolbul.2014.11.035")</f>
        <v>http://dx.doi.org/10.1016/j.marpolbul.2014.11.035</v>
      </c>
      <c r="BG782" t="s">
        <v>74</v>
      </c>
      <c r="BH782" t="s">
        <v>74</v>
      </c>
      <c r="BI782">
        <v>8</v>
      </c>
      <c r="BJ782" t="s">
        <v>4175</v>
      </c>
      <c r="BK782" t="s">
        <v>100</v>
      </c>
      <c r="BL782" t="s">
        <v>3293</v>
      </c>
      <c r="BM782" t="s">
        <v>15022</v>
      </c>
      <c r="BN782">
        <v>25499184</v>
      </c>
      <c r="BO782" t="s">
        <v>74</v>
      </c>
      <c r="BP782" t="s">
        <v>74</v>
      </c>
      <c r="BQ782" t="s">
        <v>74</v>
      </c>
      <c r="BR782" t="s">
        <v>104</v>
      </c>
      <c r="BS782" t="s">
        <v>15023</v>
      </c>
      <c r="BT782" t="str">
        <f>HYPERLINK("https%3A%2F%2Fwww.webofscience.com%2Fwos%2Fwoscc%2Ffull-record%2FWOS:000348964000017","View Full Record in Web of Science")</f>
        <v>View Full Record in Web of Science</v>
      </c>
    </row>
    <row r="783" spans="1:72" x14ac:dyDescent="0.15">
      <c r="A783" t="s">
        <v>72</v>
      </c>
      <c r="B783" t="s">
        <v>15024</v>
      </c>
      <c r="C783" t="s">
        <v>74</v>
      </c>
      <c r="D783" t="s">
        <v>74</v>
      </c>
      <c r="E783" t="s">
        <v>74</v>
      </c>
      <c r="F783" t="s">
        <v>15025</v>
      </c>
      <c r="G783" t="s">
        <v>74</v>
      </c>
      <c r="H783" t="s">
        <v>74</v>
      </c>
      <c r="I783" t="s">
        <v>15026</v>
      </c>
      <c r="J783" t="s">
        <v>4694</v>
      </c>
      <c r="K783" t="s">
        <v>74</v>
      </c>
      <c r="L783" t="s">
        <v>74</v>
      </c>
      <c r="M783" t="s">
        <v>78</v>
      </c>
      <c r="N783" t="s">
        <v>79</v>
      </c>
      <c r="O783" t="s">
        <v>74</v>
      </c>
      <c r="P783" t="s">
        <v>74</v>
      </c>
      <c r="Q783" t="s">
        <v>74</v>
      </c>
      <c r="R783" t="s">
        <v>74</v>
      </c>
      <c r="S783" t="s">
        <v>74</v>
      </c>
      <c r="T783" t="s">
        <v>15027</v>
      </c>
      <c r="U783" t="s">
        <v>15028</v>
      </c>
      <c r="V783" t="s">
        <v>15029</v>
      </c>
      <c r="W783" t="s">
        <v>15030</v>
      </c>
      <c r="X783" t="s">
        <v>15031</v>
      </c>
      <c r="Y783" t="s">
        <v>15032</v>
      </c>
      <c r="Z783" t="s">
        <v>15033</v>
      </c>
      <c r="AA783" t="s">
        <v>6711</v>
      </c>
      <c r="AB783" t="s">
        <v>15034</v>
      </c>
      <c r="AC783" t="s">
        <v>15035</v>
      </c>
      <c r="AD783" t="s">
        <v>15036</v>
      </c>
      <c r="AE783" t="s">
        <v>15037</v>
      </c>
      <c r="AF783" t="s">
        <v>74</v>
      </c>
      <c r="AG783">
        <v>56</v>
      </c>
      <c r="AH783">
        <v>8</v>
      </c>
      <c r="AI783">
        <v>10</v>
      </c>
      <c r="AJ783">
        <v>1</v>
      </c>
      <c r="AK783">
        <v>74</v>
      </c>
      <c r="AL783" t="s">
        <v>786</v>
      </c>
      <c r="AM783" t="s">
        <v>787</v>
      </c>
      <c r="AN783" t="s">
        <v>788</v>
      </c>
      <c r="AO783" t="s">
        <v>4707</v>
      </c>
      <c r="AP783" t="s">
        <v>4708</v>
      </c>
      <c r="AQ783" t="s">
        <v>74</v>
      </c>
      <c r="AR783" t="s">
        <v>4709</v>
      </c>
      <c r="AS783" t="s">
        <v>4710</v>
      </c>
      <c r="AT783" t="s">
        <v>14950</v>
      </c>
      <c r="AU783">
        <v>2015</v>
      </c>
      <c r="AV783">
        <v>90</v>
      </c>
      <c r="AW783" t="s">
        <v>2281</v>
      </c>
      <c r="AX783" t="s">
        <v>74</v>
      </c>
      <c r="AY783" t="s">
        <v>74</v>
      </c>
      <c r="AZ783" t="s">
        <v>74</v>
      </c>
      <c r="BA783" t="s">
        <v>74</v>
      </c>
      <c r="BB783">
        <v>41</v>
      </c>
      <c r="BC783">
        <v>47</v>
      </c>
      <c r="BD783" t="s">
        <v>74</v>
      </c>
      <c r="BE783" t="s">
        <v>15038</v>
      </c>
      <c r="BF783" t="str">
        <f>HYPERLINK("http://dx.doi.org/10.1016/j.marpolbul.2014.11.034","http://dx.doi.org/10.1016/j.marpolbul.2014.11.034")</f>
        <v>http://dx.doi.org/10.1016/j.marpolbul.2014.11.034</v>
      </c>
      <c r="BG783" t="s">
        <v>74</v>
      </c>
      <c r="BH783" t="s">
        <v>74</v>
      </c>
      <c r="BI783">
        <v>7</v>
      </c>
      <c r="BJ783" t="s">
        <v>4175</v>
      </c>
      <c r="BK783" t="s">
        <v>100</v>
      </c>
      <c r="BL783" t="s">
        <v>3293</v>
      </c>
      <c r="BM783" t="s">
        <v>15022</v>
      </c>
      <c r="BN783">
        <v>25487089</v>
      </c>
      <c r="BO783" t="s">
        <v>74</v>
      </c>
      <c r="BP783" t="s">
        <v>74</v>
      </c>
      <c r="BQ783" t="s">
        <v>74</v>
      </c>
      <c r="BR783" t="s">
        <v>104</v>
      </c>
      <c r="BS783" t="s">
        <v>15039</v>
      </c>
      <c r="BT783" t="str">
        <f>HYPERLINK("https%3A%2F%2Fwww.webofscience.com%2Fwos%2Fwoscc%2Ffull-record%2FWOS:000348964000018","View Full Record in Web of Science")</f>
        <v>View Full Record in Web of Science</v>
      </c>
    </row>
    <row r="784" spans="1:72" x14ac:dyDescent="0.15">
      <c r="A784" t="s">
        <v>72</v>
      </c>
      <c r="B784" t="s">
        <v>15040</v>
      </c>
      <c r="C784" t="s">
        <v>74</v>
      </c>
      <c r="D784" t="s">
        <v>74</v>
      </c>
      <c r="E784" t="s">
        <v>74</v>
      </c>
      <c r="F784" t="s">
        <v>15041</v>
      </c>
      <c r="G784" t="s">
        <v>74</v>
      </c>
      <c r="H784" t="s">
        <v>74</v>
      </c>
      <c r="I784" t="s">
        <v>15042</v>
      </c>
      <c r="J784" t="s">
        <v>10233</v>
      </c>
      <c r="K784" t="s">
        <v>74</v>
      </c>
      <c r="L784" t="s">
        <v>74</v>
      </c>
      <c r="M784" t="s">
        <v>78</v>
      </c>
      <c r="N784" t="s">
        <v>79</v>
      </c>
      <c r="O784" t="s">
        <v>74</v>
      </c>
      <c r="P784" t="s">
        <v>74</v>
      </c>
      <c r="Q784" t="s">
        <v>74</v>
      </c>
      <c r="R784" t="s">
        <v>74</v>
      </c>
      <c r="S784" t="s">
        <v>74</v>
      </c>
      <c r="T784" t="s">
        <v>15043</v>
      </c>
      <c r="U784" t="s">
        <v>74</v>
      </c>
      <c r="V784" t="s">
        <v>15044</v>
      </c>
      <c r="W784" t="s">
        <v>15045</v>
      </c>
      <c r="X784" t="s">
        <v>15046</v>
      </c>
      <c r="Y784" t="s">
        <v>15047</v>
      </c>
      <c r="Z784" t="s">
        <v>15048</v>
      </c>
      <c r="AA784" t="s">
        <v>15049</v>
      </c>
      <c r="AB784" t="s">
        <v>15050</v>
      </c>
      <c r="AC784" t="s">
        <v>74</v>
      </c>
      <c r="AD784" t="s">
        <v>74</v>
      </c>
      <c r="AE784" t="s">
        <v>74</v>
      </c>
      <c r="AF784" t="s">
        <v>74</v>
      </c>
      <c r="AG784">
        <v>9</v>
      </c>
      <c r="AH784">
        <v>9</v>
      </c>
      <c r="AI784">
        <v>10</v>
      </c>
      <c r="AJ784">
        <v>0</v>
      </c>
      <c r="AK784">
        <v>8</v>
      </c>
      <c r="AL784" t="s">
        <v>1158</v>
      </c>
      <c r="AM784" t="s">
        <v>787</v>
      </c>
      <c r="AN784" t="s">
        <v>1159</v>
      </c>
      <c r="AO784" t="s">
        <v>10243</v>
      </c>
      <c r="AP784" t="s">
        <v>10244</v>
      </c>
      <c r="AQ784" t="s">
        <v>74</v>
      </c>
      <c r="AR784" t="s">
        <v>10245</v>
      </c>
      <c r="AS784" t="s">
        <v>10246</v>
      </c>
      <c r="AT784" t="s">
        <v>14950</v>
      </c>
      <c r="AU784">
        <v>2015</v>
      </c>
      <c r="AV784">
        <v>55</v>
      </c>
      <c r="AW784">
        <v>2</v>
      </c>
      <c r="AX784" t="s">
        <v>74</v>
      </c>
      <c r="AY784" t="s">
        <v>74</v>
      </c>
      <c r="AZ784" t="s">
        <v>74</v>
      </c>
      <c r="BA784" t="s">
        <v>74</v>
      </c>
      <c r="BB784">
        <v>597</v>
      </c>
      <c r="BC784">
        <v>604</v>
      </c>
      <c r="BD784" t="s">
        <v>74</v>
      </c>
      <c r="BE784" t="s">
        <v>15051</v>
      </c>
      <c r="BF784" t="str">
        <f>HYPERLINK("http://dx.doi.org/10.1016/j.asr.2014.11.001","http://dx.doi.org/10.1016/j.asr.2014.11.001")</f>
        <v>http://dx.doi.org/10.1016/j.asr.2014.11.001</v>
      </c>
      <c r="BG784" t="s">
        <v>74</v>
      </c>
      <c r="BH784" t="s">
        <v>74</v>
      </c>
      <c r="BI784">
        <v>8</v>
      </c>
      <c r="BJ784" t="s">
        <v>10249</v>
      </c>
      <c r="BK784" t="s">
        <v>100</v>
      </c>
      <c r="BL784" t="s">
        <v>10250</v>
      </c>
      <c r="BM784" t="s">
        <v>15052</v>
      </c>
      <c r="BN784" t="s">
        <v>74</v>
      </c>
      <c r="BO784" t="s">
        <v>74</v>
      </c>
      <c r="BP784" t="s">
        <v>74</v>
      </c>
      <c r="BQ784" t="s">
        <v>74</v>
      </c>
      <c r="BR784" t="s">
        <v>104</v>
      </c>
      <c r="BS784" t="s">
        <v>15053</v>
      </c>
      <c r="BT784" t="str">
        <f>HYPERLINK("https%3A%2F%2Fwww.webofscience.com%2Fwos%2Fwoscc%2Ffull-record%2FWOS:000348085000007","View Full Record in Web of Science")</f>
        <v>View Full Record in Web of Science</v>
      </c>
    </row>
    <row r="785" spans="1:72" x14ac:dyDescent="0.15">
      <c r="A785" t="s">
        <v>72</v>
      </c>
      <c r="B785" t="s">
        <v>15054</v>
      </c>
      <c r="C785" t="s">
        <v>74</v>
      </c>
      <c r="D785" t="s">
        <v>74</v>
      </c>
      <c r="E785" t="s">
        <v>74</v>
      </c>
      <c r="F785" t="s">
        <v>15055</v>
      </c>
      <c r="G785" t="s">
        <v>74</v>
      </c>
      <c r="H785" t="s">
        <v>74</v>
      </c>
      <c r="I785" t="s">
        <v>15056</v>
      </c>
      <c r="J785" t="s">
        <v>15057</v>
      </c>
      <c r="K785" t="s">
        <v>74</v>
      </c>
      <c r="L785" t="s">
        <v>74</v>
      </c>
      <c r="M785" t="s">
        <v>78</v>
      </c>
      <c r="N785" t="s">
        <v>79</v>
      </c>
      <c r="O785" t="s">
        <v>74</v>
      </c>
      <c r="P785" t="s">
        <v>74</v>
      </c>
      <c r="Q785" t="s">
        <v>74</v>
      </c>
      <c r="R785" t="s">
        <v>74</v>
      </c>
      <c r="S785" t="s">
        <v>74</v>
      </c>
      <c r="T785" t="s">
        <v>15058</v>
      </c>
      <c r="U785" t="s">
        <v>15059</v>
      </c>
      <c r="V785" t="s">
        <v>15060</v>
      </c>
      <c r="W785" t="s">
        <v>15061</v>
      </c>
      <c r="X785" t="s">
        <v>2613</v>
      </c>
      <c r="Y785" t="s">
        <v>15062</v>
      </c>
      <c r="Z785" t="s">
        <v>15063</v>
      </c>
      <c r="AA785" t="s">
        <v>15064</v>
      </c>
      <c r="AB785" t="s">
        <v>15065</v>
      </c>
      <c r="AC785" t="s">
        <v>15066</v>
      </c>
      <c r="AD785" t="s">
        <v>15067</v>
      </c>
      <c r="AE785" t="s">
        <v>15068</v>
      </c>
      <c r="AF785" t="s">
        <v>74</v>
      </c>
      <c r="AG785">
        <v>52</v>
      </c>
      <c r="AH785">
        <v>29</v>
      </c>
      <c r="AI785">
        <v>33</v>
      </c>
      <c r="AJ785">
        <v>3</v>
      </c>
      <c r="AK785">
        <v>43</v>
      </c>
      <c r="AL785" t="s">
        <v>1158</v>
      </c>
      <c r="AM785" t="s">
        <v>787</v>
      </c>
      <c r="AN785" t="s">
        <v>1159</v>
      </c>
      <c r="AO785" t="s">
        <v>15069</v>
      </c>
      <c r="AP785" t="s">
        <v>15070</v>
      </c>
      <c r="AQ785" t="s">
        <v>74</v>
      </c>
      <c r="AR785" t="s">
        <v>15071</v>
      </c>
      <c r="AS785" t="s">
        <v>15072</v>
      </c>
      <c r="AT785" t="s">
        <v>14950</v>
      </c>
      <c r="AU785">
        <v>2015</v>
      </c>
      <c r="AV785">
        <v>87</v>
      </c>
      <c r="AW785" t="s">
        <v>74</v>
      </c>
      <c r="AX785" t="s">
        <v>74</v>
      </c>
      <c r="AY785" t="s">
        <v>74</v>
      </c>
      <c r="AZ785" t="s">
        <v>74</v>
      </c>
      <c r="BA785" t="s">
        <v>74</v>
      </c>
      <c r="BB785">
        <v>78</v>
      </c>
      <c r="BC785">
        <v>86</v>
      </c>
      <c r="BD785" t="s">
        <v>74</v>
      </c>
      <c r="BE785" t="s">
        <v>15073</v>
      </c>
      <c r="BF785" t="str">
        <f>HYPERLINK("http://dx.doi.org/10.1016/j.jclepro.2014.09.081","http://dx.doi.org/10.1016/j.jclepro.2014.09.081")</f>
        <v>http://dx.doi.org/10.1016/j.jclepro.2014.09.081</v>
      </c>
      <c r="BG785" t="s">
        <v>74</v>
      </c>
      <c r="BH785" t="s">
        <v>74</v>
      </c>
      <c r="BI785">
        <v>9</v>
      </c>
      <c r="BJ785" t="s">
        <v>15074</v>
      </c>
      <c r="BK785" t="s">
        <v>1019</v>
      </c>
      <c r="BL785" t="s">
        <v>15075</v>
      </c>
      <c r="BM785" t="s">
        <v>15076</v>
      </c>
      <c r="BN785" t="s">
        <v>74</v>
      </c>
      <c r="BO785" t="s">
        <v>74</v>
      </c>
      <c r="BP785" t="s">
        <v>74</v>
      </c>
      <c r="BQ785" t="s">
        <v>74</v>
      </c>
      <c r="BR785" t="s">
        <v>104</v>
      </c>
      <c r="BS785" t="s">
        <v>15077</v>
      </c>
      <c r="BT785" t="str">
        <f>HYPERLINK("https%3A%2F%2Fwww.webofscience.com%2Fwos%2Fwoscc%2Ffull-record%2FWOS:000347493700010","View Full Record in Web of Science")</f>
        <v>View Full Record in Web of Science</v>
      </c>
    </row>
    <row r="786" spans="1:72" x14ac:dyDescent="0.15">
      <c r="A786" t="s">
        <v>72</v>
      </c>
      <c r="B786" t="s">
        <v>15078</v>
      </c>
      <c r="C786" t="s">
        <v>74</v>
      </c>
      <c r="D786" t="s">
        <v>74</v>
      </c>
      <c r="E786" t="s">
        <v>74</v>
      </c>
      <c r="F786" t="s">
        <v>15079</v>
      </c>
      <c r="G786" t="s">
        <v>74</v>
      </c>
      <c r="H786" t="s">
        <v>74</v>
      </c>
      <c r="I786" t="s">
        <v>15080</v>
      </c>
      <c r="J786" t="s">
        <v>15081</v>
      </c>
      <c r="K786" t="s">
        <v>74</v>
      </c>
      <c r="L786" t="s">
        <v>74</v>
      </c>
      <c r="M786" t="s">
        <v>78</v>
      </c>
      <c r="N786" t="s">
        <v>79</v>
      </c>
      <c r="O786" t="s">
        <v>74</v>
      </c>
      <c r="P786" t="s">
        <v>74</v>
      </c>
      <c r="Q786" t="s">
        <v>74</v>
      </c>
      <c r="R786" t="s">
        <v>74</v>
      </c>
      <c r="S786" t="s">
        <v>74</v>
      </c>
      <c r="T786" t="s">
        <v>74</v>
      </c>
      <c r="U786" t="s">
        <v>15082</v>
      </c>
      <c r="V786" t="s">
        <v>15083</v>
      </c>
      <c r="W786" t="s">
        <v>15084</v>
      </c>
      <c r="X786" t="s">
        <v>15085</v>
      </c>
      <c r="Y786" t="s">
        <v>15086</v>
      </c>
      <c r="Z786" t="s">
        <v>15087</v>
      </c>
      <c r="AA786" t="s">
        <v>15088</v>
      </c>
      <c r="AB786" t="s">
        <v>15089</v>
      </c>
      <c r="AC786" t="s">
        <v>15090</v>
      </c>
      <c r="AD786" t="s">
        <v>15091</v>
      </c>
      <c r="AE786" t="s">
        <v>15092</v>
      </c>
      <c r="AF786" t="s">
        <v>74</v>
      </c>
      <c r="AG786">
        <v>71</v>
      </c>
      <c r="AH786">
        <v>193</v>
      </c>
      <c r="AI786">
        <v>201</v>
      </c>
      <c r="AJ786">
        <v>2</v>
      </c>
      <c r="AK786">
        <v>34</v>
      </c>
      <c r="AL786" t="s">
        <v>786</v>
      </c>
      <c r="AM786" t="s">
        <v>787</v>
      </c>
      <c r="AN786" t="s">
        <v>788</v>
      </c>
      <c r="AO786" t="s">
        <v>15093</v>
      </c>
      <c r="AP786" t="s">
        <v>15094</v>
      </c>
      <c r="AQ786" t="s">
        <v>74</v>
      </c>
      <c r="AR786" t="s">
        <v>15095</v>
      </c>
      <c r="AS786" t="s">
        <v>15096</v>
      </c>
      <c r="AT786" t="s">
        <v>14950</v>
      </c>
      <c r="AU786">
        <v>2015</v>
      </c>
      <c r="AV786">
        <v>149</v>
      </c>
      <c r="AW786" t="s">
        <v>74</v>
      </c>
      <c r="AX786" t="s">
        <v>74</v>
      </c>
      <c r="AY786" t="s">
        <v>74</v>
      </c>
      <c r="AZ786" t="s">
        <v>74</v>
      </c>
      <c r="BA786" t="s">
        <v>74</v>
      </c>
      <c r="BB786">
        <v>206</v>
      </c>
      <c r="BC786">
        <v>222</v>
      </c>
      <c r="BD786" t="s">
        <v>74</v>
      </c>
      <c r="BE786" t="s">
        <v>15097</v>
      </c>
      <c r="BF786" t="str">
        <f>HYPERLINK("http://dx.doi.org/10.1016/j.gca.2014.10.025","http://dx.doi.org/10.1016/j.gca.2014.10.025")</f>
        <v>http://dx.doi.org/10.1016/j.gca.2014.10.025</v>
      </c>
      <c r="BG786" t="s">
        <v>74</v>
      </c>
      <c r="BH786" t="s">
        <v>74</v>
      </c>
      <c r="BI786">
        <v>17</v>
      </c>
      <c r="BJ786" t="s">
        <v>863</v>
      </c>
      <c r="BK786" t="s">
        <v>100</v>
      </c>
      <c r="BL786" t="s">
        <v>863</v>
      </c>
      <c r="BM786" t="s">
        <v>15098</v>
      </c>
      <c r="BN786" t="s">
        <v>74</v>
      </c>
      <c r="BO786" t="s">
        <v>74</v>
      </c>
      <c r="BP786" t="s">
        <v>74</v>
      </c>
      <c r="BQ786" t="s">
        <v>74</v>
      </c>
      <c r="BR786" t="s">
        <v>104</v>
      </c>
      <c r="BS786" t="s">
        <v>15099</v>
      </c>
      <c r="BT786" t="str">
        <f>HYPERLINK("https%3A%2F%2Fwww.webofscience.com%2Fwos%2Fwoscc%2Ffull-record%2FWOS:000346744500014","View Full Record in Web of Science")</f>
        <v>View Full Record in Web of Science</v>
      </c>
    </row>
    <row r="787" spans="1:72" x14ac:dyDescent="0.15">
      <c r="A787" t="s">
        <v>72</v>
      </c>
      <c r="B787" t="s">
        <v>15100</v>
      </c>
      <c r="C787" t="s">
        <v>74</v>
      </c>
      <c r="D787" t="s">
        <v>74</v>
      </c>
      <c r="E787" t="s">
        <v>74</v>
      </c>
      <c r="F787" t="s">
        <v>15101</v>
      </c>
      <c r="G787" t="s">
        <v>74</v>
      </c>
      <c r="H787" t="s">
        <v>74</v>
      </c>
      <c r="I787" t="s">
        <v>15102</v>
      </c>
      <c r="J787" t="s">
        <v>15103</v>
      </c>
      <c r="K787" t="s">
        <v>74</v>
      </c>
      <c r="L787" t="s">
        <v>74</v>
      </c>
      <c r="M787" t="s">
        <v>78</v>
      </c>
      <c r="N787" t="s">
        <v>79</v>
      </c>
      <c r="O787" t="s">
        <v>74</v>
      </c>
      <c r="P787" t="s">
        <v>74</v>
      </c>
      <c r="Q787" t="s">
        <v>74</v>
      </c>
      <c r="R787" t="s">
        <v>74</v>
      </c>
      <c r="S787" t="s">
        <v>74</v>
      </c>
      <c r="T787" t="s">
        <v>15104</v>
      </c>
      <c r="U787" t="s">
        <v>15105</v>
      </c>
      <c r="V787" t="s">
        <v>15106</v>
      </c>
      <c r="W787" t="s">
        <v>15107</v>
      </c>
      <c r="X787" t="s">
        <v>15108</v>
      </c>
      <c r="Y787" t="s">
        <v>15109</v>
      </c>
      <c r="Z787" t="s">
        <v>15110</v>
      </c>
      <c r="AA787" t="s">
        <v>15111</v>
      </c>
      <c r="AB787" t="s">
        <v>15112</v>
      </c>
      <c r="AC787" t="s">
        <v>15113</v>
      </c>
      <c r="AD787" t="s">
        <v>15114</v>
      </c>
      <c r="AE787" t="s">
        <v>15115</v>
      </c>
      <c r="AF787" t="s">
        <v>74</v>
      </c>
      <c r="AG787">
        <v>54</v>
      </c>
      <c r="AH787">
        <v>23</v>
      </c>
      <c r="AI787">
        <v>25</v>
      </c>
      <c r="AJ787">
        <v>2</v>
      </c>
      <c r="AK787">
        <v>44</v>
      </c>
      <c r="AL787" t="s">
        <v>13170</v>
      </c>
      <c r="AM787" t="s">
        <v>2168</v>
      </c>
      <c r="AN787" t="s">
        <v>13171</v>
      </c>
      <c r="AO787" t="s">
        <v>15116</v>
      </c>
      <c r="AP787" t="s">
        <v>74</v>
      </c>
      <c r="AQ787" t="s">
        <v>74</v>
      </c>
      <c r="AR787" t="s">
        <v>15117</v>
      </c>
      <c r="AS787" t="s">
        <v>15118</v>
      </c>
      <c r="AT787" t="s">
        <v>14950</v>
      </c>
      <c r="AU787">
        <v>2015</v>
      </c>
      <c r="AV787">
        <v>4</v>
      </c>
      <c r="AW787">
        <v>1</v>
      </c>
      <c r="AX787" t="s">
        <v>74</v>
      </c>
      <c r="AY787" t="s">
        <v>74</v>
      </c>
      <c r="AZ787" t="s">
        <v>74</v>
      </c>
      <c r="BA787" t="s">
        <v>74</v>
      </c>
      <c r="BB787">
        <v>35</v>
      </c>
      <c r="BC787">
        <v>47</v>
      </c>
      <c r="BD787" t="s">
        <v>74</v>
      </c>
      <c r="BE787" t="s">
        <v>15119</v>
      </c>
      <c r="BF787" t="str">
        <f>HYPERLINK("http://dx.doi.org/10.1242/bio.20149837","http://dx.doi.org/10.1242/bio.20149837")</f>
        <v>http://dx.doi.org/10.1242/bio.20149837</v>
      </c>
      <c r="BG787" t="s">
        <v>74</v>
      </c>
      <c r="BH787" t="s">
        <v>74</v>
      </c>
      <c r="BI787">
        <v>13</v>
      </c>
      <c r="BJ787" t="s">
        <v>13177</v>
      </c>
      <c r="BK787" t="s">
        <v>100</v>
      </c>
      <c r="BL787" t="s">
        <v>13178</v>
      </c>
      <c r="BM787" t="s">
        <v>15120</v>
      </c>
      <c r="BN787">
        <v>25505150</v>
      </c>
      <c r="BO787" t="s">
        <v>485</v>
      </c>
      <c r="BP787" t="s">
        <v>74</v>
      </c>
      <c r="BQ787" t="s">
        <v>74</v>
      </c>
      <c r="BR787" t="s">
        <v>104</v>
      </c>
      <c r="BS787" t="s">
        <v>15121</v>
      </c>
      <c r="BT787" t="str">
        <f>HYPERLINK("https%3A%2F%2Fwww.webofscience.com%2Fwos%2Fwoscc%2Ffull-record%2FWOS:000348099500004","View Full Record in Web of Science")</f>
        <v>View Full Record in Web of Science</v>
      </c>
    </row>
    <row r="788" spans="1:72" x14ac:dyDescent="0.15">
      <c r="A788" t="s">
        <v>72</v>
      </c>
      <c r="B788" t="s">
        <v>15122</v>
      </c>
      <c r="C788" t="s">
        <v>74</v>
      </c>
      <c r="D788" t="s">
        <v>74</v>
      </c>
      <c r="E788" t="s">
        <v>74</v>
      </c>
      <c r="F788" t="s">
        <v>15123</v>
      </c>
      <c r="G788" t="s">
        <v>74</v>
      </c>
      <c r="H788" t="s">
        <v>74</v>
      </c>
      <c r="I788" t="s">
        <v>15124</v>
      </c>
      <c r="J788" t="s">
        <v>15057</v>
      </c>
      <c r="K788" t="s">
        <v>74</v>
      </c>
      <c r="L788" t="s">
        <v>74</v>
      </c>
      <c r="M788" t="s">
        <v>78</v>
      </c>
      <c r="N788" t="s">
        <v>79</v>
      </c>
      <c r="O788" t="s">
        <v>74</v>
      </c>
      <c r="P788" t="s">
        <v>74</v>
      </c>
      <c r="Q788" t="s">
        <v>74</v>
      </c>
      <c r="R788" t="s">
        <v>74</v>
      </c>
      <c r="S788" t="s">
        <v>74</v>
      </c>
      <c r="T788" t="s">
        <v>15125</v>
      </c>
      <c r="U788" t="s">
        <v>15126</v>
      </c>
      <c r="V788" t="s">
        <v>15127</v>
      </c>
      <c r="W788" t="s">
        <v>15128</v>
      </c>
      <c r="X788" t="s">
        <v>5132</v>
      </c>
      <c r="Y788" t="s">
        <v>15129</v>
      </c>
      <c r="Z788" t="s">
        <v>15130</v>
      </c>
      <c r="AA788" t="s">
        <v>15131</v>
      </c>
      <c r="AB788" t="s">
        <v>15132</v>
      </c>
      <c r="AC788" t="s">
        <v>15133</v>
      </c>
      <c r="AD788" t="s">
        <v>15134</v>
      </c>
      <c r="AE788" t="s">
        <v>15135</v>
      </c>
      <c r="AF788" t="s">
        <v>74</v>
      </c>
      <c r="AG788">
        <v>107</v>
      </c>
      <c r="AH788">
        <v>22</v>
      </c>
      <c r="AI788">
        <v>24</v>
      </c>
      <c r="AJ788">
        <v>3</v>
      </c>
      <c r="AK788">
        <v>66</v>
      </c>
      <c r="AL788" t="s">
        <v>1158</v>
      </c>
      <c r="AM788" t="s">
        <v>787</v>
      </c>
      <c r="AN788" t="s">
        <v>1159</v>
      </c>
      <c r="AO788" t="s">
        <v>15069</v>
      </c>
      <c r="AP788" t="s">
        <v>15070</v>
      </c>
      <c r="AQ788" t="s">
        <v>74</v>
      </c>
      <c r="AR788" t="s">
        <v>15071</v>
      </c>
      <c r="AS788" t="s">
        <v>15072</v>
      </c>
      <c r="AT788" t="s">
        <v>14950</v>
      </c>
      <c r="AU788">
        <v>2015</v>
      </c>
      <c r="AV788">
        <v>87</v>
      </c>
      <c r="AW788" t="s">
        <v>74</v>
      </c>
      <c r="AX788" t="s">
        <v>74</v>
      </c>
      <c r="AY788" t="s">
        <v>74</v>
      </c>
      <c r="AZ788" t="s">
        <v>74</v>
      </c>
      <c r="BA788" t="s">
        <v>74</v>
      </c>
      <c r="BB788">
        <v>96</v>
      </c>
      <c r="BC788">
        <v>104</v>
      </c>
      <c r="BD788" t="s">
        <v>74</v>
      </c>
      <c r="BE788" t="s">
        <v>15136</v>
      </c>
      <c r="BF788" t="str">
        <f>HYPERLINK("http://dx.doi.org/10.1016/j.jclepro.2014.10.063","http://dx.doi.org/10.1016/j.jclepro.2014.10.063")</f>
        <v>http://dx.doi.org/10.1016/j.jclepro.2014.10.063</v>
      </c>
      <c r="BG788" t="s">
        <v>74</v>
      </c>
      <c r="BH788" t="s">
        <v>74</v>
      </c>
      <c r="BI788">
        <v>9</v>
      </c>
      <c r="BJ788" t="s">
        <v>15074</v>
      </c>
      <c r="BK788" t="s">
        <v>100</v>
      </c>
      <c r="BL788" t="s">
        <v>15075</v>
      </c>
      <c r="BM788" t="s">
        <v>15076</v>
      </c>
      <c r="BN788" t="s">
        <v>74</v>
      </c>
      <c r="BO788" t="s">
        <v>74</v>
      </c>
      <c r="BP788" t="s">
        <v>74</v>
      </c>
      <c r="BQ788" t="s">
        <v>74</v>
      </c>
      <c r="BR788" t="s">
        <v>104</v>
      </c>
      <c r="BS788" t="s">
        <v>15137</v>
      </c>
      <c r="BT788" t="str">
        <f>HYPERLINK("https%3A%2F%2Fwww.webofscience.com%2Fwos%2Fwoscc%2Ffull-record%2FWOS:000347493700012","View Full Record in Web of Science")</f>
        <v>View Full Record in Web of Science</v>
      </c>
    </row>
    <row r="789" spans="1:72" x14ac:dyDescent="0.15">
      <c r="A789" t="s">
        <v>72</v>
      </c>
      <c r="B789" t="s">
        <v>15138</v>
      </c>
      <c r="C789" t="s">
        <v>74</v>
      </c>
      <c r="D789" t="s">
        <v>74</v>
      </c>
      <c r="E789" t="s">
        <v>74</v>
      </c>
      <c r="F789" t="s">
        <v>15139</v>
      </c>
      <c r="G789" t="s">
        <v>74</v>
      </c>
      <c r="H789" t="s">
        <v>74</v>
      </c>
      <c r="I789" t="s">
        <v>15140</v>
      </c>
      <c r="J789" t="s">
        <v>2694</v>
      </c>
      <c r="K789" t="s">
        <v>74</v>
      </c>
      <c r="L789" t="s">
        <v>74</v>
      </c>
      <c r="M789" t="s">
        <v>78</v>
      </c>
      <c r="N789" t="s">
        <v>79</v>
      </c>
      <c r="O789" t="s">
        <v>74</v>
      </c>
      <c r="P789" t="s">
        <v>74</v>
      </c>
      <c r="Q789" t="s">
        <v>74</v>
      </c>
      <c r="R789" t="s">
        <v>74</v>
      </c>
      <c r="S789" t="s">
        <v>74</v>
      </c>
      <c r="T789" t="s">
        <v>15141</v>
      </c>
      <c r="U789" t="s">
        <v>15142</v>
      </c>
      <c r="V789" t="s">
        <v>15143</v>
      </c>
      <c r="W789" t="s">
        <v>15144</v>
      </c>
      <c r="X789" t="s">
        <v>15145</v>
      </c>
      <c r="Y789" t="s">
        <v>15146</v>
      </c>
      <c r="Z789" t="s">
        <v>15147</v>
      </c>
      <c r="AA789" t="s">
        <v>15148</v>
      </c>
      <c r="AB789" t="s">
        <v>15149</v>
      </c>
      <c r="AC789" t="s">
        <v>15150</v>
      </c>
      <c r="AD789" t="s">
        <v>15151</v>
      </c>
      <c r="AE789" t="s">
        <v>15152</v>
      </c>
      <c r="AF789" t="s">
        <v>74</v>
      </c>
      <c r="AG789">
        <v>202</v>
      </c>
      <c r="AH789">
        <v>24</v>
      </c>
      <c r="AI789">
        <v>33</v>
      </c>
      <c r="AJ789">
        <v>1</v>
      </c>
      <c r="AK789">
        <v>30</v>
      </c>
      <c r="AL789" t="s">
        <v>1039</v>
      </c>
      <c r="AM789" t="s">
        <v>816</v>
      </c>
      <c r="AN789" t="s">
        <v>1040</v>
      </c>
      <c r="AO789" t="s">
        <v>2707</v>
      </c>
      <c r="AP789" t="s">
        <v>2708</v>
      </c>
      <c r="AQ789" t="s">
        <v>74</v>
      </c>
      <c r="AR789" t="s">
        <v>2709</v>
      </c>
      <c r="AS789" t="s">
        <v>2710</v>
      </c>
      <c r="AT789" t="s">
        <v>14950</v>
      </c>
      <c r="AU789">
        <v>2015</v>
      </c>
      <c r="AV789">
        <v>418</v>
      </c>
      <c r="AW789" t="s">
        <v>74</v>
      </c>
      <c r="AX789" t="s">
        <v>74</v>
      </c>
      <c r="AY789" t="s">
        <v>74</v>
      </c>
      <c r="AZ789" t="s">
        <v>74</v>
      </c>
      <c r="BA789" t="s">
        <v>74</v>
      </c>
      <c r="BB789">
        <v>193</v>
      </c>
      <c r="BC789">
        <v>212</v>
      </c>
      <c r="BD789" t="s">
        <v>74</v>
      </c>
      <c r="BE789" t="s">
        <v>15153</v>
      </c>
      <c r="BF789" t="str">
        <f>HYPERLINK("http://dx.doi.org/10.1016/j.palaeo.2014.11.002","http://dx.doi.org/10.1016/j.palaeo.2014.11.002")</f>
        <v>http://dx.doi.org/10.1016/j.palaeo.2014.11.002</v>
      </c>
      <c r="BG789" t="s">
        <v>74</v>
      </c>
      <c r="BH789" t="s">
        <v>74</v>
      </c>
      <c r="BI789">
        <v>20</v>
      </c>
      <c r="BJ789" t="s">
        <v>2712</v>
      </c>
      <c r="BK789" t="s">
        <v>100</v>
      </c>
      <c r="BL789" t="s">
        <v>2713</v>
      </c>
      <c r="BM789" t="s">
        <v>14952</v>
      </c>
      <c r="BN789" t="s">
        <v>74</v>
      </c>
      <c r="BO789" t="s">
        <v>4666</v>
      </c>
      <c r="BP789" t="s">
        <v>74</v>
      </c>
      <c r="BQ789" t="s">
        <v>74</v>
      </c>
      <c r="BR789" t="s">
        <v>104</v>
      </c>
      <c r="BS789" t="s">
        <v>15154</v>
      </c>
      <c r="BT789" t="str">
        <f>HYPERLINK("https%3A%2F%2Fwww.webofscience.com%2Fwos%2Fwoscc%2Ffull-record%2FWOS:000349804100015","View Full Record in Web of Science")</f>
        <v>View Full Record in Web of Science</v>
      </c>
    </row>
    <row r="790" spans="1:72" x14ac:dyDescent="0.15">
      <c r="A790" t="s">
        <v>72</v>
      </c>
      <c r="B790" t="s">
        <v>15155</v>
      </c>
      <c r="C790" t="s">
        <v>74</v>
      </c>
      <c r="D790" t="s">
        <v>74</v>
      </c>
      <c r="E790" t="s">
        <v>74</v>
      </c>
      <c r="F790" t="s">
        <v>15156</v>
      </c>
      <c r="G790" t="s">
        <v>74</v>
      </c>
      <c r="H790" t="s">
        <v>74</v>
      </c>
      <c r="I790" t="s">
        <v>15157</v>
      </c>
      <c r="J790" t="s">
        <v>2694</v>
      </c>
      <c r="K790" t="s">
        <v>74</v>
      </c>
      <c r="L790" t="s">
        <v>74</v>
      </c>
      <c r="M790" t="s">
        <v>78</v>
      </c>
      <c r="N790" t="s">
        <v>79</v>
      </c>
      <c r="O790" t="s">
        <v>74</v>
      </c>
      <c r="P790" t="s">
        <v>74</v>
      </c>
      <c r="Q790" t="s">
        <v>74</v>
      </c>
      <c r="R790" t="s">
        <v>74</v>
      </c>
      <c r="S790" t="s">
        <v>74</v>
      </c>
      <c r="T790" t="s">
        <v>15158</v>
      </c>
      <c r="U790" t="s">
        <v>15159</v>
      </c>
      <c r="V790" t="s">
        <v>15160</v>
      </c>
      <c r="W790" t="s">
        <v>15161</v>
      </c>
      <c r="X790" t="s">
        <v>15162</v>
      </c>
      <c r="Y790" t="s">
        <v>15163</v>
      </c>
      <c r="Z790" t="s">
        <v>15164</v>
      </c>
      <c r="AA790" t="s">
        <v>15165</v>
      </c>
      <c r="AB790" t="s">
        <v>15166</v>
      </c>
      <c r="AC790" t="s">
        <v>15167</v>
      </c>
      <c r="AD790" t="s">
        <v>3309</v>
      </c>
      <c r="AE790" t="s">
        <v>74</v>
      </c>
      <c r="AF790" t="s">
        <v>74</v>
      </c>
      <c r="AG790">
        <v>138</v>
      </c>
      <c r="AH790">
        <v>39</v>
      </c>
      <c r="AI790">
        <v>42</v>
      </c>
      <c r="AJ790">
        <v>0</v>
      </c>
      <c r="AK790">
        <v>13</v>
      </c>
      <c r="AL790" t="s">
        <v>1039</v>
      </c>
      <c r="AM790" t="s">
        <v>816</v>
      </c>
      <c r="AN790" t="s">
        <v>1040</v>
      </c>
      <c r="AO790" t="s">
        <v>2707</v>
      </c>
      <c r="AP790" t="s">
        <v>2708</v>
      </c>
      <c r="AQ790" t="s">
        <v>74</v>
      </c>
      <c r="AR790" t="s">
        <v>2709</v>
      </c>
      <c r="AS790" t="s">
        <v>2710</v>
      </c>
      <c r="AT790" t="s">
        <v>14950</v>
      </c>
      <c r="AU790">
        <v>2015</v>
      </c>
      <c r="AV790">
        <v>418</v>
      </c>
      <c r="AW790" t="s">
        <v>74</v>
      </c>
      <c r="AX790" t="s">
        <v>74</v>
      </c>
      <c r="AY790" t="s">
        <v>74</v>
      </c>
      <c r="AZ790" t="s">
        <v>74</v>
      </c>
      <c r="BA790" t="s">
        <v>74</v>
      </c>
      <c r="BB790">
        <v>213</v>
      </c>
      <c r="BC790">
        <v>228</v>
      </c>
      <c r="BD790" t="s">
        <v>74</v>
      </c>
      <c r="BE790" t="s">
        <v>15168</v>
      </c>
      <c r="BF790" t="str">
        <f>HYPERLINK("http://dx.doi.org/10.1016/j.palaeo.2014.11.020","http://dx.doi.org/10.1016/j.palaeo.2014.11.020")</f>
        <v>http://dx.doi.org/10.1016/j.palaeo.2014.11.020</v>
      </c>
      <c r="BG790" t="s">
        <v>74</v>
      </c>
      <c r="BH790" t="s">
        <v>74</v>
      </c>
      <c r="BI790">
        <v>16</v>
      </c>
      <c r="BJ790" t="s">
        <v>2712</v>
      </c>
      <c r="BK790" t="s">
        <v>100</v>
      </c>
      <c r="BL790" t="s">
        <v>2713</v>
      </c>
      <c r="BM790" t="s">
        <v>14952</v>
      </c>
      <c r="BN790" t="s">
        <v>74</v>
      </c>
      <c r="BO790" t="s">
        <v>408</v>
      </c>
      <c r="BP790" t="s">
        <v>74</v>
      </c>
      <c r="BQ790" t="s">
        <v>74</v>
      </c>
      <c r="BR790" t="s">
        <v>104</v>
      </c>
      <c r="BS790" t="s">
        <v>15169</v>
      </c>
      <c r="BT790" t="str">
        <f>HYPERLINK("https%3A%2F%2Fwww.webofscience.com%2Fwos%2Fwoscc%2Ffull-record%2FWOS:000349804100016","View Full Record in Web of Science")</f>
        <v>View Full Record in Web of Science</v>
      </c>
    </row>
    <row r="791" spans="1:72" x14ac:dyDescent="0.15">
      <c r="A791" t="s">
        <v>72</v>
      </c>
      <c r="B791" t="s">
        <v>15170</v>
      </c>
      <c r="C791" t="s">
        <v>74</v>
      </c>
      <c r="D791" t="s">
        <v>74</v>
      </c>
      <c r="E791" t="s">
        <v>74</v>
      </c>
      <c r="F791" t="s">
        <v>15171</v>
      </c>
      <c r="G791" t="s">
        <v>74</v>
      </c>
      <c r="H791" t="s">
        <v>74</v>
      </c>
      <c r="I791" t="s">
        <v>15172</v>
      </c>
      <c r="J791" t="s">
        <v>4433</v>
      </c>
      <c r="K791" t="s">
        <v>74</v>
      </c>
      <c r="L791" t="s">
        <v>74</v>
      </c>
      <c r="M791" t="s">
        <v>78</v>
      </c>
      <c r="N791" t="s">
        <v>79</v>
      </c>
      <c r="O791" t="s">
        <v>74</v>
      </c>
      <c r="P791" t="s">
        <v>74</v>
      </c>
      <c r="Q791" t="s">
        <v>74</v>
      </c>
      <c r="R791" t="s">
        <v>74</v>
      </c>
      <c r="S791" t="s">
        <v>74</v>
      </c>
      <c r="T791" t="s">
        <v>15173</v>
      </c>
      <c r="U791" t="s">
        <v>15174</v>
      </c>
      <c r="V791" t="s">
        <v>15175</v>
      </c>
      <c r="W791" t="s">
        <v>15176</v>
      </c>
      <c r="X791" t="s">
        <v>15177</v>
      </c>
      <c r="Y791" t="s">
        <v>15178</v>
      </c>
      <c r="Z791" t="s">
        <v>15179</v>
      </c>
      <c r="AA791" t="s">
        <v>74</v>
      </c>
      <c r="AB791" t="s">
        <v>15180</v>
      </c>
      <c r="AC791" t="s">
        <v>15181</v>
      </c>
      <c r="AD791" t="s">
        <v>15182</v>
      </c>
      <c r="AE791" t="s">
        <v>15183</v>
      </c>
      <c r="AF791" t="s">
        <v>74</v>
      </c>
      <c r="AG791">
        <v>35</v>
      </c>
      <c r="AH791">
        <v>30</v>
      </c>
      <c r="AI791">
        <v>32</v>
      </c>
      <c r="AJ791">
        <v>0</v>
      </c>
      <c r="AK791">
        <v>43</v>
      </c>
      <c r="AL791" t="s">
        <v>4446</v>
      </c>
      <c r="AM791" t="s">
        <v>267</v>
      </c>
      <c r="AN791" t="s">
        <v>4447</v>
      </c>
      <c r="AO791" t="s">
        <v>4448</v>
      </c>
      <c r="AP791" t="s">
        <v>74</v>
      </c>
      <c r="AQ791" t="s">
        <v>74</v>
      </c>
      <c r="AR791" t="s">
        <v>4449</v>
      </c>
      <c r="AS791" t="s">
        <v>4450</v>
      </c>
      <c r="AT791" t="s">
        <v>15184</v>
      </c>
      <c r="AU791">
        <v>2015</v>
      </c>
      <c r="AV791">
        <v>112</v>
      </c>
      <c r="AW791">
        <v>2</v>
      </c>
      <c r="AX791" t="s">
        <v>74</v>
      </c>
      <c r="AY791" t="s">
        <v>74</v>
      </c>
      <c r="AZ791" t="s">
        <v>74</v>
      </c>
      <c r="BA791" t="s">
        <v>74</v>
      </c>
      <c r="BB791">
        <v>336</v>
      </c>
      <c r="BC791">
        <v>341</v>
      </c>
      <c r="BD791" t="s">
        <v>74</v>
      </c>
      <c r="BE791" t="s">
        <v>15185</v>
      </c>
      <c r="BF791" t="str">
        <f>HYPERLINK("http://dx.doi.org/10.1073/pnas.1315615112","http://dx.doi.org/10.1073/pnas.1315615112")</f>
        <v>http://dx.doi.org/10.1073/pnas.1315615112</v>
      </c>
      <c r="BG791" t="s">
        <v>74</v>
      </c>
      <c r="BH791" t="s">
        <v>74</v>
      </c>
      <c r="BI791">
        <v>6</v>
      </c>
      <c r="BJ791" t="s">
        <v>429</v>
      </c>
      <c r="BK791" t="s">
        <v>100</v>
      </c>
      <c r="BL791" t="s">
        <v>430</v>
      </c>
      <c r="BM791" t="s">
        <v>15186</v>
      </c>
      <c r="BN791">
        <v>25535348</v>
      </c>
      <c r="BO791" t="s">
        <v>1832</v>
      </c>
      <c r="BP791" t="s">
        <v>74</v>
      </c>
      <c r="BQ791" t="s">
        <v>74</v>
      </c>
      <c r="BR791" t="s">
        <v>104</v>
      </c>
      <c r="BS791" t="s">
        <v>15187</v>
      </c>
      <c r="BT791" t="str">
        <f>HYPERLINK("https%3A%2F%2Fwww.webofscience.com%2Fwos%2Fwoscc%2Ffull-record%2FWOS:000347732300032","View Full Record in Web of Science")</f>
        <v>View Full Record in Web of Science</v>
      </c>
    </row>
    <row r="792" spans="1:72" x14ac:dyDescent="0.15">
      <c r="A792" t="s">
        <v>72</v>
      </c>
      <c r="B792" t="s">
        <v>15188</v>
      </c>
      <c r="C792" t="s">
        <v>74</v>
      </c>
      <c r="D792" t="s">
        <v>74</v>
      </c>
      <c r="E792" t="s">
        <v>74</v>
      </c>
      <c r="F792" t="s">
        <v>15189</v>
      </c>
      <c r="G792" t="s">
        <v>74</v>
      </c>
      <c r="H792" t="s">
        <v>74</v>
      </c>
      <c r="I792" t="s">
        <v>15190</v>
      </c>
      <c r="J792" t="s">
        <v>490</v>
      </c>
      <c r="K792" t="s">
        <v>74</v>
      </c>
      <c r="L792" t="s">
        <v>74</v>
      </c>
      <c r="M792" t="s">
        <v>78</v>
      </c>
      <c r="N792" t="s">
        <v>1291</v>
      </c>
      <c r="O792" t="s">
        <v>74</v>
      </c>
      <c r="P792" t="s">
        <v>74</v>
      </c>
      <c r="Q792" t="s">
        <v>74</v>
      </c>
      <c r="R792" t="s">
        <v>74</v>
      </c>
      <c r="S792" t="s">
        <v>74</v>
      </c>
      <c r="T792" t="s">
        <v>15191</v>
      </c>
      <c r="U792" t="s">
        <v>15192</v>
      </c>
      <c r="V792" t="s">
        <v>15193</v>
      </c>
      <c r="W792" t="s">
        <v>15194</v>
      </c>
      <c r="X792" t="s">
        <v>74</v>
      </c>
      <c r="Y792" t="s">
        <v>15195</v>
      </c>
      <c r="Z792" t="s">
        <v>15196</v>
      </c>
      <c r="AA792" t="s">
        <v>74</v>
      </c>
      <c r="AB792" t="s">
        <v>74</v>
      </c>
      <c r="AC792" t="s">
        <v>15197</v>
      </c>
      <c r="AD792" t="s">
        <v>15198</v>
      </c>
      <c r="AE792" t="s">
        <v>15199</v>
      </c>
      <c r="AF792" t="s">
        <v>74</v>
      </c>
      <c r="AG792">
        <v>160</v>
      </c>
      <c r="AH792">
        <v>10</v>
      </c>
      <c r="AI792">
        <v>10</v>
      </c>
      <c r="AJ792">
        <v>0</v>
      </c>
      <c r="AK792">
        <v>12</v>
      </c>
      <c r="AL792" t="s">
        <v>502</v>
      </c>
      <c r="AM792" t="s">
        <v>503</v>
      </c>
      <c r="AN792" t="s">
        <v>504</v>
      </c>
      <c r="AO792" t="s">
        <v>505</v>
      </c>
      <c r="AP792" t="s">
        <v>506</v>
      </c>
      <c r="AQ792" t="s">
        <v>74</v>
      </c>
      <c r="AR792" t="s">
        <v>490</v>
      </c>
      <c r="AS792" t="s">
        <v>507</v>
      </c>
      <c r="AT792" t="s">
        <v>15200</v>
      </c>
      <c r="AU792">
        <v>2015</v>
      </c>
      <c r="AV792">
        <v>3905</v>
      </c>
      <c r="AW792">
        <v>2</v>
      </c>
      <c r="AX792" t="s">
        <v>74</v>
      </c>
      <c r="AY792" t="s">
        <v>74</v>
      </c>
      <c r="AZ792" t="s">
        <v>74</v>
      </c>
      <c r="BA792" t="s">
        <v>74</v>
      </c>
      <c r="BB792">
        <v>151</v>
      </c>
      <c r="BC792">
        <v>192</v>
      </c>
      <c r="BD792" t="s">
        <v>74</v>
      </c>
      <c r="BE792" t="s">
        <v>74</v>
      </c>
      <c r="BF792" t="s">
        <v>74</v>
      </c>
      <c r="BG792" t="s">
        <v>74</v>
      </c>
      <c r="BH792" t="s">
        <v>74</v>
      </c>
      <c r="BI792">
        <v>42</v>
      </c>
      <c r="BJ792" t="s">
        <v>509</v>
      </c>
      <c r="BK792" t="s">
        <v>100</v>
      </c>
      <c r="BL792" t="s">
        <v>509</v>
      </c>
      <c r="BM792" t="s">
        <v>15201</v>
      </c>
      <c r="BN792">
        <v>25661204</v>
      </c>
      <c r="BO792" t="s">
        <v>74</v>
      </c>
      <c r="BP792" t="s">
        <v>74</v>
      </c>
      <c r="BQ792" t="s">
        <v>74</v>
      </c>
      <c r="BR792" t="s">
        <v>104</v>
      </c>
      <c r="BS792" t="s">
        <v>15202</v>
      </c>
      <c r="BT792" t="str">
        <f>HYPERLINK("https%3A%2F%2Fwww.webofscience.com%2Fwos%2Fwoscc%2Ffull-record%2FWOS:000347979900001","View Full Record in Web of Science")</f>
        <v>View Full Record in Web of Science</v>
      </c>
    </row>
    <row r="793" spans="1:72" x14ac:dyDescent="0.15">
      <c r="A793" t="s">
        <v>72</v>
      </c>
      <c r="B793" t="s">
        <v>15203</v>
      </c>
      <c r="C793" t="s">
        <v>74</v>
      </c>
      <c r="D793" t="s">
        <v>74</v>
      </c>
      <c r="E793" t="s">
        <v>74</v>
      </c>
      <c r="F793" t="s">
        <v>15204</v>
      </c>
      <c r="G793" t="s">
        <v>74</v>
      </c>
      <c r="H793" t="s">
        <v>74</v>
      </c>
      <c r="I793" t="s">
        <v>15205</v>
      </c>
      <c r="J793" t="s">
        <v>936</v>
      </c>
      <c r="K793" t="s">
        <v>74</v>
      </c>
      <c r="L793" t="s">
        <v>74</v>
      </c>
      <c r="M793" t="s">
        <v>78</v>
      </c>
      <c r="N793" t="s">
        <v>79</v>
      </c>
      <c r="O793" t="s">
        <v>74</v>
      </c>
      <c r="P793" t="s">
        <v>74</v>
      </c>
      <c r="Q793" t="s">
        <v>74</v>
      </c>
      <c r="R793" t="s">
        <v>74</v>
      </c>
      <c r="S793" t="s">
        <v>74</v>
      </c>
      <c r="T793" t="s">
        <v>74</v>
      </c>
      <c r="U793" t="s">
        <v>15206</v>
      </c>
      <c r="V793" t="s">
        <v>15207</v>
      </c>
      <c r="W793" t="s">
        <v>15208</v>
      </c>
      <c r="X793" t="s">
        <v>6938</v>
      </c>
      <c r="Y793" t="s">
        <v>15209</v>
      </c>
      <c r="Z793" t="s">
        <v>8840</v>
      </c>
      <c r="AA793" t="s">
        <v>15210</v>
      </c>
      <c r="AB793" t="s">
        <v>11378</v>
      </c>
      <c r="AC793" t="s">
        <v>15211</v>
      </c>
      <c r="AD793" t="s">
        <v>15212</v>
      </c>
      <c r="AE793" t="s">
        <v>15213</v>
      </c>
      <c r="AF793" t="s">
        <v>74</v>
      </c>
      <c r="AG793">
        <v>39</v>
      </c>
      <c r="AH793">
        <v>165</v>
      </c>
      <c r="AI793">
        <v>179</v>
      </c>
      <c r="AJ793">
        <v>4</v>
      </c>
      <c r="AK793">
        <v>60</v>
      </c>
      <c r="AL793" t="s">
        <v>946</v>
      </c>
      <c r="AM793" t="s">
        <v>947</v>
      </c>
      <c r="AN793" t="s">
        <v>948</v>
      </c>
      <c r="AO793" t="s">
        <v>949</v>
      </c>
      <c r="AP793" t="s">
        <v>74</v>
      </c>
      <c r="AQ793" t="s">
        <v>74</v>
      </c>
      <c r="AR793" t="s">
        <v>936</v>
      </c>
      <c r="AS793" t="s">
        <v>950</v>
      </c>
      <c r="AT793" t="s">
        <v>15200</v>
      </c>
      <c r="AU793">
        <v>2015</v>
      </c>
      <c r="AV793">
        <v>10</v>
      </c>
      <c r="AW793">
        <v>1</v>
      </c>
      <c r="AX793" t="s">
        <v>74</v>
      </c>
      <c r="AY793" t="s">
        <v>74</v>
      </c>
      <c r="AZ793" t="s">
        <v>74</v>
      </c>
      <c r="BA793" t="s">
        <v>74</v>
      </c>
      <c r="BB793" t="s">
        <v>74</v>
      </c>
      <c r="BC793" t="s">
        <v>74</v>
      </c>
      <c r="BD793" t="s">
        <v>15214</v>
      </c>
      <c r="BE793" t="s">
        <v>15215</v>
      </c>
      <c r="BF793" t="str">
        <f>HYPERLINK("http://dx.doi.org/10.1371/journal.pone.0116896","http://dx.doi.org/10.1371/journal.pone.0116896")</f>
        <v>http://dx.doi.org/10.1371/journal.pone.0116896</v>
      </c>
      <c r="BG793" t="s">
        <v>74</v>
      </c>
      <c r="BH793" t="s">
        <v>74</v>
      </c>
      <c r="BI793">
        <v>18</v>
      </c>
      <c r="BJ793" t="s">
        <v>429</v>
      </c>
      <c r="BK793" t="s">
        <v>100</v>
      </c>
      <c r="BL793" t="s">
        <v>430</v>
      </c>
      <c r="BM793" t="s">
        <v>15216</v>
      </c>
      <c r="BN793">
        <v>25581302</v>
      </c>
      <c r="BO793" t="s">
        <v>432</v>
      </c>
      <c r="BP793" t="s">
        <v>74</v>
      </c>
      <c r="BQ793" t="s">
        <v>74</v>
      </c>
      <c r="BR793" t="s">
        <v>104</v>
      </c>
      <c r="BS793" t="s">
        <v>15217</v>
      </c>
      <c r="BT793" t="str">
        <f>HYPERLINK("https%3A%2F%2Fwww.webofscience.com%2Fwos%2Fwoscc%2Ffull-record%2FWOS:000348169100006","View Full Record in Web of Science")</f>
        <v>View Full Record in Web of Science</v>
      </c>
    </row>
    <row r="794" spans="1:72" x14ac:dyDescent="0.15">
      <c r="A794" t="s">
        <v>72</v>
      </c>
      <c r="B794" t="s">
        <v>15218</v>
      </c>
      <c r="C794" t="s">
        <v>74</v>
      </c>
      <c r="D794" t="s">
        <v>74</v>
      </c>
      <c r="E794" t="s">
        <v>74</v>
      </c>
      <c r="F794" t="s">
        <v>15218</v>
      </c>
      <c r="G794" t="s">
        <v>74</v>
      </c>
      <c r="H794" t="s">
        <v>74</v>
      </c>
      <c r="I794" t="s">
        <v>15219</v>
      </c>
      <c r="J794" t="s">
        <v>539</v>
      </c>
      <c r="K794" t="s">
        <v>74</v>
      </c>
      <c r="L794" t="s">
        <v>74</v>
      </c>
      <c r="M794" t="s">
        <v>78</v>
      </c>
      <c r="N794" t="s">
        <v>1277</v>
      </c>
      <c r="O794" t="s">
        <v>74</v>
      </c>
      <c r="P794" t="s">
        <v>74</v>
      </c>
      <c r="Q794" t="s">
        <v>74</v>
      </c>
      <c r="R794" t="s">
        <v>74</v>
      </c>
      <c r="S794" t="s">
        <v>74</v>
      </c>
      <c r="T794" t="s">
        <v>74</v>
      </c>
      <c r="U794" t="s">
        <v>74</v>
      </c>
      <c r="V794" t="s">
        <v>74</v>
      </c>
      <c r="W794" t="s">
        <v>74</v>
      </c>
      <c r="X794" t="s">
        <v>74</v>
      </c>
      <c r="Y794" t="s">
        <v>74</v>
      </c>
      <c r="Z794" t="s">
        <v>74</v>
      </c>
      <c r="AA794" t="s">
        <v>74</v>
      </c>
      <c r="AB794" t="s">
        <v>74</v>
      </c>
      <c r="AC794" t="s">
        <v>74</v>
      </c>
      <c r="AD794" t="s">
        <v>74</v>
      </c>
      <c r="AE794" t="s">
        <v>74</v>
      </c>
      <c r="AF794" t="s">
        <v>74</v>
      </c>
      <c r="AG794">
        <v>0</v>
      </c>
      <c r="AH794">
        <v>0</v>
      </c>
      <c r="AI794">
        <v>0</v>
      </c>
      <c r="AJ794">
        <v>0</v>
      </c>
      <c r="AK794">
        <v>1</v>
      </c>
      <c r="AL794" t="s">
        <v>551</v>
      </c>
      <c r="AM794" t="s">
        <v>267</v>
      </c>
      <c r="AN794" t="s">
        <v>552</v>
      </c>
      <c r="AO794" t="s">
        <v>553</v>
      </c>
      <c r="AP794" t="s">
        <v>554</v>
      </c>
      <c r="AQ794" t="s">
        <v>74</v>
      </c>
      <c r="AR794" t="s">
        <v>539</v>
      </c>
      <c r="AS794" t="s">
        <v>555</v>
      </c>
      <c r="AT794" t="s">
        <v>15220</v>
      </c>
      <c r="AU794">
        <v>2015</v>
      </c>
      <c r="AV794">
        <v>347</v>
      </c>
      <c r="AW794">
        <v>6218</v>
      </c>
      <c r="AX794" t="s">
        <v>74</v>
      </c>
      <c r="AY794" t="s">
        <v>74</v>
      </c>
      <c r="AZ794" t="s">
        <v>74</v>
      </c>
      <c r="BA794" t="s">
        <v>74</v>
      </c>
      <c r="BB794">
        <v>110</v>
      </c>
      <c r="BC794">
        <v>110</v>
      </c>
      <c r="BD794" t="s">
        <v>74</v>
      </c>
      <c r="BE794" t="s">
        <v>74</v>
      </c>
      <c r="BF794" t="s">
        <v>74</v>
      </c>
      <c r="BG794" t="s">
        <v>74</v>
      </c>
      <c r="BH794" t="s">
        <v>74</v>
      </c>
      <c r="BI794">
        <v>1</v>
      </c>
      <c r="BJ794" t="s">
        <v>429</v>
      </c>
      <c r="BK794" t="s">
        <v>100</v>
      </c>
      <c r="BL794" t="s">
        <v>430</v>
      </c>
      <c r="BM794" t="s">
        <v>15221</v>
      </c>
      <c r="BN794" t="s">
        <v>74</v>
      </c>
      <c r="BO794" t="s">
        <v>74</v>
      </c>
      <c r="BP794" t="s">
        <v>74</v>
      </c>
      <c r="BQ794" t="s">
        <v>74</v>
      </c>
      <c r="BR794" t="s">
        <v>104</v>
      </c>
      <c r="BS794" t="s">
        <v>15222</v>
      </c>
      <c r="BT794" t="str">
        <f>HYPERLINK("https%3A%2F%2Fwww.webofscience.com%2Fwos%2Fwoscc%2Ffull-record%2FWOS:000347918900009","View Full Record in Web of Science")</f>
        <v>View Full Record in Web of Science</v>
      </c>
    </row>
    <row r="795" spans="1:72" x14ac:dyDescent="0.15">
      <c r="A795" t="s">
        <v>72</v>
      </c>
      <c r="B795" t="s">
        <v>15223</v>
      </c>
      <c r="C795" t="s">
        <v>74</v>
      </c>
      <c r="D795" t="s">
        <v>74</v>
      </c>
      <c r="E795" t="s">
        <v>74</v>
      </c>
      <c r="F795" t="s">
        <v>15224</v>
      </c>
      <c r="G795" t="s">
        <v>74</v>
      </c>
      <c r="H795" t="s">
        <v>74</v>
      </c>
      <c r="I795" t="s">
        <v>15225</v>
      </c>
      <c r="J795" t="s">
        <v>936</v>
      </c>
      <c r="K795" t="s">
        <v>74</v>
      </c>
      <c r="L795" t="s">
        <v>74</v>
      </c>
      <c r="M795" t="s">
        <v>78</v>
      </c>
      <c r="N795" t="s">
        <v>79</v>
      </c>
      <c r="O795" t="s">
        <v>74</v>
      </c>
      <c r="P795" t="s">
        <v>74</v>
      </c>
      <c r="Q795" t="s">
        <v>74</v>
      </c>
      <c r="R795" t="s">
        <v>74</v>
      </c>
      <c r="S795" t="s">
        <v>74</v>
      </c>
      <c r="T795" t="s">
        <v>74</v>
      </c>
      <c r="U795" t="s">
        <v>15226</v>
      </c>
      <c r="V795" t="s">
        <v>15227</v>
      </c>
      <c r="W795" t="s">
        <v>15228</v>
      </c>
      <c r="X795" t="s">
        <v>15229</v>
      </c>
      <c r="Y795" t="s">
        <v>15230</v>
      </c>
      <c r="Z795" t="s">
        <v>15231</v>
      </c>
      <c r="AA795" t="s">
        <v>15232</v>
      </c>
      <c r="AB795" t="s">
        <v>15233</v>
      </c>
      <c r="AC795" t="s">
        <v>15234</v>
      </c>
      <c r="AD795" t="s">
        <v>15235</v>
      </c>
      <c r="AE795" t="s">
        <v>15236</v>
      </c>
      <c r="AF795" t="s">
        <v>74</v>
      </c>
      <c r="AG795">
        <v>65</v>
      </c>
      <c r="AH795">
        <v>33</v>
      </c>
      <c r="AI795">
        <v>38</v>
      </c>
      <c r="AJ795">
        <v>0</v>
      </c>
      <c r="AK795">
        <v>49</v>
      </c>
      <c r="AL795" t="s">
        <v>946</v>
      </c>
      <c r="AM795" t="s">
        <v>947</v>
      </c>
      <c r="AN795" t="s">
        <v>948</v>
      </c>
      <c r="AO795" t="s">
        <v>949</v>
      </c>
      <c r="AP795" t="s">
        <v>74</v>
      </c>
      <c r="AQ795" t="s">
        <v>74</v>
      </c>
      <c r="AR795" t="s">
        <v>936</v>
      </c>
      <c r="AS795" t="s">
        <v>950</v>
      </c>
      <c r="AT795" t="s">
        <v>15220</v>
      </c>
      <c r="AU795">
        <v>2015</v>
      </c>
      <c r="AV795">
        <v>10</v>
      </c>
      <c r="AW795">
        <v>1</v>
      </c>
      <c r="AX795" t="s">
        <v>74</v>
      </c>
      <c r="AY795" t="s">
        <v>74</v>
      </c>
      <c r="AZ795" t="s">
        <v>74</v>
      </c>
      <c r="BA795" t="s">
        <v>74</v>
      </c>
      <c r="BB795" t="s">
        <v>74</v>
      </c>
      <c r="BC795" t="s">
        <v>74</v>
      </c>
      <c r="BD795" t="s">
        <v>15237</v>
      </c>
      <c r="BE795" t="s">
        <v>15238</v>
      </c>
      <c r="BF795" t="str">
        <f>HYPERLINK("http://dx.doi.org/10.1371/journal.pone.0116415","http://dx.doi.org/10.1371/journal.pone.0116415")</f>
        <v>http://dx.doi.org/10.1371/journal.pone.0116415</v>
      </c>
      <c r="BG795" t="s">
        <v>74</v>
      </c>
      <c r="BH795" t="s">
        <v>74</v>
      </c>
      <c r="BI795">
        <v>19</v>
      </c>
      <c r="BJ795" t="s">
        <v>429</v>
      </c>
      <c r="BK795" t="s">
        <v>100</v>
      </c>
      <c r="BL795" t="s">
        <v>430</v>
      </c>
      <c r="BM795" t="s">
        <v>15239</v>
      </c>
      <c r="BN795">
        <v>25574995</v>
      </c>
      <c r="BO795" t="s">
        <v>3546</v>
      </c>
      <c r="BP795" t="s">
        <v>74</v>
      </c>
      <c r="BQ795" t="s">
        <v>74</v>
      </c>
      <c r="BR795" t="s">
        <v>104</v>
      </c>
      <c r="BS795" t="s">
        <v>15240</v>
      </c>
      <c r="BT795" t="str">
        <f>HYPERLINK("https%3A%2F%2Fwww.webofscience.com%2Fwos%2Fwoscc%2Ffull-record%2FWOS:000348168100005","View Full Record in Web of Science")</f>
        <v>View Full Record in Web of Science</v>
      </c>
    </row>
    <row r="796" spans="1:72" x14ac:dyDescent="0.15">
      <c r="A796" t="s">
        <v>72</v>
      </c>
      <c r="B796" t="s">
        <v>15241</v>
      </c>
      <c r="C796" t="s">
        <v>74</v>
      </c>
      <c r="D796" t="s">
        <v>74</v>
      </c>
      <c r="E796" t="s">
        <v>74</v>
      </c>
      <c r="F796" t="s">
        <v>15242</v>
      </c>
      <c r="G796" t="s">
        <v>74</v>
      </c>
      <c r="H796" t="s">
        <v>74</v>
      </c>
      <c r="I796" t="s">
        <v>15243</v>
      </c>
      <c r="J796" t="s">
        <v>4952</v>
      </c>
      <c r="K796" t="s">
        <v>74</v>
      </c>
      <c r="L796" t="s">
        <v>74</v>
      </c>
      <c r="M796" t="s">
        <v>78</v>
      </c>
      <c r="N796" t="s">
        <v>79</v>
      </c>
      <c r="O796" t="s">
        <v>74</v>
      </c>
      <c r="P796" t="s">
        <v>74</v>
      </c>
      <c r="Q796" t="s">
        <v>74</v>
      </c>
      <c r="R796" t="s">
        <v>74</v>
      </c>
      <c r="S796" t="s">
        <v>74</v>
      </c>
      <c r="T796" t="s">
        <v>15244</v>
      </c>
      <c r="U796" t="s">
        <v>15245</v>
      </c>
      <c r="V796" t="s">
        <v>15246</v>
      </c>
      <c r="W796" t="s">
        <v>15247</v>
      </c>
      <c r="X796" t="s">
        <v>15248</v>
      </c>
      <c r="Y796" t="s">
        <v>12543</v>
      </c>
      <c r="Z796" t="s">
        <v>12544</v>
      </c>
      <c r="AA796" t="s">
        <v>12545</v>
      </c>
      <c r="AB796" t="s">
        <v>15249</v>
      </c>
      <c r="AC796" t="s">
        <v>15250</v>
      </c>
      <c r="AD796" t="s">
        <v>15251</v>
      </c>
      <c r="AE796" t="s">
        <v>15252</v>
      </c>
      <c r="AF796" t="s">
        <v>74</v>
      </c>
      <c r="AG796">
        <v>39</v>
      </c>
      <c r="AH796">
        <v>58</v>
      </c>
      <c r="AI796">
        <v>64</v>
      </c>
      <c r="AJ796">
        <v>1</v>
      </c>
      <c r="AK796">
        <v>14</v>
      </c>
      <c r="AL796" t="s">
        <v>1113</v>
      </c>
      <c r="AM796" t="s">
        <v>378</v>
      </c>
      <c r="AN796" t="s">
        <v>1114</v>
      </c>
      <c r="AO796" t="s">
        <v>4963</v>
      </c>
      <c r="AP796" t="s">
        <v>4964</v>
      </c>
      <c r="AQ796" t="s">
        <v>74</v>
      </c>
      <c r="AR796" t="s">
        <v>4965</v>
      </c>
      <c r="AS796" t="s">
        <v>4966</v>
      </c>
      <c r="AT796" t="s">
        <v>15253</v>
      </c>
      <c r="AU796">
        <v>2015</v>
      </c>
      <c r="AV796">
        <v>471</v>
      </c>
      <c r="AW796">
        <v>2173</v>
      </c>
      <c r="AX796" t="s">
        <v>74</v>
      </c>
      <c r="AY796" t="s">
        <v>74</v>
      </c>
      <c r="AZ796" t="s">
        <v>74</v>
      </c>
      <c r="BA796" t="s">
        <v>74</v>
      </c>
      <c r="BB796" t="s">
        <v>74</v>
      </c>
      <c r="BC796" t="s">
        <v>74</v>
      </c>
      <c r="BD796">
        <v>20140698</v>
      </c>
      <c r="BE796" t="s">
        <v>15254</v>
      </c>
      <c r="BF796" t="str">
        <f>HYPERLINK("http://dx.doi.org/10.1098/rspa.2014.0698","http://dx.doi.org/10.1098/rspa.2014.0698")</f>
        <v>http://dx.doi.org/10.1098/rspa.2014.0698</v>
      </c>
      <c r="BG796" t="s">
        <v>74</v>
      </c>
      <c r="BH796" t="s">
        <v>74</v>
      </c>
      <c r="BI796">
        <v>18</v>
      </c>
      <c r="BJ796" t="s">
        <v>429</v>
      </c>
      <c r="BK796" t="s">
        <v>100</v>
      </c>
      <c r="BL796" t="s">
        <v>430</v>
      </c>
      <c r="BM796" t="s">
        <v>15255</v>
      </c>
      <c r="BN796" t="s">
        <v>74</v>
      </c>
      <c r="BO796" t="s">
        <v>293</v>
      </c>
      <c r="BP796" t="s">
        <v>74</v>
      </c>
      <c r="BQ796" t="s">
        <v>74</v>
      </c>
      <c r="BR796" t="s">
        <v>104</v>
      </c>
      <c r="BS796" t="s">
        <v>15256</v>
      </c>
      <c r="BT796" t="str">
        <f>HYPERLINK("https%3A%2F%2Fwww.webofscience.com%2Fwos%2Fwoscc%2Ffull-record%2FWOS:000345623000020","View Full Record in Web of Science")</f>
        <v>View Full Record in Web of Science</v>
      </c>
    </row>
    <row r="797" spans="1:72" x14ac:dyDescent="0.15">
      <c r="A797" t="s">
        <v>72</v>
      </c>
      <c r="B797" t="s">
        <v>15257</v>
      </c>
      <c r="C797" t="s">
        <v>74</v>
      </c>
      <c r="D797" t="s">
        <v>74</v>
      </c>
      <c r="E797" t="s">
        <v>74</v>
      </c>
      <c r="F797" t="s">
        <v>15258</v>
      </c>
      <c r="G797" t="s">
        <v>74</v>
      </c>
      <c r="H797" t="s">
        <v>74</v>
      </c>
      <c r="I797" t="s">
        <v>15259</v>
      </c>
      <c r="J797" t="s">
        <v>1072</v>
      </c>
      <c r="K797" t="s">
        <v>74</v>
      </c>
      <c r="L797" t="s">
        <v>74</v>
      </c>
      <c r="M797" t="s">
        <v>78</v>
      </c>
      <c r="N797" t="s">
        <v>79</v>
      </c>
      <c r="O797" t="s">
        <v>74</v>
      </c>
      <c r="P797" t="s">
        <v>74</v>
      </c>
      <c r="Q797" t="s">
        <v>74</v>
      </c>
      <c r="R797" t="s">
        <v>74</v>
      </c>
      <c r="S797" t="s">
        <v>74</v>
      </c>
      <c r="T797" t="s">
        <v>15260</v>
      </c>
      <c r="U797" t="s">
        <v>15261</v>
      </c>
      <c r="V797" t="s">
        <v>15262</v>
      </c>
      <c r="W797" t="s">
        <v>15263</v>
      </c>
      <c r="X797" t="s">
        <v>15264</v>
      </c>
      <c r="Y797" t="s">
        <v>15265</v>
      </c>
      <c r="Z797" t="s">
        <v>15266</v>
      </c>
      <c r="AA797" t="s">
        <v>74</v>
      </c>
      <c r="AB797" t="s">
        <v>74</v>
      </c>
      <c r="AC797" t="s">
        <v>15267</v>
      </c>
      <c r="AD797" t="s">
        <v>15268</v>
      </c>
      <c r="AE797" t="s">
        <v>15269</v>
      </c>
      <c r="AF797" t="s">
        <v>74</v>
      </c>
      <c r="AG797">
        <v>114</v>
      </c>
      <c r="AH797">
        <v>3</v>
      </c>
      <c r="AI797">
        <v>4</v>
      </c>
      <c r="AJ797">
        <v>1</v>
      </c>
      <c r="AK797">
        <v>24</v>
      </c>
      <c r="AL797" t="s">
        <v>1085</v>
      </c>
      <c r="AM797" t="s">
        <v>1086</v>
      </c>
      <c r="AN797" t="s">
        <v>1087</v>
      </c>
      <c r="AO797" t="s">
        <v>1088</v>
      </c>
      <c r="AP797" t="s">
        <v>1089</v>
      </c>
      <c r="AQ797" t="s">
        <v>74</v>
      </c>
      <c r="AR797" t="s">
        <v>1090</v>
      </c>
      <c r="AS797" t="s">
        <v>1091</v>
      </c>
      <c r="AT797" t="s">
        <v>15270</v>
      </c>
      <c r="AU797">
        <v>2015</v>
      </c>
      <c r="AV797">
        <v>518</v>
      </c>
      <c r="AW797" t="s">
        <v>74</v>
      </c>
      <c r="AX797" t="s">
        <v>74</v>
      </c>
      <c r="AY797" t="s">
        <v>74</v>
      </c>
      <c r="AZ797" t="s">
        <v>74</v>
      </c>
      <c r="BA797" t="s">
        <v>74</v>
      </c>
      <c r="BB797">
        <v>69</v>
      </c>
      <c r="BC797">
        <v>83</v>
      </c>
      <c r="BD797" t="s">
        <v>74</v>
      </c>
      <c r="BE797" t="s">
        <v>15271</v>
      </c>
      <c r="BF797" t="str">
        <f>HYPERLINK("http://dx.doi.org/10.3354/meps11050","http://dx.doi.org/10.3354/meps11050")</f>
        <v>http://dx.doi.org/10.3354/meps11050</v>
      </c>
      <c r="BG797" t="s">
        <v>74</v>
      </c>
      <c r="BH797" t="s">
        <v>74</v>
      </c>
      <c r="BI797">
        <v>15</v>
      </c>
      <c r="BJ797" t="s">
        <v>1094</v>
      </c>
      <c r="BK797" t="s">
        <v>100</v>
      </c>
      <c r="BL797" t="s">
        <v>1095</v>
      </c>
      <c r="BM797" t="s">
        <v>15272</v>
      </c>
      <c r="BN797" t="s">
        <v>74</v>
      </c>
      <c r="BO797" t="s">
        <v>156</v>
      </c>
      <c r="BP797" t="s">
        <v>74</v>
      </c>
      <c r="BQ797" t="s">
        <v>74</v>
      </c>
      <c r="BR797" t="s">
        <v>104</v>
      </c>
      <c r="BS797" t="s">
        <v>15273</v>
      </c>
      <c r="BT797" t="str">
        <f>HYPERLINK("https%3A%2F%2Fwww.webofscience.com%2Fwos%2Fwoscc%2Ffull-record%2FWOS:000347720100005","View Full Record in Web of Science")</f>
        <v>View Full Record in Web of Science</v>
      </c>
    </row>
    <row r="798" spans="1:72" x14ac:dyDescent="0.15">
      <c r="A798" t="s">
        <v>72</v>
      </c>
      <c r="B798" t="s">
        <v>15274</v>
      </c>
      <c r="C798" t="s">
        <v>74</v>
      </c>
      <c r="D798" t="s">
        <v>74</v>
      </c>
      <c r="E798" t="s">
        <v>74</v>
      </c>
      <c r="F798" t="s">
        <v>15275</v>
      </c>
      <c r="G798" t="s">
        <v>74</v>
      </c>
      <c r="H798" t="s">
        <v>74</v>
      </c>
      <c r="I798" t="s">
        <v>15276</v>
      </c>
      <c r="J798" t="s">
        <v>4992</v>
      </c>
      <c r="K798" t="s">
        <v>74</v>
      </c>
      <c r="L798" t="s">
        <v>74</v>
      </c>
      <c r="M798" t="s">
        <v>78</v>
      </c>
      <c r="N798" t="s">
        <v>79</v>
      </c>
      <c r="O798" t="s">
        <v>74</v>
      </c>
      <c r="P798" t="s">
        <v>74</v>
      </c>
      <c r="Q798" t="s">
        <v>74</v>
      </c>
      <c r="R798" t="s">
        <v>74</v>
      </c>
      <c r="S798" t="s">
        <v>74</v>
      </c>
      <c r="T798" t="s">
        <v>74</v>
      </c>
      <c r="U798" t="s">
        <v>15277</v>
      </c>
      <c r="V798" t="s">
        <v>15278</v>
      </c>
      <c r="W798" t="s">
        <v>15279</v>
      </c>
      <c r="X798" t="s">
        <v>15280</v>
      </c>
      <c r="Y798" t="s">
        <v>15281</v>
      </c>
      <c r="Z798" t="s">
        <v>15282</v>
      </c>
      <c r="AA798" t="s">
        <v>15283</v>
      </c>
      <c r="AB798" t="s">
        <v>15284</v>
      </c>
      <c r="AC798" t="s">
        <v>15285</v>
      </c>
      <c r="AD798" t="s">
        <v>13520</v>
      </c>
      <c r="AE798" t="s">
        <v>15286</v>
      </c>
      <c r="AF798" t="s">
        <v>74</v>
      </c>
      <c r="AG798">
        <v>69</v>
      </c>
      <c r="AH798">
        <v>86</v>
      </c>
      <c r="AI798">
        <v>93</v>
      </c>
      <c r="AJ798">
        <v>6</v>
      </c>
      <c r="AK798">
        <v>195</v>
      </c>
      <c r="AL798" t="s">
        <v>646</v>
      </c>
      <c r="AM798" t="s">
        <v>267</v>
      </c>
      <c r="AN798" t="s">
        <v>647</v>
      </c>
      <c r="AO798" t="s">
        <v>5004</v>
      </c>
      <c r="AP798" t="s">
        <v>5005</v>
      </c>
      <c r="AQ798" t="s">
        <v>74</v>
      </c>
      <c r="AR798" t="s">
        <v>5006</v>
      </c>
      <c r="AS798" t="s">
        <v>5007</v>
      </c>
      <c r="AT798" t="s">
        <v>15287</v>
      </c>
      <c r="AU798">
        <v>2015</v>
      </c>
      <c r="AV798">
        <v>49</v>
      </c>
      <c r="AW798">
        <v>1</v>
      </c>
      <c r="AX798" t="s">
        <v>74</v>
      </c>
      <c r="AY798" t="s">
        <v>74</v>
      </c>
      <c r="AZ798" t="s">
        <v>74</v>
      </c>
      <c r="BA798" t="s">
        <v>74</v>
      </c>
      <c r="BB798">
        <v>103</v>
      </c>
      <c r="BC798">
        <v>112</v>
      </c>
      <c r="BD798" t="s">
        <v>74</v>
      </c>
      <c r="BE798" t="s">
        <v>15288</v>
      </c>
      <c r="BF798" t="str">
        <f>HYPERLINK("http://dx.doi.org/10.1021/es5048232","http://dx.doi.org/10.1021/es5048232")</f>
        <v>http://dx.doi.org/10.1021/es5048232</v>
      </c>
      <c r="BG798" t="s">
        <v>74</v>
      </c>
      <c r="BH798" t="s">
        <v>74</v>
      </c>
      <c r="BI798">
        <v>10</v>
      </c>
      <c r="BJ798" t="s">
        <v>5010</v>
      </c>
      <c r="BK798" t="s">
        <v>100</v>
      </c>
      <c r="BL798" t="s">
        <v>5011</v>
      </c>
      <c r="BM798" t="s">
        <v>15289</v>
      </c>
      <c r="BN798">
        <v>25478728</v>
      </c>
      <c r="BO798" t="s">
        <v>74</v>
      </c>
      <c r="BP798" t="s">
        <v>74</v>
      </c>
      <c r="BQ798" t="s">
        <v>74</v>
      </c>
      <c r="BR798" t="s">
        <v>104</v>
      </c>
      <c r="BS798" t="s">
        <v>15290</v>
      </c>
      <c r="BT798" t="str">
        <f>HYPERLINK("https%3A%2F%2Fwww.webofscience.com%2Fwos%2Fwoscc%2Ffull-record%2FWOS:000347589300012","View Full Record in Web of Science")</f>
        <v>View Full Record in Web of Science</v>
      </c>
    </row>
    <row r="799" spans="1:72" x14ac:dyDescent="0.15">
      <c r="A799" t="s">
        <v>72</v>
      </c>
      <c r="B799" t="s">
        <v>15291</v>
      </c>
      <c r="C799" t="s">
        <v>74</v>
      </c>
      <c r="D799" t="s">
        <v>74</v>
      </c>
      <c r="E799" t="s">
        <v>74</v>
      </c>
      <c r="F799" t="s">
        <v>15292</v>
      </c>
      <c r="G799" t="s">
        <v>74</v>
      </c>
      <c r="H799" t="s">
        <v>74</v>
      </c>
      <c r="I799" t="s">
        <v>15293</v>
      </c>
      <c r="J799" t="s">
        <v>4495</v>
      </c>
      <c r="K799" t="s">
        <v>74</v>
      </c>
      <c r="L799" t="s">
        <v>74</v>
      </c>
      <c r="M799" t="s">
        <v>78</v>
      </c>
      <c r="N799" t="s">
        <v>79</v>
      </c>
      <c r="O799" t="s">
        <v>74</v>
      </c>
      <c r="P799" t="s">
        <v>74</v>
      </c>
      <c r="Q799" t="s">
        <v>74</v>
      </c>
      <c r="R799" t="s">
        <v>74</v>
      </c>
      <c r="S799" t="s">
        <v>74</v>
      </c>
      <c r="T799" t="s">
        <v>74</v>
      </c>
      <c r="U799" t="s">
        <v>15294</v>
      </c>
      <c r="V799" t="s">
        <v>15295</v>
      </c>
      <c r="W799" t="s">
        <v>15296</v>
      </c>
      <c r="X799" t="s">
        <v>15297</v>
      </c>
      <c r="Y799" t="s">
        <v>15298</v>
      </c>
      <c r="Z799" t="s">
        <v>15299</v>
      </c>
      <c r="AA799" t="s">
        <v>4502</v>
      </c>
      <c r="AB799" t="s">
        <v>15300</v>
      </c>
      <c r="AC799" t="s">
        <v>15301</v>
      </c>
      <c r="AD799" t="s">
        <v>15302</v>
      </c>
      <c r="AE799" t="s">
        <v>74</v>
      </c>
      <c r="AF799" t="s">
        <v>74</v>
      </c>
      <c r="AG799">
        <v>64</v>
      </c>
      <c r="AH799">
        <v>14</v>
      </c>
      <c r="AI799">
        <v>15</v>
      </c>
      <c r="AJ799">
        <v>1</v>
      </c>
      <c r="AK799">
        <v>25</v>
      </c>
      <c r="AL799" t="s">
        <v>4506</v>
      </c>
      <c r="AM799" t="s">
        <v>4507</v>
      </c>
      <c r="AN799" t="s">
        <v>4508</v>
      </c>
      <c r="AO799" t="s">
        <v>4509</v>
      </c>
      <c r="AP799" t="s">
        <v>74</v>
      </c>
      <c r="AQ799" t="s">
        <v>74</v>
      </c>
      <c r="AR799" t="s">
        <v>4510</v>
      </c>
      <c r="AS799" t="s">
        <v>4511</v>
      </c>
      <c r="AT799" t="s">
        <v>15287</v>
      </c>
      <c r="AU799">
        <v>2015</v>
      </c>
      <c r="AV799">
        <v>3</v>
      </c>
      <c r="AW799" t="s">
        <v>74</v>
      </c>
      <c r="AX799" t="s">
        <v>74</v>
      </c>
      <c r="AY799" t="s">
        <v>74</v>
      </c>
      <c r="AZ799" t="s">
        <v>74</v>
      </c>
      <c r="BA799" t="s">
        <v>74</v>
      </c>
      <c r="BB799" t="s">
        <v>74</v>
      </c>
      <c r="BC799" t="s">
        <v>74</v>
      </c>
      <c r="BD799">
        <v>33</v>
      </c>
      <c r="BE799" t="s">
        <v>15303</v>
      </c>
      <c r="BF799" t="str">
        <f>HYPERLINK("http://dx.doi.org/10.12952/journal.elementa.000033","http://dx.doi.org/10.12952/journal.elementa.000033")</f>
        <v>http://dx.doi.org/10.12952/journal.elementa.000033</v>
      </c>
      <c r="BG799" t="s">
        <v>74</v>
      </c>
      <c r="BH799" t="s">
        <v>74</v>
      </c>
      <c r="BI799">
        <v>14</v>
      </c>
      <c r="BJ799" t="s">
        <v>1741</v>
      </c>
      <c r="BK799" t="s">
        <v>100</v>
      </c>
      <c r="BL799" t="s">
        <v>1742</v>
      </c>
      <c r="BM799" t="s">
        <v>15304</v>
      </c>
      <c r="BN799" t="s">
        <v>74</v>
      </c>
      <c r="BO799" t="s">
        <v>4689</v>
      </c>
      <c r="BP799" t="s">
        <v>74</v>
      </c>
      <c r="BQ799" t="s">
        <v>74</v>
      </c>
      <c r="BR799" t="s">
        <v>104</v>
      </c>
      <c r="BS799" t="s">
        <v>15305</v>
      </c>
      <c r="BT799" t="str">
        <f>HYPERLINK("https%3A%2F%2Fwww.webofscience.com%2Fwos%2Fwoscc%2Ffull-record%2FWOS:000362107500001","View Full Record in Web of Science")</f>
        <v>View Full Record in Web of Science</v>
      </c>
    </row>
    <row r="800" spans="1:72" x14ac:dyDescent="0.15">
      <c r="A800" t="s">
        <v>72</v>
      </c>
      <c r="B800" t="s">
        <v>15306</v>
      </c>
      <c r="C800" t="s">
        <v>74</v>
      </c>
      <c r="D800" t="s">
        <v>74</v>
      </c>
      <c r="E800" t="s">
        <v>74</v>
      </c>
      <c r="F800" t="s">
        <v>15307</v>
      </c>
      <c r="G800" t="s">
        <v>74</v>
      </c>
      <c r="H800" t="s">
        <v>74</v>
      </c>
      <c r="I800" t="s">
        <v>15308</v>
      </c>
      <c r="J800" t="s">
        <v>15309</v>
      </c>
      <c r="K800" t="s">
        <v>74</v>
      </c>
      <c r="L800" t="s">
        <v>74</v>
      </c>
      <c r="M800" t="s">
        <v>78</v>
      </c>
      <c r="N800" t="s">
        <v>79</v>
      </c>
      <c r="O800" t="s">
        <v>74</v>
      </c>
      <c r="P800" t="s">
        <v>74</v>
      </c>
      <c r="Q800" t="s">
        <v>74</v>
      </c>
      <c r="R800" t="s">
        <v>74</v>
      </c>
      <c r="S800" t="s">
        <v>74</v>
      </c>
      <c r="T800" t="s">
        <v>74</v>
      </c>
      <c r="U800" t="s">
        <v>15310</v>
      </c>
      <c r="V800" t="s">
        <v>15311</v>
      </c>
      <c r="W800" t="s">
        <v>15312</v>
      </c>
      <c r="X800" t="s">
        <v>15313</v>
      </c>
      <c r="Y800" t="s">
        <v>15314</v>
      </c>
      <c r="Z800" t="s">
        <v>15315</v>
      </c>
      <c r="AA800" t="s">
        <v>15316</v>
      </c>
      <c r="AB800" t="s">
        <v>15317</v>
      </c>
      <c r="AC800" t="s">
        <v>74</v>
      </c>
      <c r="AD800" t="s">
        <v>74</v>
      </c>
      <c r="AE800" t="s">
        <v>74</v>
      </c>
      <c r="AF800" t="s">
        <v>74</v>
      </c>
      <c r="AG800">
        <v>40</v>
      </c>
      <c r="AH800">
        <v>30</v>
      </c>
      <c r="AI800">
        <v>30</v>
      </c>
      <c r="AJ800">
        <v>0</v>
      </c>
      <c r="AK800">
        <v>49</v>
      </c>
      <c r="AL800" t="s">
        <v>15318</v>
      </c>
      <c r="AM800" t="s">
        <v>2168</v>
      </c>
      <c r="AN800" t="s">
        <v>15319</v>
      </c>
      <c r="AO800" t="s">
        <v>15320</v>
      </c>
      <c r="AP800" t="s">
        <v>15321</v>
      </c>
      <c r="AQ800" t="s">
        <v>74</v>
      </c>
      <c r="AR800" t="s">
        <v>15322</v>
      </c>
      <c r="AS800" t="s">
        <v>15323</v>
      </c>
      <c r="AT800" t="s">
        <v>15324</v>
      </c>
      <c r="AU800">
        <v>2015</v>
      </c>
      <c r="AV800">
        <v>25</v>
      </c>
      <c r="AW800">
        <v>1</v>
      </c>
      <c r="AX800" t="s">
        <v>74</v>
      </c>
      <c r="AY800" t="s">
        <v>74</v>
      </c>
      <c r="AZ800" t="s">
        <v>74</v>
      </c>
      <c r="BA800" t="s">
        <v>74</v>
      </c>
      <c r="BB800">
        <v>75</v>
      </c>
      <c r="BC800">
        <v>79</v>
      </c>
      <c r="BD800" t="s">
        <v>74</v>
      </c>
      <c r="BE800" t="s">
        <v>15325</v>
      </c>
      <c r="BF800" t="str">
        <f>HYPERLINK("http://dx.doi.org/10.1016/j.cub.2014.10.062","http://dx.doi.org/10.1016/j.cub.2014.10.062")</f>
        <v>http://dx.doi.org/10.1016/j.cub.2014.10.062</v>
      </c>
      <c r="BG800" t="s">
        <v>74</v>
      </c>
      <c r="BH800" t="s">
        <v>74</v>
      </c>
      <c r="BI800">
        <v>5</v>
      </c>
      <c r="BJ800" t="s">
        <v>15326</v>
      </c>
      <c r="BK800" t="s">
        <v>100</v>
      </c>
      <c r="BL800" t="s">
        <v>15327</v>
      </c>
      <c r="BM800" t="s">
        <v>15328</v>
      </c>
      <c r="BN800">
        <v>25467893</v>
      </c>
      <c r="BO800" t="s">
        <v>2481</v>
      </c>
      <c r="BP800" t="s">
        <v>74</v>
      </c>
      <c r="BQ800" t="s">
        <v>74</v>
      </c>
      <c r="BR800" t="s">
        <v>104</v>
      </c>
      <c r="BS800" t="s">
        <v>15329</v>
      </c>
      <c r="BT800" t="str">
        <f>HYPERLINK("https%3A%2F%2Fwww.webofscience.com%2Fwos%2Fwoscc%2Ffull-record%2FWOS:000347409900029","View Full Record in Web of Science")</f>
        <v>View Full Record in Web of Science</v>
      </c>
    </row>
    <row r="801" spans="1:72" x14ac:dyDescent="0.15">
      <c r="A801" t="s">
        <v>72</v>
      </c>
      <c r="B801" t="s">
        <v>15330</v>
      </c>
      <c r="C801" t="s">
        <v>74</v>
      </c>
      <c r="D801" t="s">
        <v>74</v>
      </c>
      <c r="E801" t="s">
        <v>74</v>
      </c>
      <c r="F801" t="s">
        <v>15331</v>
      </c>
      <c r="G801" t="s">
        <v>74</v>
      </c>
      <c r="H801" t="s">
        <v>74</v>
      </c>
      <c r="I801" t="s">
        <v>15332</v>
      </c>
      <c r="J801" t="s">
        <v>15333</v>
      </c>
      <c r="K801" t="s">
        <v>74</v>
      </c>
      <c r="L801" t="s">
        <v>74</v>
      </c>
      <c r="M801" t="s">
        <v>78</v>
      </c>
      <c r="N801" t="s">
        <v>1291</v>
      </c>
      <c r="O801" t="s">
        <v>74</v>
      </c>
      <c r="P801" t="s">
        <v>74</v>
      </c>
      <c r="Q801" t="s">
        <v>74</v>
      </c>
      <c r="R801" t="s">
        <v>74</v>
      </c>
      <c r="S801" t="s">
        <v>74</v>
      </c>
      <c r="T801" t="s">
        <v>15334</v>
      </c>
      <c r="U801" t="s">
        <v>15335</v>
      </c>
      <c r="V801" t="s">
        <v>15336</v>
      </c>
      <c r="W801" t="s">
        <v>15337</v>
      </c>
      <c r="X801" t="s">
        <v>15338</v>
      </c>
      <c r="Y801" t="s">
        <v>15339</v>
      </c>
      <c r="Z801" t="s">
        <v>15340</v>
      </c>
      <c r="AA801" t="s">
        <v>15341</v>
      </c>
      <c r="AB801" t="s">
        <v>15342</v>
      </c>
      <c r="AC801" t="s">
        <v>15343</v>
      </c>
      <c r="AD801" t="s">
        <v>15344</v>
      </c>
      <c r="AE801" t="s">
        <v>15345</v>
      </c>
      <c r="AF801" t="s">
        <v>74</v>
      </c>
      <c r="AG801">
        <v>98</v>
      </c>
      <c r="AH801">
        <v>106</v>
      </c>
      <c r="AI801">
        <v>113</v>
      </c>
      <c r="AJ801">
        <v>6</v>
      </c>
      <c r="AK801">
        <v>224</v>
      </c>
      <c r="AL801" t="s">
        <v>1113</v>
      </c>
      <c r="AM801" t="s">
        <v>378</v>
      </c>
      <c r="AN801" t="s">
        <v>1114</v>
      </c>
      <c r="AO801" t="s">
        <v>15346</v>
      </c>
      <c r="AP801" t="s">
        <v>15347</v>
      </c>
      <c r="AQ801" t="s">
        <v>74</v>
      </c>
      <c r="AR801" t="s">
        <v>15348</v>
      </c>
      <c r="AS801" t="s">
        <v>15349</v>
      </c>
      <c r="AT801" t="s">
        <v>15324</v>
      </c>
      <c r="AU801">
        <v>2015</v>
      </c>
      <c r="AV801">
        <v>370</v>
      </c>
      <c r="AW801">
        <v>1659</v>
      </c>
      <c r="AX801" t="s">
        <v>74</v>
      </c>
      <c r="AY801" t="s">
        <v>74</v>
      </c>
      <c r="AZ801" t="s">
        <v>74</v>
      </c>
      <c r="BA801" t="s">
        <v>74</v>
      </c>
      <c r="BB801" t="s">
        <v>74</v>
      </c>
      <c r="BC801" t="s">
        <v>74</v>
      </c>
      <c r="BD801">
        <v>20130279</v>
      </c>
      <c r="BE801" t="s">
        <v>15350</v>
      </c>
      <c r="BF801" t="str">
        <f>HYPERLINK("http://dx.doi.org/10.1098/rstb.2013.0279","http://dx.doi.org/10.1098/rstb.2013.0279")</f>
        <v>http://dx.doi.org/10.1098/rstb.2013.0279</v>
      </c>
      <c r="BG801" t="s">
        <v>74</v>
      </c>
      <c r="BH801" t="s">
        <v>74</v>
      </c>
      <c r="BI801">
        <v>8</v>
      </c>
      <c r="BJ801" t="s">
        <v>13177</v>
      </c>
      <c r="BK801" t="s">
        <v>100</v>
      </c>
      <c r="BL801" t="s">
        <v>13178</v>
      </c>
      <c r="BM801" t="s">
        <v>15351</v>
      </c>
      <c r="BN801" t="s">
        <v>74</v>
      </c>
      <c r="BO801" t="s">
        <v>293</v>
      </c>
      <c r="BP801" t="s">
        <v>74</v>
      </c>
      <c r="BQ801" t="s">
        <v>74</v>
      </c>
      <c r="BR801" t="s">
        <v>104</v>
      </c>
      <c r="BS801" t="s">
        <v>15352</v>
      </c>
      <c r="BT801" t="str">
        <f>HYPERLINK("https%3A%2F%2Fwww.webofscience.com%2Fwos%2Fwoscc%2Ffull-record%2FWOS:000346147200016","View Full Record in Web of Science")</f>
        <v>View Full Record in Web of Science</v>
      </c>
    </row>
    <row r="802" spans="1:72" x14ac:dyDescent="0.15">
      <c r="A802" t="s">
        <v>72</v>
      </c>
      <c r="B802" t="s">
        <v>15353</v>
      </c>
      <c r="C802" t="s">
        <v>74</v>
      </c>
      <c r="D802" t="s">
        <v>74</v>
      </c>
      <c r="E802" t="s">
        <v>74</v>
      </c>
      <c r="F802" t="s">
        <v>15354</v>
      </c>
      <c r="G802" t="s">
        <v>74</v>
      </c>
      <c r="H802" t="s">
        <v>74</v>
      </c>
      <c r="I802" t="s">
        <v>15355</v>
      </c>
      <c r="J802" t="s">
        <v>15356</v>
      </c>
      <c r="K802" t="s">
        <v>74</v>
      </c>
      <c r="L802" t="s">
        <v>74</v>
      </c>
      <c r="M802" t="s">
        <v>78</v>
      </c>
      <c r="N802" t="s">
        <v>1291</v>
      </c>
      <c r="O802" t="s">
        <v>74</v>
      </c>
      <c r="P802" t="s">
        <v>74</v>
      </c>
      <c r="Q802" t="s">
        <v>74</v>
      </c>
      <c r="R802" t="s">
        <v>74</v>
      </c>
      <c r="S802" t="s">
        <v>74</v>
      </c>
      <c r="T802" t="s">
        <v>15357</v>
      </c>
      <c r="U802" t="s">
        <v>15358</v>
      </c>
      <c r="V802" t="s">
        <v>15359</v>
      </c>
      <c r="W802" t="s">
        <v>15360</v>
      </c>
      <c r="X802" t="s">
        <v>15361</v>
      </c>
      <c r="Y802" t="s">
        <v>15362</v>
      </c>
      <c r="Z802" t="s">
        <v>15363</v>
      </c>
      <c r="AA802" t="s">
        <v>15364</v>
      </c>
      <c r="AB802" t="s">
        <v>15365</v>
      </c>
      <c r="AC802" t="s">
        <v>15366</v>
      </c>
      <c r="AD802" t="s">
        <v>15367</v>
      </c>
      <c r="AE802" t="s">
        <v>15368</v>
      </c>
      <c r="AF802" t="s">
        <v>74</v>
      </c>
      <c r="AG802">
        <v>84</v>
      </c>
      <c r="AH802">
        <v>9</v>
      </c>
      <c r="AI802">
        <v>11</v>
      </c>
      <c r="AJ802">
        <v>0</v>
      </c>
      <c r="AK802">
        <v>17</v>
      </c>
      <c r="AL802" t="s">
        <v>1239</v>
      </c>
      <c r="AM802" t="s">
        <v>448</v>
      </c>
      <c r="AN802" t="s">
        <v>1240</v>
      </c>
      <c r="AO802" t="s">
        <v>15369</v>
      </c>
      <c r="AP802" t="s">
        <v>15370</v>
      </c>
      <c r="AQ802" t="s">
        <v>74</v>
      </c>
      <c r="AR802" t="s">
        <v>15371</v>
      </c>
      <c r="AS802" t="s">
        <v>15372</v>
      </c>
      <c r="AT802" t="s">
        <v>15373</v>
      </c>
      <c r="AU802">
        <v>2015</v>
      </c>
      <c r="AV802">
        <v>82</v>
      </c>
      <c r="AW802">
        <v>1</v>
      </c>
      <c r="AX802" t="s">
        <v>74</v>
      </c>
      <c r="AY802" t="s">
        <v>74</v>
      </c>
      <c r="AZ802" t="s">
        <v>74</v>
      </c>
      <c r="BA802" t="s">
        <v>74</v>
      </c>
      <c r="BB802">
        <v>3</v>
      </c>
      <c r="BC802">
        <v>14</v>
      </c>
      <c r="BD802" t="s">
        <v>74</v>
      </c>
      <c r="BE802" t="s">
        <v>15374</v>
      </c>
      <c r="BF802" t="str">
        <f>HYPERLINK("http://dx.doi.org/10.1080/11250003.2014.976282","http://dx.doi.org/10.1080/11250003.2014.976282")</f>
        <v>http://dx.doi.org/10.1080/11250003.2014.976282</v>
      </c>
      <c r="BG802" t="s">
        <v>74</v>
      </c>
      <c r="BH802" t="s">
        <v>74</v>
      </c>
      <c r="BI802">
        <v>12</v>
      </c>
      <c r="BJ802" t="s">
        <v>509</v>
      </c>
      <c r="BK802" t="s">
        <v>100</v>
      </c>
      <c r="BL802" t="s">
        <v>509</v>
      </c>
      <c r="BM802" t="s">
        <v>15375</v>
      </c>
      <c r="BN802" t="s">
        <v>74</v>
      </c>
      <c r="BO802" t="s">
        <v>156</v>
      </c>
      <c r="BP802" t="s">
        <v>74</v>
      </c>
      <c r="BQ802" t="s">
        <v>74</v>
      </c>
      <c r="BR802" t="s">
        <v>104</v>
      </c>
      <c r="BS802" t="s">
        <v>15376</v>
      </c>
      <c r="BT802" t="str">
        <f>HYPERLINK("https%3A%2F%2Fwww.webofscience.com%2Fwos%2Fwoscc%2Ffull-record%2FWOS:000350974500002","View Full Record in Web of Science")</f>
        <v>View Full Record in Web of Science</v>
      </c>
    </row>
    <row r="803" spans="1:72" x14ac:dyDescent="0.15">
      <c r="A803" t="s">
        <v>72</v>
      </c>
      <c r="B803" t="s">
        <v>15377</v>
      </c>
      <c r="C803" t="s">
        <v>74</v>
      </c>
      <c r="D803" t="s">
        <v>74</v>
      </c>
      <c r="E803" t="s">
        <v>74</v>
      </c>
      <c r="F803" t="s">
        <v>15378</v>
      </c>
      <c r="G803" t="s">
        <v>74</v>
      </c>
      <c r="H803" t="s">
        <v>74</v>
      </c>
      <c r="I803" t="s">
        <v>15379</v>
      </c>
      <c r="J803" t="s">
        <v>5106</v>
      </c>
      <c r="K803" t="s">
        <v>74</v>
      </c>
      <c r="L803" t="s">
        <v>74</v>
      </c>
      <c r="M803" t="s">
        <v>78</v>
      </c>
      <c r="N803" t="s">
        <v>79</v>
      </c>
      <c r="O803" t="s">
        <v>74</v>
      </c>
      <c r="P803" t="s">
        <v>74</v>
      </c>
      <c r="Q803" t="s">
        <v>74</v>
      </c>
      <c r="R803" t="s">
        <v>74</v>
      </c>
      <c r="S803" t="s">
        <v>74</v>
      </c>
      <c r="T803" t="s">
        <v>15380</v>
      </c>
      <c r="U803" t="s">
        <v>15381</v>
      </c>
      <c r="V803" t="s">
        <v>15382</v>
      </c>
      <c r="W803" t="s">
        <v>15383</v>
      </c>
      <c r="X803" t="s">
        <v>15384</v>
      </c>
      <c r="Y803" t="s">
        <v>15385</v>
      </c>
      <c r="Z803" t="s">
        <v>15386</v>
      </c>
      <c r="AA803" t="s">
        <v>15387</v>
      </c>
      <c r="AB803" t="s">
        <v>15388</v>
      </c>
      <c r="AC803" t="s">
        <v>15389</v>
      </c>
      <c r="AD803" t="s">
        <v>15390</v>
      </c>
      <c r="AE803" t="s">
        <v>15391</v>
      </c>
      <c r="AF803" t="s">
        <v>74</v>
      </c>
      <c r="AG803">
        <v>70</v>
      </c>
      <c r="AH803">
        <v>9</v>
      </c>
      <c r="AI803">
        <v>9</v>
      </c>
      <c r="AJ803">
        <v>1</v>
      </c>
      <c r="AK803">
        <v>46</v>
      </c>
      <c r="AL803" t="s">
        <v>1239</v>
      </c>
      <c r="AM803" t="s">
        <v>448</v>
      </c>
      <c r="AN803" t="s">
        <v>1240</v>
      </c>
      <c r="AO803" t="s">
        <v>5116</v>
      </c>
      <c r="AP803" t="s">
        <v>5117</v>
      </c>
      <c r="AQ803" t="s">
        <v>74</v>
      </c>
      <c r="AR803" t="s">
        <v>5118</v>
      </c>
      <c r="AS803" t="s">
        <v>5119</v>
      </c>
      <c r="AT803" t="s">
        <v>15373</v>
      </c>
      <c r="AU803">
        <v>2015</v>
      </c>
      <c r="AV803">
        <v>58</v>
      </c>
      <c r="AW803">
        <v>1</v>
      </c>
      <c r="AX803" t="s">
        <v>74</v>
      </c>
      <c r="AY803" t="s">
        <v>74</v>
      </c>
      <c r="AZ803" t="s">
        <v>74</v>
      </c>
      <c r="BA803" t="s">
        <v>74</v>
      </c>
      <c r="BB803">
        <v>52</v>
      </c>
      <c r="BC803">
        <v>65</v>
      </c>
      <c r="BD803" t="s">
        <v>74</v>
      </c>
      <c r="BE803" t="s">
        <v>15392</v>
      </c>
      <c r="BF803" t="str">
        <f>HYPERLINK("http://dx.doi.org/10.1080/00288306.2014.990044","http://dx.doi.org/10.1080/00288306.2014.990044")</f>
        <v>http://dx.doi.org/10.1080/00288306.2014.990044</v>
      </c>
      <c r="BG803" t="s">
        <v>74</v>
      </c>
      <c r="BH803" t="s">
        <v>74</v>
      </c>
      <c r="BI803">
        <v>14</v>
      </c>
      <c r="BJ803" t="s">
        <v>5121</v>
      </c>
      <c r="BK803" t="s">
        <v>100</v>
      </c>
      <c r="BL803" t="s">
        <v>220</v>
      </c>
      <c r="BM803" t="s">
        <v>15393</v>
      </c>
      <c r="BN803" t="s">
        <v>74</v>
      </c>
      <c r="BO803" t="s">
        <v>156</v>
      </c>
      <c r="BP803" t="s">
        <v>74</v>
      </c>
      <c r="BQ803" t="s">
        <v>74</v>
      </c>
      <c r="BR803" t="s">
        <v>104</v>
      </c>
      <c r="BS803" t="s">
        <v>15394</v>
      </c>
      <c r="BT803" t="str">
        <f>HYPERLINK("https%3A%2F%2Fwww.webofscience.com%2Fwos%2Fwoscc%2Ffull-record%2FWOS:000350339300001","View Full Record in Web of Science")</f>
        <v>View Full Record in Web of Science</v>
      </c>
    </row>
    <row r="804" spans="1:72" x14ac:dyDescent="0.15">
      <c r="A804" t="s">
        <v>72</v>
      </c>
      <c r="B804" t="s">
        <v>15395</v>
      </c>
      <c r="C804" t="s">
        <v>74</v>
      </c>
      <c r="D804" t="s">
        <v>74</v>
      </c>
      <c r="E804" t="s">
        <v>74</v>
      </c>
      <c r="F804" t="s">
        <v>15396</v>
      </c>
      <c r="G804" t="s">
        <v>74</v>
      </c>
      <c r="H804" t="s">
        <v>74</v>
      </c>
      <c r="I804" t="s">
        <v>15397</v>
      </c>
      <c r="J804" t="s">
        <v>5085</v>
      </c>
      <c r="K804" t="s">
        <v>74</v>
      </c>
      <c r="L804" t="s">
        <v>74</v>
      </c>
      <c r="M804" t="s">
        <v>78</v>
      </c>
      <c r="N804" t="s">
        <v>79</v>
      </c>
      <c r="O804" t="s">
        <v>74</v>
      </c>
      <c r="P804" t="s">
        <v>74</v>
      </c>
      <c r="Q804" t="s">
        <v>74</v>
      </c>
      <c r="R804" t="s">
        <v>74</v>
      </c>
      <c r="S804" t="s">
        <v>74</v>
      </c>
      <c r="T804" t="s">
        <v>15398</v>
      </c>
      <c r="U804" t="s">
        <v>15399</v>
      </c>
      <c r="V804" t="s">
        <v>15400</v>
      </c>
      <c r="W804" t="s">
        <v>15401</v>
      </c>
      <c r="X804" t="s">
        <v>12243</v>
      </c>
      <c r="Y804" t="s">
        <v>15402</v>
      </c>
      <c r="Z804" t="s">
        <v>15403</v>
      </c>
      <c r="AA804" t="s">
        <v>15404</v>
      </c>
      <c r="AB804" t="s">
        <v>15405</v>
      </c>
      <c r="AC804" t="s">
        <v>74</v>
      </c>
      <c r="AD804" t="s">
        <v>74</v>
      </c>
      <c r="AE804" t="s">
        <v>74</v>
      </c>
      <c r="AF804" t="s">
        <v>74</v>
      </c>
      <c r="AG804">
        <v>66</v>
      </c>
      <c r="AH804">
        <v>19</v>
      </c>
      <c r="AI804">
        <v>20</v>
      </c>
      <c r="AJ804">
        <v>1</v>
      </c>
      <c r="AK804">
        <v>11</v>
      </c>
      <c r="AL804" t="s">
        <v>1239</v>
      </c>
      <c r="AM804" t="s">
        <v>448</v>
      </c>
      <c r="AN804" t="s">
        <v>1240</v>
      </c>
      <c r="AO804" t="s">
        <v>5096</v>
      </c>
      <c r="AP804" t="s">
        <v>5097</v>
      </c>
      <c r="AQ804" t="s">
        <v>74</v>
      </c>
      <c r="AR804" t="s">
        <v>5098</v>
      </c>
      <c r="AS804" t="s">
        <v>5099</v>
      </c>
      <c r="AT804" t="s">
        <v>15373</v>
      </c>
      <c r="AU804">
        <v>2015</v>
      </c>
      <c r="AV804">
        <v>49</v>
      </c>
      <c r="AW804">
        <v>1</v>
      </c>
      <c r="AX804" t="s">
        <v>74</v>
      </c>
      <c r="AY804" t="s">
        <v>74</v>
      </c>
      <c r="AZ804" t="s">
        <v>74</v>
      </c>
      <c r="BA804" t="s">
        <v>74</v>
      </c>
      <c r="BB804">
        <v>20</v>
      </c>
      <c r="BC804">
        <v>40</v>
      </c>
      <c r="BD804" t="s">
        <v>74</v>
      </c>
      <c r="BE804" t="s">
        <v>15406</v>
      </c>
      <c r="BF804" t="str">
        <f>HYPERLINK("http://dx.doi.org/10.1080/00288330.2014.924972","http://dx.doi.org/10.1080/00288330.2014.924972")</f>
        <v>http://dx.doi.org/10.1080/00288330.2014.924972</v>
      </c>
      <c r="BG804" t="s">
        <v>74</v>
      </c>
      <c r="BH804" t="s">
        <v>74</v>
      </c>
      <c r="BI804">
        <v>21</v>
      </c>
      <c r="BJ804" t="s">
        <v>1628</v>
      </c>
      <c r="BK804" t="s">
        <v>100</v>
      </c>
      <c r="BL804" t="s">
        <v>1628</v>
      </c>
      <c r="BM804" t="s">
        <v>15407</v>
      </c>
      <c r="BN804" t="s">
        <v>74</v>
      </c>
      <c r="BO804" t="s">
        <v>156</v>
      </c>
      <c r="BP804" t="s">
        <v>74</v>
      </c>
      <c r="BQ804" t="s">
        <v>74</v>
      </c>
      <c r="BR804" t="s">
        <v>104</v>
      </c>
      <c r="BS804" t="s">
        <v>15408</v>
      </c>
      <c r="BT804" t="str">
        <f>HYPERLINK("https%3A%2F%2Fwww.webofscience.com%2Fwos%2Fwoscc%2Ffull-record%2FWOS:000349787500003","View Full Record in Web of Science")</f>
        <v>View Full Record in Web of Science</v>
      </c>
    </row>
    <row r="805" spans="1:72" x14ac:dyDescent="0.15">
      <c r="A805" t="s">
        <v>72</v>
      </c>
      <c r="B805" t="s">
        <v>15409</v>
      </c>
      <c r="C805" t="s">
        <v>74</v>
      </c>
      <c r="D805" t="s">
        <v>74</v>
      </c>
      <c r="E805" t="s">
        <v>74</v>
      </c>
      <c r="F805" t="s">
        <v>15410</v>
      </c>
      <c r="G805" t="s">
        <v>74</v>
      </c>
      <c r="H805" t="s">
        <v>74</v>
      </c>
      <c r="I805" t="s">
        <v>15411</v>
      </c>
      <c r="J805" t="s">
        <v>5127</v>
      </c>
      <c r="K805" t="s">
        <v>74</v>
      </c>
      <c r="L805" t="s">
        <v>74</v>
      </c>
      <c r="M805" t="s">
        <v>78</v>
      </c>
      <c r="N805" t="s">
        <v>79</v>
      </c>
      <c r="O805" t="s">
        <v>74</v>
      </c>
      <c r="P805" t="s">
        <v>74</v>
      </c>
      <c r="Q805" t="s">
        <v>74</v>
      </c>
      <c r="R805" t="s">
        <v>74</v>
      </c>
      <c r="S805" t="s">
        <v>74</v>
      </c>
      <c r="T805" t="s">
        <v>15412</v>
      </c>
      <c r="U805" t="s">
        <v>15413</v>
      </c>
      <c r="V805" t="s">
        <v>15414</v>
      </c>
      <c r="W805" t="s">
        <v>15415</v>
      </c>
      <c r="X805" t="s">
        <v>6486</v>
      </c>
      <c r="Y805" t="s">
        <v>15416</v>
      </c>
      <c r="Z805" t="s">
        <v>15417</v>
      </c>
      <c r="AA805" t="s">
        <v>15418</v>
      </c>
      <c r="AB805" t="s">
        <v>15419</v>
      </c>
      <c r="AC805" t="s">
        <v>74</v>
      </c>
      <c r="AD805" t="s">
        <v>74</v>
      </c>
      <c r="AE805" t="s">
        <v>74</v>
      </c>
      <c r="AF805" t="s">
        <v>74</v>
      </c>
      <c r="AG805">
        <v>15</v>
      </c>
      <c r="AH805">
        <v>0</v>
      </c>
      <c r="AI805">
        <v>0</v>
      </c>
      <c r="AJ805">
        <v>0</v>
      </c>
      <c r="AK805">
        <v>5</v>
      </c>
      <c r="AL805" t="s">
        <v>1239</v>
      </c>
      <c r="AM805" t="s">
        <v>448</v>
      </c>
      <c r="AN805" t="s">
        <v>1240</v>
      </c>
      <c r="AO805" t="s">
        <v>5140</v>
      </c>
      <c r="AP805" t="s">
        <v>5141</v>
      </c>
      <c r="AQ805" t="s">
        <v>74</v>
      </c>
      <c r="AR805" t="s">
        <v>5142</v>
      </c>
      <c r="AS805" t="s">
        <v>5143</v>
      </c>
      <c r="AT805" t="s">
        <v>15373</v>
      </c>
      <c r="AU805">
        <v>2015</v>
      </c>
      <c r="AV805">
        <v>30</v>
      </c>
      <c r="AW805">
        <v>1</v>
      </c>
      <c r="AX805" t="s">
        <v>74</v>
      </c>
      <c r="AY805" t="s">
        <v>74</v>
      </c>
      <c r="AZ805" t="s">
        <v>74</v>
      </c>
      <c r="BA805" t="s">
        <v>74</v>
      </c>
      <c r="BB805">
        <v>55</v>
      </c>
      <c r="BC805">
        <v>64</v>
      </c>
      <c r="BD805" t="s">
        <v>74</v>
      </c>
      <c r="BE805" t="s">
        <v>15420</v>
      </c>
      <c r="BF805" t="str">
        <f>HYPERLINK("http://dx.doi.org/10.1080/0269249X.2014.966859","http://dx.doi.org/10.1080/0269249X.2014.966859")</f>
        <v>http://dx.doi.org/10.1080/0269249X.2014.966859</v>
      </c>
      <c r="BG805" t="s">
        <v>74</v>
      </c>
      <c r="BH805" t="s">
        <v>74</v>
      </c>
      <c r="BI805">
        <v>10</v>
      </c>
      <c r="BJ805" t="s">
        <v>2667</v>
      </c>
      <c r="BK805" t="s">
        <v>100</v>
      </c>
      <c r="BL805" t="s">
        <v>2667</v>
      </c>
      <c r="BM805" t="s">
        <v>15421</v>
      </c>
      <c r="BN805" t="s">
        <v>74</v>
      </c>
      <c r="BO805" t="s">
        <v>74</v>
      </c>
      <c r="BP805" t="s">
        <v>74</v>
      </c>
      <c r="BQ805" t="s">
        <v>74</v>
      </c>
      <c r="BR805" t="s">
        <v>104</v>
      </c>
      <c r="BS805" t="s">
        <v>15422</v>
      </c>
      <c r="BT805" t="str">
        <f>HYPERLINK("https%3A%2F%2Fwww.webofscience.com%2Fwos%2Fwoscc%2Ffull-record%2FWOS:000347693700005","View Full Record in Web of Science")</f>
        <v>View Full Record in Web of Science</v>
      </c>
    </row>
    <row r="806" spans="1:72" x14ac:dyDescent="0.15">
      <c r="A806" t="s">
        <v>72</v>
      </c>
      <c r="B806" t="s">
        <v>15423</v>
      </c>
      <c r="C806" t="s">
        <v>74</v>
      </c>
      <c r="D806" t="s">
        <v>74</v>
      </c>
      <c r="E806" t="s">
        <v>74</v>
      </c>
      <c r="F806" t="s">
        <v>15424</v>
      </c>
      <c r="G806" t="s">
        <v>74</v>
      </c>
      <c r="H806" t="s">
        <v>74</v>
      </c>
      <c r="I806" t="s">
        <v>15425</v>
      </c>
      <c r="J806" t="s">
        <v>15426</v>
      </c>
      <c r="K806" t="s">
        <v>74</v>
      </c>
      <c r="L806" t="s">
        <v>74</v>
      </c>
      <c r="M806" t="s">
        <v>78</v>
      </c>
      <c r="N806" t="s">
        <v>79</v>
      </c>
      <c r="O806" t="s">
        <v>74</v>
      </c>
      <c r="P806" t="s">
        <v>74</v>
      </c>
      <c r="Q806" t="s">
        <v>74</v>
      </c>
      <c r="R806" t="s">
        <v>74</v>
      </c>
      <c r="S806" t="s">
        <v>74</v>
      </c>
      <c r="T806" t="s">
        <v>15427</v>
      </c>
      <c r="U806" t="s">
        <v>15428</v>
      </c>
      <c r="V806" t="s">
        <v>15429</v>
      </c>
      <c r="W806" t="s">
        <v>15430</v>
      </c>
      <c r="X806" t="s">
        <v>15431</v>
      </c>
      <c r="Y806" t="s">
        <v>15432</v>
      </c>
      <c r="Z806" t="s">
        <v>15433</v>
      </c>
      <c r="AA806" t="s">
        <v>15434</v>
      </c>
      <c r="AB806" t="s">
        <v>74</v>
      </c>
      <c r="AC806" t="s">
        <v>15435</v>
      </c>
      <c r="AD806" t="s">
        <v>15436</v>
      </c>
      <c r="AE806" t="s">
        <v>15437</v>
      </c>
      <c r="AF806" t="s">
        <v>74</v>
      </c>
      <c r="AG806">
        <v>23</v>
      </c>
      <c r="AH806">
        <v>2</v>
      </c>
      <c r="AI806">
        <v>3</v>
      </c>
      <c r="AJ806">
        <v>1</v>
      </c>
      <c r="AK806">
        <v>33</v>
      </c>
      <c r="AL806" t="s">
        <v>1207</v>
      </c>
      <c r="AM806" t="s">
        <v>1208</v>
      </c>
      <c r="AN806" t="s">
        <v>1209</v>
      </c>
      <c r="AO806" t="s">
        <v>15438</v>
      </c>
      <c r="AP806" t="s">
        <v>15439</v>
      </c>
      <c r="AQ806" t="s">
        <v>74</v>
      </c>
      <c r="AR806" t="s">
        <v>15440</v>
      </c>
      <c r="AS806" t="s">
        <v>15441</v>
      </c>
      <c r="AT806" t="s">
        <v>15373</v>
      </c>
      <c r="AU806">
        <v>2015</v>
      </c>
      <c r="AV806">
        <v>38</v>
      </c>
      <c r="AW806">
        <v>1</v>
      </c>
      <c r="AX806" t="s">
        <v>74</v>
      </c>
      <c r="AY806" t="s">
        <v>74</v>
      </c>
      <c r="AZ806" t="s">
        <v>74</v>
      </c>
      <c r="BA806" t="s">
        <v>74</v>
      </c>
      <c r="BB806">
        <v>89</v>
      </c>
      <c r="BC806">
        <v>97</v>
      </c>
      <c r="BD806" t="s">
        <v>74</v>
      </c>
      <c r="BE806" t="s">
        <v>15442</v>
      </c>
      <c r="BF806" t="str">
        <f>HYPERLINK("http://dx.doi.org/10.1080/01490419.2014.969458","http://dx.doi.org/10.1080/01490419.2014.969458")</f>
        <v>http://dx.doi.org/10.1080/01490419.2014.969458</v>
      </c>
      <c r="BG806" t="s">
        <v>74</v>
      </c>
      <c r="BH806" t="s">
        <v>74</v>
      </c>
      <c r="BI806">
        <v>9</v>
      </c>
      <c r="BJ806" t="s">
        <v>15443</v>
      </c>
      <c r="BK806" t="s">
        <v>100</v>
      </c>
      <c r="BL806" t="s">
        <v>15443</v>
      </c>
      <c r="BM806" t="s">
        <v>15444</v>
      </c>
      <c r="BN806" t="s">
        <v>74</v>
      </c>
      <c r="BO806" t="s">
        <v>248</v>
      </c>
      <c r="BP806" t="s">
        <v>74</v>
      </c>
      <c r="BQ806" t="s">
        <v>74</v>
      </c>
      <c r="BR806" t="s">
        <v>104</v>
      </c>
      <c r="BS806" t="s">
        <v>15445</v>
      </c>
      <c r="BT806" t="str">
        <f>HYPERLINK("https%3A%2F%2Fwww.webofscience.com%2Fwos%2Fwoscc%2Ffull-record%2FWOS:000345365900006","View Full Record in Web of Science")</f>
        <v>View Full Record in Web of Science</v>
      </c>
    </row>
    <row r="807" spans="1:72" x14ac:dyDescent="0.15">
      <c r="A807" t="s">
        <v>72</v>
      </c>
      <c r="B807" t="s">
        <v>15446</v>
      </c>
      <c r="C807" t="s">
        <v>74</v>
      </c>
      <c r="D807" t="s">
        <v>74</v>
      </c>
      <c r="E807" t="s">
        <v>74</v>
      </c>
      <c r="F807" t="s">
        <v>15447</v>
      </c>
      <c r="G807" t="s">
        <v>74</v>
      </c>
      <c r="H807" t="s">
        <v>74</v>
      </c>
      <c r="I807" t="s">
        <v>15448</v>
      </c>
      <c r="J807" t="s">
        <v>5106</v>
      </c>
      <c r="K807" t="s">
        <v>74</v>
      </c>
      <c r="L807" t="s">
        <v>74</v>
      </c>
      <c r="M807" t="s">
        <v>78</v>
      </c>
      <c r="N807" t="s">
        <v>1291</v>
      </c>
      <c r="O807" t="s">
        <v>74</v>
      </c>
      <c r="P807" t="s">
        <v>74</v>
      </c>
      <c r="Q807" t="s">
        <v>74</v>
      </c>
      <c r="R807" t="s">
        <v>74</v>
      </c>
      <c r="S807" t="s">
        <v>74</v>
      </c>
      <c r="T807" t="s">
        <v>15449</v>
      </c>
      <c r="U807" t="s">
        <v>15450</v>
      </c>
      <c r="V807" t="s">
        <v>15451</v>
      </c>
      <c r="W807" t="s">
        <v>15452</v>
      </c>
      <c r="X807" t="s">
        <v>15453</v>
      </c>
      <c r="Y807" t="s">
        <v>15454</v>
      </c>
      <c r="Z807" t="s">
        <v>15455</v>
      </c>
      <c r="AA807" t="s">
        <v>15456</v>
      </c>
      <c r="AB807" t="s">
        <v>15457</v>
      </c>
      <c r="AC807" t="s">
        <v>15458</v>
      </c>
      <c r="AD807" t="s">
        <v>15459</v>
      </c>
      <c r="AE807" t="s">
        <v>15460</v>
      </c>
      <c r="AF807" t="s">
        <v>74</v>
      </c>
      <c r="AG807">
        <v>100</v>
      </c>
      <c r="AH807">
        <v>9</v>
      </c>
      <c r="AI807">
        <v>13</v>
      </c>
      <c r="AJ807">
        <v>1</v>
      </c>
      <c r="AK807">
        <v>12</v>
      </c>
      <c r="AL807" t="s">
        <v>1239</v>
      </c>
      <c r="AM807" t="s">
        <v>448</v>
      </c>
      <c r="AN807" t="s">
        <v>1240</v>
      </c>
      <c r="AO807" t="s">
        <v>5116</v>
      </c>
      <c r="AP807" t="s">
        <v>5117</v>
      </c>
      <c r="AQ807" t="s">
        <v>74</v>
      </c>
      <c r="AR807" t="s">
        <v>5118</v>
      </c>
      <c r="AS807" t="s">
        <v>5119</v>
      </c>
      <c r="AT807" t="s">
        <v>15373</v>
      </c>
      <c r="AU807">
        <v>2015</v>
      </c>
      <c r="AV807">
        <v>58</v>
      </c>
      <c r="AW807">
        <v>1</v>
      </c>
      <c r="AX807" t="s">
        <v>74</v>
      </c>
      <c r="AY807" t="s">
        <v>74</v>
      </c>
      <c r="AZ807" t="s">
        <v>74</v>
      </c>
      <c r="BA807" t="s">
        <v>74</v>
      </c>
      <c r="BB807">
        <v>33</v>
      </c>
      <c r="BC807">
        <v>51</v>
      </c>
      <c r="BD807" t="s">
        <v>74</v>
      </c>
      <c r="BE807" t="s">
        <v>15461</v>
      </c>
      <c r="BF807" t="str">
        <f>HYPERLINK("http://dx.doi.org/10.1080/00288306.2014.982660","http://dx.doi.org/10.1080/00288306.2014.982660")</f>
        <v>http://dx.doi.org/10.1080/00288306.2014.982660</v>
      </c>
      <c r="BG807" t="s">
        <v>74</v>
      </c>
      <c r="BH807" t="s">
        <v>74</v>
      </c>
      <c r="BI807">
        <v>19</v>
      </c>
      <c r="BJ807" t="s">
        <v>5121</v>
      </c>
      <c r="BK807" t="s">
        <v>100</v>
      </c>
      <c r="BL807" t="s">
        <v>220</v>
      </c>
      <c r="BM807" t="s">
        <v>15462</v>
      </c>
      <c r="BN807" t="s">
        <v>74</v>
      </c>
      <c r="BO807" t="s">
        <v>156</v>
      </c>
      <c r="BP807" t="s">
        <v>74</v>
      </c>
      <c r="BQ807" t="s">
        <v>74</v>
      </c>
      <c r="BR807" t="s">
        <v>104</v>
      </c>
      <c r="BS807" t="s">
        <v>15463</v>
      </c>
      <c r="BT807" t="str">
        <f>HYPERLINK("https%3A%2F%2Fwww.webofscience.com%2Fwos%2Fwoscc%2Ffull-record%2FWOS:000350339700001","View Full Record in Web of Science")</f>
        <v>View Full Record in Web of Science</v>
      </c>
    </row>
    <row r="808" spans="1:72" x14ac:dyDescent="0.15">
      <c r="A808" t="s">
        <v>15464</v>
      </c>
      <c r="B808" t="s">
        <v>15465</v>
      </c>
      <c r="C808" t="s">
        <v>74</v>
      </c>
      <c r="D808" t="s">
        <v>15466</v>
      </c>
      <c r="E808" t="s">
        <v>74</v>
      </c>
      <c r="F808" t="s">
        <v>15467</v>
      </c>
      <c r="G808" t="s">
        <v>74</v>
      </c>
      <c r="H808" t="s">
        <v>74</v>
      </c>
      <c r="I808" t="s">
        <v>15468</v>
      </c>
      <c r="J808" t="s">
        <v>15469</v>
      </c>
      <c r="K808" t="s">
        <v>15470</v>
      </c>
      <c r="L808" t="s">
        <v>74</v>
      </c>
      <c r="M808" t="s">
        <v>78</v>
      </c>
      <c r="N808" t="s">
        <v>15471</v>
      </c>
      <c r="O808" t="s">
        <v>15472</v>
      </c>
      <c r="P808" t="s">
        <v>15473</v>
      </c>
      <c r="Q808" t="s">
        <v>15474</v>
      </c>
      <c r="R808" t="s">
        <v>74</v>
      </c>
      <c r="S808" t="s">
        <v>74</v>
      </c>
      <c r="T808" t="s">
        <v>74</v>
      </c>
      <c r="U808" t="s">
        <v>74</v>
      </c>
      <c r="V808" t="s">
        <v>15475</v>
      </c>
      <c r="W808" t="s">
        <v>15476</v>
      </c>
      <c r="X808" t="s">
        <v>15477</v>
      </c>
      <c r="Y808" t="s">
        <v>15478</v>
      </c>
      <c r="Z808" t="s">
        <v>74</v>
      </c>
      <c r="AA808" t="s">
        <v>74</v>
      </c>
      <c r="AB808" t="s">
        <v>15479</v>
      </c>
      <c r="AC808" t="s">
        <v>74</v>
      </c>
      <c r="AD808" t="s">
        <v>74</v>
      </c>
      <c r="AE808" t="s">
        <v>74</v>
      </c>
      <c r="AF808" t="s">
        <v>74</v>
      </c>
      <c r="AG808">
        <v>5</v>
      </c>
      <c r="AH808">
        <v>0</v>
      </c>
      <c r="AI808">
        <v>0</v>
      </c>
      <c r="AJ808">
        <v>0</v>
      </c>
      <c r="AK808">
        <v>0</v>
      </c>
      <c r="AL808" t="s">
        <v>2167</v>
      </c>
      <c r="AM808" t="s">
        <v>2168</v>
      </c>
      <c r="AN808" t="s">
        <v>15480</v>
      </c>
      <c r="AO808" t="s">
        <v>15481</v>
      </c>
      <c r="AP808" t="s">
        <v>15482</v>
      </c>
      <c r="AQ808" t="s">
        <v>15483</v>
      </c>
      <c r="AR808" t="s">
        <v>15484</v>
      </c>
      <c r="AS808" t="s">
        <v>15485</v>
      </c>
      <c r="AT808" t="s">
        <v>74</v>
      </c>
      <c r="AU808">
        <v>2015</v>
      </c>
      <c r="AV808" t="s">
        <v>74</v>
      </c>
      <c r="AW808">
        <v>315</v>
      </c>
      <c r="AX808" t="s">
        <v>74</v>
      </c>
      <c r="AY808" t="s">
        <v>74</v>
      </c>
      <c r="AZ808" t="s">
        <v>74</v>
      </c>
      <c r="BA808" t="s">
        <v>74</v>
      </c>
      <c r="BB808" t="s">
        <v>74</v>
      </c>
      <c r="BC808" t="s">
        <v>74</v>
      </c>
      <c r="BD808" t="s">
        <v>74</v>
      </c>
      <c r="BE808" t="s">
        <v>15486</v>
      </c>
      <c r="BF808" t="str">
        <f>HYPERLINK("http://dx.doi.org/10.1017/S1743921316007717","http://dx.doi.org/10.1017/S1743921316007717")</f>
        <v>http://dx.doi.org/10.1017/S1743921316007717</v>
      </c>
      <c r="BG808" t="s">
        <v>74</v>
      </c>
      <c r="BH808" t="s">
        <v>74</v>
      </c>
      <c r="BI808">
        <v>2</v>
      </c>
      <c r="BJ808" t="s">
        <v>246</v>
      </c>
      <c r="BK808" t="s">
        <v>15487</v>
      </c>
      <c r="BL808" t="s">
        <v>246</v>
      </c>
      <c r="BM808" t="s">
        <v>15488</v>
      </c>
      <c r="BN808" t="s">
        <v>74</v>
      </c>
      <c r="BO808" t="s">
        <v>156</v>
      </c>
      <c r="BP808" t="s">
        <v>74</v>
      </c>
      <c r="BQ808" t="s">
        <v>74</v>
      </c>
      <c r="BR808" t="s">
        <v>104</v>
      </c>
      <c r="BS808" t="s">
        <v>15489</v>
      </c>
      <c r="BT808" t="str">
        <f>HYPERLINK("https%3A%2F%2Fwww.webofscience.com%2Fwos%2Fwoscc%2Ffull-record%2FWOS:000387795900010","View Full Record in Web of Science")</f>
        <v>View Full Record in Web of Science</v>
      </c>
    </row>
    <row r="809" spans="1:72" x14ac:dyDescent="0.15">
      <c r="A809" t="s">
        <v>15490</v>
      </c>
      <c r="B809" t="s">
        <v>15491</v>
      </c>
      <c r="C809" t="s">
        <v>74</v>
      </c>
      <c r="D809" t="s">
        <v>15492</v>
      </c>
      <c r="E809" t="s">
        <v>74</v>
      </c>
      <c r="F809" t="s">
        <v>15493</v>
      </c>
      <c r="G809" t="s">
        <v>74</v>
      </c>
      <c r="H809" t="s">
        <v>74</v>
      </c>
      <c r="I809" t="s">
        <v>15494</v>
      </c>
      <c r="J809" t="s">
        <v>15495</v>
      </c>
      <c r="K809" t="s">
        <v>74</v>
      </c>
      <c r="L809" t="s">
        <v>74</v>
      </c>
      <c r="M809" t="s">
        <v>78</v>
      </c>
      <c r="N809" t="s">
        <v>15496</v>
      </c>
      <c r="O809" t="s">
        <v>74</v>
      </c>
      <c r="P809" t="s">
        <v>74</v>
      </c>
      <c r="Q809" t="s">
        <v>74</v>
      </c>
      <c r="R809" t="s">
        <v>74</v>
      </c>
      <c r="S809" t="s">
        <v>74</v>
      </c>
      <c r="T809" t="s">
        <v>74</v>
      </c>
      <c r="U809" t="s">
        <v>15497</v>
      </c>
      <c r="V809" t="s">
        <v>74</v>
      </c>
      <c r="W809" t="s">
        <v>15498</v>
      </c>
      <c r="X809" t="s">
        <v>15499</v>
      </c>
      <c r="Y809" t="s">
        <v>15500</v>
      </c>
      <c r="Z809" t="s">
        <v>74</v>
      </c>
      <c r="AA809" t="s">
        <v>15501</v>
      </c>
      <c r="AB809" t="s">
        <v>15502</v>
      </c>
      <c r="AC809" t="s">
        <v>74</v>
      </c>
      <c r="AD809" t="s">
        <v>74</v>
      </c>
      <c r="AE809" t="s">
        <v>74</v>
      </c>
      <c r="AF809" t="s">
        <v>74</v>
      </c>
      <c r="AG809">
        <v>25</v>
      </c>
      <c r="AH809">
        <v>0</v>
      </c>
      <c r="AI809">
        <v>0</v>
      </c>
      <c r="AJ809">
        <v>0</v>
      </c>
      <c r="AK809">
        <v>2</v>
      </c>
      <c r="AL809" t="s">
        <v>15503</v>
      </c>
      <c r="AM809" t="s">
        <v>15504</v>
      </c>
      <c r="AN809" t="s">
        <v>15505</v>
      </c>
      <c r="AO809" t="s">
        <v>74</v>
      </c>
      <c r="AP809" t="s">
        <v>74</v>
      </c>
      <c r="AQ809" t="s">
        <v>15506</v>
      </c>
      <c r="AR809" t="s">
        <v>74</v>
      </c>
      <c r="AS809" t="s">
        <v>74</v>
      </c>
      <c r="AT809" t="s">
        <v>74</v>
      </c>
      <c r="AU809">
        <v>2015</v>
      </c>
      <c r="AV809" t="s">
        <v>74</v>
      </c>
      <c r="AW809" t="s">
        <v>74</v>
      </c>
      <c r="AX809" t="s">
        <v>74</v>
      </c>
      <c r="AY809" t="s">
        <v>74</v>
      </c>
      <c r="AZ809" t="s">
        <v>74</v>
      </c>
      <c r="BA809" t="s">
        <v>74</v>
      </c>
      <c r="BB809">
        <v>259</v>
      </c>
      <c r="BC809">
        <v>276</v>
      </c>
      <c r="BD809" t="s">
        <v>74</v>
      </c>
      <c r="BE809" t="s">
        <v>15507</v>
      </c>
      <c r="BF809" t="str">
        <f>HYPERLINK("http://dx.doi.org/10.1371/journal.pone.0059376","http://dx.doi.org/10.1371/journal.pone.0059376")</f>
        <v>http://dx.doi.org/10.1371/journal.pone.0059376</v>
      </c>
      <c r="BG809" t="s">
        <v>15508</v>
      </c>
      <c r="BH809" t="s">
        <v>74</v>
      </c>
      <c r="BI809">
        <v>18</v>
      </c>
      <c r="BJ809" t="s">
        <v>15509</v>
      </c>
      <c r="BK809" t="s">
        <v>15510</v>
      </c>
      <c r="BL809" t="s">
        <v>15511</v>
      </c>
      <c r="BM809" t="s">
        <v>15512</v>
      </c>
      <c r="BN809" t="s">
        <v>74</v>
      </c>
      <c r="BO809" t="s">
        <v>1685</v>
      </c>
      <c r="BP809" t="s">
        <v>74</v>
      </c>
      <c r="BQ809" t="s">
        <v>74</v>
      </c>
      <c r="BR809" t="s">
        <v>104</v>
      </c>
      <c r="BS809" t="s">
        <v>15513</v>
      </c>
      <c r="BT809" t="str">
        <f>HYPERLINK("https%3A%2F%2Fwww.webofscience.com%2Fwos%2Fwoscc%2Ffull-record%2FWOS:000388352500011","View Full Record in Web of Science")</f>
        <v>View Full Record in Web of Science</v>
      </c>
    </row>
    <row r="810" spans="1:72" x14ac:dyDescent="0.15">
      <c r="A810" t="s">
        <v>15464</v>
      </c>
      <c r="B810" t="s">
        <v>15514</v>
      </c>
      <c r="C810" t="s">
        <v>74</v>
      </c>
      <c r="D810" t="s">
        <v>15515</v>
      </c>
      <c r="E810" t="s">
        <v>74</v>
      </c>
      <c r="F810" t="s">
        <v>15516</v>
      </c>
      <c r="G810" t="s">
        <v>74</v>
      </c>
      <c r="H810" t="s">
        <v>74</v>
      </c>
      <c r="I810" t="s">
        <v>15517</v>
      </c>
      <c r="J810" t="s">
        <v>15518</v>
      </c>
      <c r="K810" t="s">
        <v>74</v>
      </c>
      <c r="L810" t="s">
        <v>74</v>
      </c>
      <c r="M810" t="s">
        <v>78</v>
      </c>
      <c r="N810" t="s">
        <v>15471</v>
      </c>
      <c r="O810" t="s">
        <v>15519</v>
      </c>
      <c r="P810" t="s">
        <v>15520</v>
      </c>
      <c r="Q810" t="s">
        <v>15521</v>
      </c>
      <c r="R810" t="s">
        <v>74</v>
      </c>
      <c r="S810" t="s">
        <v>74</v>
      </c>
      <c r="T810" t="s">
        <v>15522</v>
      </c>
      <c r="U810" t="s">
        <v>74</v>
      </c>
      <c r="V810" t="s">
        <v>15523</v>
      </c>
      <c r="W810" t="s">
        <v>15524</v>
      </c>
      <c r="X810" t="s">
        <v>15525</v>
      </c>
      <c r="Y810" t="s">
        <v>15526</v>
      </c>
      <c r="Z810" t="s">
        <v>15527</v>
      </c>
      <c r="AA810" t="s">
        <v>15528</v>
      </c>
      <c r="AB810" t="s">
        <v>74</v>
      </c>
      <c r="AC810" t="s">
        <v>74</v>
      </c>
      <c r="AD810" t="s">
        <v>74</v>
      </c>
      <c r="AE810" t="s">
        <v>74</v>
      </c>
      <c r="AF810" t="s">
        <v>74</v>
      </c>
      <c r="AG810">
        <v>5</v>
      </c>
      <c r="AH810">
        <v>0</v>
      </c>
      <c r="AI810">
        <v>0</v>
      </c>
      <c r="AJ810">
        <v>0</v>
      </c>
      <c r="AK810">
        <v>0</v>
      </c>
      <c r="AL810" t="s">
        <v>15529</v>
      </c>
      <c r="AM810" t="s">
        <v>121</v>
      </c>
      <c r="AN810" t="s">
        <v>15530</v>
      </c>
      <c r="AO810" t="s">
        <v>74</v>
      </c>
      <c r="AP810" t="s">
        <v>74</v>
      </c>
      <c r="AQ810" t="s">
        <v>15531</v>
      </c>
      <c r="AR810" t="s">
        <v>74</v>
      </c>
      <c r="AS810" t="s">
        <v>74</v>
      </c>
      <c r="AT810" t="s">
        <v>74</v>
      </c>
      <c r="AU810">
        <v>2015</v>
      </c>
      <c r="AV810" t="s">
        <v>74</v>
      </c>
      <c r="AW810" t="s">
        <v>74</v>
      </c>
      <c r="AX810" t="s">
        <v>74</v>
      </c>
      <c r="AY810" t="s">
        <v>74</v>
      </c>
      <c r="AZ810" t="s">
        <v>74</v>
      </c>
      <c r="BA810" t="s">
        <v>74</v>
      </c>
      <c r="BB810">
        <v>419</v>
      </c>
      <c r="BC810">
        <v>425</v>
      </c>
      <c r="BD810" t="s">
        <v>74</v>
      </c>
      <c r="BE810" t="s">
        <v>74</v>
      </c>
      <c r="BF810" t="s">
        <v>74</v>
      </c>
      <c r="BG810" t="s">
        <v>74</v>
      </c>
      <c r="BH810" t="s">
        <v>74</v>
      </c>
      <c r="BI810">
        <v>7</v>
      </c>
      <c r="BJ810" t="s">
        <v>15532</v>
      </c>
      <c r="BK810" t="s">
        <v>15487</v>
      </c>
      <c r="BL810" t="s">
        <v>15533</v>
      </c>
      <c r="BM810" t="s">
        <v>15534</v>
      </c>
      <c r="BN810" t="s">
        <v>74</v>
      </c>
      <c r="BO810" t="s">
        <v>74</v>
      </c>
      <c r="BP810" t="s">
        <v>74</v>
      </c>
      <c r="BQ810" t="s">
        <v>74</v>
      </c>
      <c r="BR810" t="s">
        <v>104</v>
      </c>
      <c r="BS810" t="s">
        <v>15535</v>
      </c>
      <c r="BT810" t="str">
        <f>HYPERLINK("https%3A%2F%2Fwww.webofscience.com%2Fwos%2Fwoscc%2Ffull-record%2FWOS:000386903700066","View Full Record in Web of Science")</f>
        <v>View Full Record in Web of Science</v>
      </c>
    </row>
    <row r="811" spans="1:72" x14ac:dyDescent="0.15">
      <c r="A811" t="s">
        <v>72</v>
      </c>
      <c r="B811" t="s">
        <v>15536</v>
      </c>
      <c r="C811" t="s">
        <v>74</v>
      </c>
      <c r="D811" t="s">
        <v>74</v>
      </c>
      <c r="E811" t="s">
        <v>74</v>
      </c>
      <c r="F811" t="s">
        <v>15537</v>
      </c>
      <c r="G811" t="s">
        <v>74</v>
      </c>
      <c r="H811" t="s">
        <v>74</v>
      </c>
      <c r="I811" t="s">
        <v>15538</v>
      </c>
      <c r="J811" t="s">
        <v>15539</v>
      </c>
      <c r="K811" t="s">
        <v>74</v>
      </c>
      <c r="L811" t="s">
        <v>74</v>
      </c>
      <c r="M811" t="s">
        <v>78</v>
      </c>
      <c r="N811" t="s">
        <v>79</v>
      </c>
      <c r="O811" t="s">
        <v>74</v>
      </c>
      <c r="P811" t="s">
        <v>74</v>
      </c>
      <c r="Q811" t="s">
        <v>74</v>
      </c>
      <c r="R811" t="s">
        <v>74</v>
      </c>
      <c r="S811" t="s">
        <v>74</v>
      </c>
      <c r="T811" t="s">
        <v>15540</v>
      </c>
      <c r="U811" t="s">
        <v>15541</v>
      </c>
      <c r="V811" t="s">
        <v>15542</v>
      </c>
      <c r="W811" t="s">
        <v>15543</v>
      </c>
      <c r="X811" t="s">
        <v>15544</v>
      </c>
      <c r="Y811" t="s">
        <v>15545</v>
      </c>
      <c r="Z811" t="s">
        <v>15546</v>
      </c>
      <c r="AA811" t="s">
        <v>74</v>
      </c>
      <c r="AB811" t="s">
        <v>15547</v>
      </c>
      <c r="AC811" t="s">
        <v>15548</v>
      </c>
      <c r="AD811" t="s">
        <v>15549</v>
      </c>
      <c r="AE811" t="s">
        <v>15550</v>
      </c>
      <c r="AF811" t="s">
        <v>74</v>
      </c>
      <c r="AG811">
        <v>36</v>
      </c>
      <c r="AH811">
        <v>7</v>
      </c>
      <c r="AI811">
        <v>9</v>
      </c>
      <c r="AJ811">
        <v>0</v>
      </c>
      <c r="AK811">
        <v>8</v>
      </c>
      <c r="AL811" t="s">
        <v>15551</v>
      </c>
      <c r="AM811" t="s">
        <v>15552</v>
      </c>
      <c r="AN811" t="s">
        <v>15553</v>
      </c>
      <c r="AO811" t="s">
        <v>15554</v>
      </c>
      <c r="AP811" t="s">
        <v>74</v>
      </c>
      <c r="AQ811" t="s">
        <v>74</v>
      </c>
      <c r="AR811" t="s">
        <v>15555</v>
      </c>
      <c r="AS811" t="s">
        <v>15556</v>
      </c>
      <c r="AT811" t="s">
        <v>74</v>
      </c>
      <c r="AU811">
        <v>2015</v>
      </c>
      <c r="AV811">
        <v>26</v>
      </c>
      <c r="AW811">
        <v>3</v>
      </c>
      <c r="AX811" t="s">
        <v>74</v>
      </c>
      <c r="AY811" t="s">
        <v>74</v>
      </c>
      <c r="AZ811" t="s">
        <v>74</v>
      </c>
      <c r="BA811" t="s">
        <v>74</v>
      </c>
      <c r="BB811">
        <v>245</v>
      </c>
      <c r="BC811">
        <v>253</v>
      </c>
      <c r="BD811" t="s">
        <v>74</v>
      </c>
      <c r="BE811" t="s">
        <v>74</v>
      </c>
      <c r="BF811" t="s">
        <v>74</v>
      </c>
      <c r="BG811" t="s">
        <v>74</v>
      </c>
      <c r="BH811" t="s">
        <v>74</v>
      </c>
      <c r="BI811">
        <v>9</v>
      </c>
      <c r="BJ811" t="s">
        <v>2124</v>
      </c>
      <c r="BK811" t="s">
        <v>100</v>
      </c>
      <c r="BL811" t="s">
        <v>509</v>
      </c>
      <c r="BM811" t="s">
        <v>15557</v>
      </c>
      <c r="BN811" t="s">
        <v>74</v>
      </c>
      <c r="BO811" t="s">
        <v>74</v>
      </c>
      <c r="BP811" t="s">
        <v>74</v>
      </c>
      <c r="BQ811" t="s">
        <v>74</v>
      </c>
      <c r="BR811" t="s">
        <v>104</v>
      </c>
      <c r="BS811" t="s">
        <v>15558</v>
      </c>
      <c r="BT811" t="str">
        <f>HYPERLINK("https%3A%2F%2Fwww.webofscience.com%2Fwos%2Fwoscc%2Ffull-record%2FWOS:000385625600003","View Full Record in Web of Science")</f>
        <v>View Full Record in Web of Science</v>
      </c>
    </row>
    <row r="812" spans="1:72" x14ac:dyDescent="0.15">
      <c r="A812" t="s">
        <v>15490</v>
      </c>
      <c r="B812" t="s">
        <v>15559</v>
      </c>
      <c r="C812" t="s">
        <v>74</v>
      </c>
      <c r="D812" t="s">
        <v>15560</v>
      </c>
      <c r="E812" t="s">
        <v>74</v>
      </c>
      <c r="F812" t="s">
        <v>15561</v>
      </c>
      <c r="G812" t="s">
        <v>74</v>
      </c>
      <c r="H812" t="s">
        <v>74</v>
      </c>
      <c r="I812" t="s">
        <v>15562</v>
      </c>
      <c r="J812" t="s">
        <v>15563</v>
      </c>
      <c r="K812" t="s">
        <v>74</v>
      </c>
      <c r="L812" t="s">
        <v>74</v>
      </c>
      <c r="M812" t="s">
        <v>78</v>
      </c>
      <c r="N812" t="s">
        <v>15564</v>
      </c>
      <c r="O812" t="s">
        <v>74</v>
      </c>
      <c r="P812" t="s">
        <v>74</v>
      </c>
      <c r="Q812" t="s">
        <v>74</v>
      </c>
      <c r="R812" t="s">
        <v>74</v>
      </c>
      <c r="S812" t="s">
        <v>74</v>
      </c>
      <c r="T812" t="s">
        <v>74</v>
      </c>
      <c r="U812" t="s">
        <v>15565</v>
      </c>
      <c r="V812" t="s">
        <v>74</v>
      </c>
      <c r="W812" t="s">
        <v>15566</v>
      </c>
      <c r="X812" t="s">
        <v>15567</v>
      </c>
      <c r="Y812" t="s">
        <v>15568</v>
      </c>
      <c r="Z812" t="s">
        <v>74</v>
      </c>
      <c r="AA812" t="s">
        <v>15569</v>
      </c>
      <c r="AB812" t="s">
        <v>15570</v>
      </c>
      <c r="AC812" t="s">
        <v>74</v>
      </c>
      <c r="AD812" t="s">
        <v>74</v>
      </c>
      <c r="AE812" t="s">
        <v>74</v>
      </c>
      <c r="AF812" t="s">
        <v>74</v>
      </c>
      <c r="AG812">
        <v>36</v>
      </c>
      <c r="AH812">
        <v>2</v>
      </c>
      <c r="AI812">
        <v>2</v>
      </c>
      <c r="AJ812">
        <v>0</v>
      </c>
      <c r="AK812">
        <v>1</v>
      </c>
      <c r="AL812" t="s">
        <v>15571</v>
      </c>
      <c r="AM812" t="s">
        <v>448</v>
      </c>
      <c r="AN812" t="s">
        <v>15572</v>
      </c>
      <c r="AO812" t="s">
        <v>74</v>
      </c>
      <c r="AP812" t="s">
        <v>74</v>
      </c>
      <c r="AQ812" t="s">
        <v>15573</v>
      </c>
      <c r="AR812" t="s">
        <v>74</v>
      </c>
      <c r="AS812" t="s">
        <v>74</v>
      </c>
      <c r="AT812" t="s">
        <v>74</v>
      </c>
      <c r="AU812">
        <v>2015</v>
      </c>
      <c r="AV812" t="s">
        <v>74</v>
      </c>
      <c r="AW812" t="s">
        <v>74</v>
      </c>
      <c r="AX812" t="s">
        <v>74</v>
      </c>
      <c r="AY812" t="s">
        <v>74</v>
      </c>
      <c r="AZ812" t="s">
        <v>74</v>
      </c>
      <c r="BA812" t="s">
        <v>74</v>
      </c>
      <c r="BB812">
        <v>232</v>
      </c>
      <c r="BC812">
        <v>240</v>
      </c>
      <c r="BD812" t="s">
        <v>74</v>
      </c>
      <c r="BE812" t="s">
        <v>74</v>
      </c>
      <c r="BF812" t="s">
        <v>74</v>
      </c>
      <c r="BG812" t="s">
        <v>74</v>
      </c>
      <c r="BH812" t="s">
        <v>74</v>
      </c>
      <c r="BI812">
        <v>9</v>
      </c>
      <c r="BJ812" t="s">
        <v>15574</v>
      </c>
      <c r="BK812" t="s">
        <v>15510</v>
      </c>
      <c r="BL812" t="s">
        <v>15574</v>
      </c>
      <c r="BM812" t="s">
        <v>15575</v>
      </c>
      <c r="BN812" t="s">
        <v>74</v>
      </c>
      <c r="BO812" t="s">
        <v>74</v>
      </c>
      <c r="BP812" t="s">
        <v>74</v>
      </c>
      <c r="BQ812" t="s">
        <v>74</v>
      </c>
      <c r="BR812" t="s">
        <v>104</v>
      </c>
      <c r="BS812" t="s">
        <v>15576</v>
      </c>
      <c r="BT812" t="str">
        <f>HYPERLINK("https%3A%2F%2Fwww.webofscience.com%2Fwos%2Fwoscc%2Ffull-record%2FWOS:000383152900016","View Full Record in Web of Science")</f>
        <v>View Full Record in Web of Science</v>
      </c>
    </row>
    <row r="813" spans="1:72" x14ac:dyDescent="0.15">
      <c r="A813" t="s">
        <v>15490</v>
      </c>
      <c r="B813" t="s">
        <v>15577</v>
      </c>
      <c r="C813" t="s">
        <v>74</v>
      </c>
      <c r="D813" t="s">
        <v>15560</v>
      </c>
      <c r="E813" t="s">
        <v>74</v>
      </c>
      <c r="F813" t="s">
        <v>15578</v>
      </c>
      <c r="G813" t="s">
        <v>74</v>
      </c>
      <c r="H813" t="s">
        <v>74</v>
      </c>
      <c r="I813" t="s">
        <v>15579</v>
      </c>
      <c r="J813" t="s">
        <v>15563</v>
      </c>
      <c r="K813" t="s">
        <v>74</v>
      </c>
      <c r="L813" t="s">
        <v>74</v>
      </c>
      <c r="M813" t="s">
        <v>78</v>
      </c>
      <c r="N813" t="s">
        <v>15564</v>
      </c>
      <c r="O813" t="s">
        <v>74</v>
      </c>
      <c r="P813" t="s">
        <v>74</v>
      </c>
      <c r="Q813" t="s">
        <v>74</v>
      </c>
      <c r="R813" t="s">
        <v>74</v>
      </c>
      <c r="S813" t="s">
        <v>74</v>
      </c>
      <c r="T813" t="s">
        <v>74</v>
      </c>
      <c r="U813" t="s">
        <v>15580</v>
      </c>
      <c r="V813" t="s">
        <v>74</v>
      </c>
      <c r="W813" t="s">
        <v>15581</v>
      </c>
      <c r="X813" t="s">
        <v>15582</v>
      </c>
      <c r="Y813" t="s">
        <v>15583</v>
      </c>
      <c r="Z813" t="s">
        <v>74</v>
      </c>
      <c r="AA813" t="s">
        <v>74</v>
      </c>
      <c r="AB813" t="s">
        <v>74</v>
      </c>
      <c r="AC813" t="s">
        <v>74</v>
      </c>
      <c r="AD813" t="s">
        <v>74</v>
      </c>
      <c r="AE813" t="s">
        <v>74</v>
      </c>
      <c r="AF813" t="s">
        <v>74</v>
      </c>
      <c r="AG813">
        <v>89</v>
      </c>
      <c r="AH813">
        <v>3</v>
      </c>
      <c r="AI813">
        <v>3</v>
      </c>
      <c r="AJ813">
        <v>0</v>
      </c>
      <c r="AK813">
        <v>1</v>
      </c>
      <c r="AL813" t="s">
        <v>15571</v>
      </c>
      <c r="AM813" t="s">
        <v>448</v>
      </c>
      <c r="AN813" t="s">
        <v>15572</v>
      </c>
      <c r="AO813" t="s">
        <v>74</v>
      </c>
      <c r="AP813" t="s">
        <v>74</v>
      </c>
      <c r="AQ813" t="s">
        <v>15573</v>
      </c>
      <c r="AR813" t="s">
        <v>74</v>
      </c>
      <c r="AS813" t="s">
        <v>74</v>
      </c>
      <c r="AT813" t="s">
        <v>74</v>
      </c>
      <c r="AU813">
        <v>2015</v>
      </c>
      <c r="AV813" t="s">
        <v>74</v>
      </c>
      <c r="AW813" t="s">
        <v>74</v>
      </c>
      <c r="AX813" t="s">
        <v>74</v>
      </c>
      <c r="AY813" t="s">
        <v>74</v>
      </c>
      <c r="AZ813" t="s">
        <v>74</v>
      </c>
      <c r="BA813" t="s">
        <v>74</v>
      </c>
      <c r="BB813">
        <v>349</v>
      </c>
      <c r="BC813">
        <v>365</v>
      </c>
      <c r="BD813" t="s">
        <v>74</v>
      </c>
      <c r="BE813" t="s">
        <v>74</v>
      </c>
      <c r="BF813" t="s">
        <v>74</v>
      </c>
      <c r="BG813" t="s">
        <v>74</v>
      </c>
      <c r="BH813" t="s">
        <v>74</v>
      </c>
      <c r="BI813">
        <v>17</v>
      </c>
      <c r="BJ813" t="s">
        <v>15574</v>
      </c>
      <c r="BK813" t="s">
        <v>15510</v>
      </c>
      <c r="BL813" t="s">
        <v>15574</v>
      </c>
      <c r="BM813" t="s">
        <v>15575</v>
      </c>
      <c r="BN813" t="s">
        <v>74</v>
      </c>
      <c r="BO813" t="s">
        <v>74</v>
      </c>
      <c r="BP813" t="s">
        <v>74</v>
      </c>
      <c r="BQ813" t="s">
        <v>74</v>
      </c>
      <c r="BR813" t="s">
        <v>104</v>
      </c>
      <c r="BS813" t="s">
        <v>15584</v>
      </c>
      <c r="BT813" t="str">
        <f>HYPERLINK("https%3A%2F%2Fwww.webofscience.com%2Fwos%2Fwoscc%2Ffull-record%2FWOS:000383152900024","View Full Record in Web of Science")</f>
        <v>View Full Record in Web of Science</v>
      </c>
    </row>
    <row r="814" spans="1:72" x14ac:dyDescent="0.15">
      <c r="A814" t="s">
        <v>15464</v>
      </c>
      <c r="B814" t="s">
        <v>15585</v>
      </c>
      <c r="C814" t="s">
        <v>74</v>
      </c>
      <c r="D814" t="s">
        <v>74</v>
      </c>
      <c r="E814" t="s">
        <v>15529</v>
      </c>
      <c r="F814" t="s">
        <v>15586</v>
      </c>
      <c r="G814" t="s">
        <v>74</v>
      </c>
      <c r="H814" t="s">
        <v>74</v>
      </c>
      <c r="I814" t="s">
        <v>15587</v>
      </c>
      <c r="J814" t="s">
        <v>15588</v>
      </c>
      <c r="K814" t="s">
        <v>15589</v>
      </c>
      <c r="L814" t="s">
        <v>74</v>
      </c>
      <c r="M814" t="s">
        <v>78</v>
      </c>
      <c r="N814" t="s">
        <v>15471</v>
      </c>
      <c r="O814" t="s">
        <v>15590</v>
      </c>
      <c r="P814" t="s">
        <v>15591</v>
      </c>
      <c r="Q814" t="s">
        <v>15592</v>
      </c>
      <c r="R814" t="s">
        <v>74</v>
      </c>
      <c r="S814" t="s">
        <v>74</v>
      </c>
      <c r="T814" t="s">
        <v>74</v>
      </c>
      <c r="U814" t="s">
        <v>15593</v>
      </c>
      <c r="V814" t="s">
        <v>74</v>
      </c>
      <c r="W814" t="s">
        <v>15594</v>
      </c>
      <c r="X814" t="s">
        <v>8042</v>
      </c>
      <c r="Y814" t="s">
        <v>15595</v>
      </c>
      <c r="Z814" t="s">
        <v>15596</v>
      </c>
      <c r="AA814" t="s">
        <v>74</v>
      </c>
      <c r="AB814" t="s">
        <v>74</v>
      </c>
      <c r="AC814" t="s">
        <v>74</v>
      </c>
      <c r="AD814" t="s">
        <v>74</v>
      </c>
      <c r="AE814" t="s">
        <v>74</v>
      </c>
      <c r="AF814" t="s">
        <v>74</v>
      </c>
      <c r="AG814">
        <v>16</v>
      </c>
      <c r="AH814">
        <v>1</v>
      </c>
      <c r="AI814">
        <v>1</v>
      </c>
      <c r="AJ814">
        <v>0</v>
      </c>
      <c r="AK814">
        <v>1</v>
      </c>
      <c r="AL814" t="s">
        <v>15529</v>
      </c>
      <c r="AM814" t="s">
        <v>121</v>
      </c>
      <c r="AN814" t="s">
        <v>15530</v>
      </c>
      <c r="AO814" t="s">
        <v>15597</v>
      </c>
      <c r="AP814" t="s">
        <v>74</v>
      </c>
      <c r="AQ814" t="s">
        <v>15598</v>
      </c>
      <c r="AR814" t="s">
        <v>15589</v>
      </c>
      <c r="AS814" t="s">
        <v>74</v>
      </c>
      <c r="AT814" t="s">
        <v>74</v>
      </c>
      <c r="AU814">
        <v>2015</v>
      </c>
      <c r="AV814" t="s">
        <v>74</v>
      </c>
      <c r="AW814" t="s">
        <v>74</v>
      </c>
      <c r="AX814" t="s">
        <v>74</v>
      </c>
      <c r="AY814" t="s">
        <v>74</v>
      </c>
      <c r="AZ814" t="s">
        <v>74</v>
      </c>
      <c r="BA814" t="s">
        <v>74</v>
      </c>
      <c r="BB814" t="s">
        <v>74</v>
      </c>
      <c r="BC814" t="s">
        <v>74</v>
      </c>
      <c r="BD814" t="s">
        <v>74</v>
      </c>
      <c r="BE814" t="s">
        <v>74</v>
      </c>
      <c r="BF814" t="s">
        <v>74</v>
      </c>
      <c r="BG814" t="s">
        <v>74</v>
      </c>
      <c r="BH814" t="s">
        <v>74</v>
      </c>
      <c r="BI814">
        <v>4</v>
      </c>
      <c r="BJ814" t="s">
        <v>15599</v>
      </c>
      <c r="BK814" t="s">
        <v>15487</v>
      </c>
      <c r="BL814" t="s">
        <v>9064</v>
      </c>
      <c r="BM814" t="s">
        <v>15600</v>
      </c>
      <c r="BN814" t="s">
        <v>74</v>
      </c>
      <c r="BO814" t="s">
        <v>74</v>
      </c>
      <c r="BP814" t="s">
        <v>74</v>
      </c>
      <c r="BQ814" t="s">
        <v>74</v>
      </c>
      <c r="BR814" t="s">
        <v>104</v>
      </c>
      <c r="BS814" t="s">
        <v>15601</v>
      </c>
      <c r="BT814" t="str">
        <f>HYPERLINK("https%3A%2F%2Fwww.webofscience.com%2Fwos%2Fwoscc%2Ffull-record%2FWOS:000380550000217","View Full Record in Web of Science")</f>
        <v>View Full Record in Web of Science</v>
      </c>
    </row>
    <row r="815" spans="1:72" x14ac:dyDescent="0.15">
      <c r="A815" t="s">
        <v>15464</v>
      </c>
      <c r="B815" t="s">
        <v>15602</v>
      </c>
      <c r="C815" t="s">
        <v>74</v>
      </c>
      <c r="D815" t="s">
        <v>74</v>
      </c>
      <c r="E815" t="s">
        <v>15529</v>
      </c>
      <c r="F815" t="s">
        <v>15603</v>
      </c>
      <c r="G815" t="s">
        <v>74</v>
      </c>
      <c r="H815" t="s">
        <v>74</v>
      </c>
      <c r="I815" t="s">
        <v>15604</v>
      </c>
      <c r="J815" t="s">
        <v>15588</v>
      </c>
      <c r="K815" t="s">
        <v>15589</v>
      </c>
      <c r="L815" t="s">
        <v>74</v>
      </c>
      <c r="M815" t="s">
        <v>78</v>
      </c>
      <c r="N815" t="s">
        <v>15471</v>
      </c>
      <c r="O815" t="s">
        <v>15590</v>
      </c>
      <c r="P815" t="s">
        <v>15591</v>
      </c>
      <c r="Q815" t="s">
        <v>15592</v>
      </c>
      <c r="R815" t="s">
        <v>74</v>
      </c>
      <c r="S815" t="s">
        <v>74</v>
      </c>
      <c r="T815" t="s">
        <v>74</v>
      </c>
      <c r="U815" t="s">
        <v>74</v>
      </c>
      <c r="V815" t="s">
        <v>15605</v>
      </c>
      <c r="W815" t="s">
        <v>15606</v>
      </c>
      <c r="X815" t="s">
        <v>74</v>
      </c>
      <c r="Y815" t="s">
        <v>15607</v>
      </c>
      <c r="Z815" t="s">
        <v>74</v>
      </c>
      <c r="AA815" t="s">
        <v>74</v>
      </c>
      <c r="AB815" t="s">
        <v>74</v>
      </c>
      <c r="AC815" t="s">
        <v>74</v>
      </c>
      <c r="AD815" t="s">
        <v>74</v>
      </c>
      <c r="AE815" t="s">
        <v>74</v>
      </c>
      <c r="AF815" t="s">
        <v>74</v>
      </c>
      <c r="AG815">
        <v>2</v>
      </c>
      <c r="AH815">
        <v>2</v>
      </c>
      <c r="AI815">
        <v>2</v>
      </c>
      <c r="AJ815">
        <v>0</v>
      </c>
      <c r="AK815">
        <v>12</v>
      </c>
      <c r="AL815" t="s">
        <v>15529</v>
      </c>
      <c r="AM815" t="s">
        <v>121</v>
      </c>
      <c r="AN815" t="s">
        <v>15530</v>
      </c>
      <c r="AO815" t="s">
        <v>15597</v>
      </c>
      <c r="AP815" t="s">
        <v>74</v>
      </c>
      <c r="AQ815" t="s">
        <v>15598</v>
      </c>
      <c r="AR815" t="s">
        <v>15589</v>
      </c>
      <c r="AS815" t="s">
        <v>74</v>
      </c>
      <c r="AT815" t="s">
        <v>74</v>
      </c>
      <c r="AU815">
        <v>2015</v>
      </c>
      <c r="AV815" t="s">
        <v>74</v>
      </c>
      <c r="AW815" t="s">
        <v>74</v>
      </c>
      <c r="AX815" t="s">
        <v>74</v>
      </c>
      <c r="AY815" t="s">
        <v>74</v>
      </c>
      <c r="AZ815" t="s">
        <v>74</v>
      </c>
      <c r="BA815" t="s">
        <v>74</v>
      </c>
      <c r="BB815" t="s">
        <v>74</v>
      </c>
      <c r="BC815" t="s">
        <v>74</v>
      </c>
      <c r="BD815" t="s">
        <v>74</v>
      </c>
      <c r="BE815" t="s">
        <v>74</v>
      </c>
      <c r="BF815" t="s">
        <v>74</v>
      </c>
      <c r="BG815" t="s">
        <v>74</v>
      </c>
      <c r="BH815" t="s">
        <v>74</v>
      </c>
      <c r="BI815">
        <v>6</v>
      </c>
      <c r="BJ815" t="s">
        <v>15599</v>
      </c>
      <c r="BK815" t="s">
        <v>15487</v>
      </c>
      <c r="BL815" t="s">
        <v>9064</v>
      </c>
      <c r="BM815" t="s">
        <v>15600</v>
      </c>
      <c r="BN815" t="s">
        <v>74</v>
      </c>
      <c r="BO815" t="s">
        <v>74</v>
      </c>
      <c r="BP815" t="s">
        <v>74</v>
      </c>
      <c r="BQ815" t="s">
        <v>74</v>
      </c>
      <c r="BR815" t="s">
        <v>104</v>
      </c>
      <c r="BS815" t="s">
        <v>15608</v>
      </c>
      <c r="BT815" t="str">
        <f>HYPERLINK("https%3A%2F%2Fwww.webofscience.com%2Fwos%2Fwoscc%2Ffull-record%2FWOS:000380550000344","View Full Record in Web of Science")</f>
        <v>View Full Record in Web of Science</v>
      </c>
    </row>
    <row r="816" spans="1:72" x14ac:dyDescent="0.15">
      <c r="A816" t="s">
        <v>15464</v>
      </c>
      <c r="B816" t="s">
        <v>15609</v>
      </c>
      <c r="C816" t="s">
        <v>74</v>
      </c>
      <c r="D816" t="s">
        <v>74</v>
      </c>
      <c r="E816" t="s">
        <v>15529</v>
      </c>
      <c r="F816" t="s">
        <v>15610</v>
      </c>
      <c r="G816" t="s">
        <v>74</v>
      </c>
      <c r="H816" t="s">
        <v>74</v>
      </c>
      <c r="I816" t="s">
        <v>15611</v>
      </c>
      <c r="J816" t="s">
        <v>15588</v>
      </c>
      <c r="K816" t="s">
        <v>15589</v>
      </c>
      <c r="L816" t="s">
        <v>74</v>
      </c>
      <c r="M816" t="s">
        <v>78</v>
      </c>
      <c r="N816" t="s">
        <v>15471</v>
      </c>
      <c r="O816" t="s">
        <v>15590</v>
      </c>
      <c r="P816" t="s">
        <v>15591</v>
      </c>
      <c r="Q816" t="s">
        <v>15592</v>
      </c>
      <c r="R816" t="s">
        <v>74</v>
      </c>
      <c r="S816" t="s">
        <v>74</v>
      </c>
      <c r="T816" t="s">
        <v>15612</v>
      </c>
      <c r="U816" t="s">
        <v>74</v>
      </c>
      <c r="V816" t="s">
        <v>15613</v>
      </c>
      <c r="W816" t="s">
        <v>15614</v>
      </c>
      <c r="X816" t="s">
        <v>15615</v>
      </c>
      <c r="Y816" t="s">
        <v>15616</v>
      </c>
      <c r="Z816" t="s">
        <v>74</v>
      </c>
      <c r="AA816" t="s">
        <v>15617</v>
      </c>
      <c r="AB816" t="s">
        <v>15618</v>
      </c>
      <c r="AC816" t="s">
        <v>74</v>
      </c>
      <c r="AD816" t="s">
        <v>74</v>
      </c>
      <c r="AE816" t="s">
        <v>74</v>
      </c>
      <c r="AF816" t="s">
        <v>74</v>
      </c>
      <c r="AG816">
        <v>6</v>
      </c>
      <c r="AH816">
        <v>0</v>
      </c>
      <c r="AI816">
        <v>0</v>
      </c>
      <c r="AJ816">
        <v>1</v>
      </c>
      <c r="AK816">
        <v>9</v>
      </c>
      <c r="AL816" t="s">
        <v>15529</v>
      </c>
      <c r="AM816" t="s">
        <v>121</v>
      </c>
      <c r="AN816" t="s">
        <v>15530</v>
      </c>
      <c r="AO816" t="s">
        <v>15597</v>
      </c>
      <c r="AP816" t="s">
        <v>74</v>
      </c>
      <c r="AQ816" t="s">
        <v>15598</v>
      </c>
      <c r="AR816" t="s">
        <v>15589</v>
      </c>
      <c r="AS816" t="s">
        <v>74</v>
      </c>
      <c r="AT816" t="s">
        <v>74</v>
      </c>
      <c r="AU816">
        <v>2015</v>
      </c>
      <c r="AV816" t="s">
        <v>74</v>
      </c>
      <c r="AW816" t="s">
        <v>74</v>
      </c>
      <c r="AX816" t="s">
        <v>74</v>
      </c>
      <c r="AY816" t="s">
        <v>74</v>
      </c>
      <c r="AZ816" t="s">
        <v>74</v>
      </c>
      <c r="BA816" t="s">
        <v>74</v>
      </c>
      <c r="BB816" t="s">
        <v>74</v>
      </c>
      <c r="BC816" t="s">
        <v>74</v>
      </c>
      <c r="BD816" t="s">
        <v>74</v>
      </c>
      <c r="BE816" t="s">
        <v>74</v>
      </c>
      <c r="BF816" t="s">
        <v>74</v>
      </c>
      <c r="BG816" t="s">
        <v>74</v>
      </c>
      <c r="BH816" t="s">
        <v>74</v>
      </c>
      <c r="BI816">
        <v>6</v>
      </c>
      <c r="BJ816" t="s">
        <v>15599</v>
      </c>
      <c r="BK816" t="s">
        <v>15487</v>
      </c>
      <c r="BL816" t="s">
        <v>9064</v>
      </c>
      <c r="BM816" t="s">
        <v>15600</v>
      </c>
      <c r="BN816" t="s">
        <v>74</v>
      </c>
      <c r="BO816" t="s">
        <v>74</v>
      </c>
      <c r="BP816" t="s">
        <v>74</v>
      </c>
      <c r="BQ816" t="s">
        <v>74</v>
      </c>
      <c r="BR816" t="s">
        <v>104</v>
      </c>
      <c r="BS816" t="s">
        <v>15619</v>
      </c>
      <c r="BT816" t="str">
        <f>HYPERLINK("https%3A%2F%2Fwww.webofscience.com%2Fwos%2Fwoscc%2Ffull-record%2FWOS:000380550000084","View Full Record in Web of Science")</f>
        <v>View Full Record in Web of Science</v>
      </c>
    </row>
    <row r="817" spans="1:72" x14ac:dyDescent="0.15">
      <c r="A817" t="s">
        <v>15464</v>
      </c>
      <c r="B817" t="s">
        <v>15620</v>
      </c>
      <c r="C817" t="s">
        <v>74</v>
      </c>
      <c r="D817" t="s">
        <v>74</v>
      </c>
      <c r="E817" t="s">
        <v>15529</v>
      </c>
      <c r="F817" t="s">
        <v>15621</v>
      </c>
      <c r="G817" t="s">
        <v>74</v>
      </c>
      <c r="H817" t="s">
        <v>74</v>
      </c>
      <c r="I817" t="s">
        <v>15622</v>
      </c>
      <c r="J817" t="s">
        <v>15588</v>
      </c>
      <c r="K817" t="s">
        <v>15589</v>
      </c>
      <c r="L817" t="s">
        <v>74</v>
      </c>
      <c r="M817" t="s">
        <v>78</v>
      </c>
      <c r="N817" t="s">
        <v>15471</v>
      </c>
      <c r="O817" t="s">
        <v>15590</v>
      </c>
      <c r="P817" t="s">
        <v>15591</v>
      </c>
      <c r="Q817" t="s">
        <v>15592</v>
      </c>
      <c r="R817" t="s">
        <v>74</v>
      </c>
      <c r="S817" t="s">
        <v>74</v>
      </c>
      <c r="T817" t="s">
        <v>15623</v>
      </c>
      <c r="U817" t="s">
        <v>74</v>
      </c>
      <c r="V817" t="s">
        <v>15624</v>
      </c>
      <c r="W817" t="s">
        <v>15625</v>
      </c>
      <c r="X817" t="s">
        <v>15626</v>
      </c>
      <c r="Y817" t="s">
        <v>15616</v>
      </c>
      <c r="Z817" t="s">
        <v>74</v>
      </c>
      <c r="AA817" t="s">
        <v>74</v>
      </c>
      <c r="AB817" t="s">
        <v>74</v>
      </c>
      <c r="AC817" t="s">
        <v>74</v>
      </c>
      <c r="AD817" t="s">
        <v>74</v>
      </c>
      <c r="AE817" t="s">
        <v>74</v>
      </c>
      <c r="AF817" t="s">
        <v>74</v>
      </c>
      <c r="AG817">
        <v>11</v>
      </c>
      <c r="AH817">
        <v>0</v>
      </c>
      <c r="AI817">
        <v>0</v>
      </c>
      <c r="AJ817">
        <v>0</v>
      </c>
      <c r="AK817">
        <v>1</v>
      </c>
      <c r="AL817" t="s">
        <v>15529</v>
      </c>
      <c r="AM817" t="s">
        <v>121</v>
      </c>
      <c r="AN817" t="s">
        <v>15530</v>
      </c>
      <c r="AO817" t="s">
        <v>15597</v>
      </c>
      <c r="AP817" t="s">
        <v>74</v>
      </c>
      <c r="AQ817" t="s">
        <v>15598</v>
      </c>
      <c r="AR817" t="s">
        <v>15589</v>
      </c>
      <c r="AS817" t="s">
        <v>74</v>
      </c>
      <c r="AT817" t="s">
        <v>74</v>
      </c>
      <c r="AU817">
        <v>2015</v>
      </c>
      <c r="AV817" t="s">
        <v>74</v>
      </c>
      <c r="AW817" t="s">
        <v>74</v>
      </c>
      <c r="AX817" t="s">
        <v>74</v>
      </c>
      <c r="AY817" t="s">
        <v>74</v>
      </c>
      <c r="AZ817" t="s">
        <v>74</v>
      </c>
      <c r="BA817" t="s">
        <v>74</v>
      </c>
      <c r="BB817" t="s">
        <v>74</v>
      </c>
      <c r="BC817" t="s">
        <v>74</v>
      </c>
      <c r="BD817" t="s">
        <v>74</v>
      </c>
      <c r="BE817" t="s">
        <v>74</v>
      </c>
      <c r="BF817" t="s">
        <v>74</v>
      </c>
      <c r="BG817" t="s">
        <v>74</v>
      </c>
      <c r="BH817" t="s">
        <v>74</v>
      </c>
      <c r="BI817">
        <v>10</v>
      </c>
      <c r="BJ817" t="s">
        <v>15599</v>
      </c>
      <c r="BK817" t="s">
        <v>15487</v>
      </c>
      <c r="BL817" t="s">
        <v>9064</v>
      </c>
      <c r="BM817" t="s">
        <v>15600</v>
      </c>
      <c r="BN817" t="s">
        <v>74</v>
      </c>
      <c r="BO817" t="s">
        <v>74</v>
      </c>
      <c r="BP817" t="s">
        <v>74</v>
      </c>
      <c r="BQ817" t="s">
        <v>74</v>
      </c>
      <c r="BR817" t="s">
        <v>104</v>
      </c>
      <c r="BS817" t="s">
        <v>15627</v>
      </c>
      <c r="BT817" t="str">
        <f>HYPERLINK("https%3A%2F%2Fwww.webofscience.com%2Fwos%2Fwoscc%2Ffull-record%2FWOS:000380550000083","View Full Record in Web of Science")</f>
        <v>View Full Record in Web of Science</v>
      </c>
    </row>
    <row r="818" spans="1:72" x14ac:dyDescent="0.15">
      <c r="A818" t="s">
        <v>15464</v>
      </c>
      <c r="B818" t="s">
        <v>15628</v>
      </c>
      <c r="C818" t="s">
        <v>74</v>
      </c>
      <c r="D818" t="s">
        <v>74</v>
      </c>
      <c r="E818" t="s">
        <v>15529</v>
      </c>
      <c r="F818" t="s">
        <v>15629</v>
      </c>
      <c r="G818" t="s">
        <v>74</v>
      </c>
      <c r="H818" t="s">
        <v>74</v>
      </c>
      <c r="I818" t="s">
        <v>15630</v>
      </c>
      <c r="J818" t="s">
        <v>15588</v>
      </c>
      <c r="K818" t="s">
        <v>15589</v>
      </c>
      <c r="L818" t="s">
        <v>74</v>
      </c>
      <c r="M818" t="s">
        <v>78</v>
      </c>
      <c r="N818" t="s">
        <v>15471</v>
      </c>
      <c r="O818" t="s">
        <v>15590</v>
      </c>
      <c r="P818" t="s">
        <v>15591</v>
      </c>
      <c r="Q818" t="s">
        <v>15592</v>
      </c>
      <c r="R818" t="s">
        <v>74</v>
      </c>
      <c r="S818" t="s">
        <v>74</v>
      </c>
      <c r="T818" t="s">
        <v>15631</v>
      </c>
      <c r="U818" t="s">
        <v>15632</v>
      </c>
      <c r="V818" t="s">
        <v>15633</v>
      </c>
      <c r="W818" t="s">
        <v>15634</v>
      </c>
      <c r="X818" t="s">
        <v>15635</v>
      </c>
      <c r="Y818" t="s">
        <v>15636</v>
      </c>
      <c r="Z818" t="s">
        <v>74</v>
      </c>
      <c r="AA818" t="s">
        <v>74</v>
      </c>
      <c r="AB818" t="s">
        <v>74</v>
      </c>
      <c r="AC818" t="s">
        <v>74</v>
      </c>
      <c r="AD818" t="s">
        <v>74</v>
      </c>
      <c r="AE818" t="s">
        <v>74</v>
      </c>
      <c r="AF818" t="s">
        <v>74</v>
      </c>
      <c r="AG818">
        <v>8</v>
      </c>
      <c r="AH818">
        <v>2</v>
      </c>
      <c r="AI818">
        <v>2</v>
      </c>
      <c r="AJ818">
        <v>0</v>
      </c>
      <c r="AK818">
        <v>4</v>
      </c>
      <c r="AL818" t="s">
        <v>15529</v>
      </c>
      <c r="AM818" t="s">
        <v>121</v>
      </c>
      <c r="AN818" t="s">
        <v>15530</v>
      </c>
      <c r="AO818" t="s">
        <v>15597</v>
      </c>
      <c r="AP818" t="s">
        <v>74</v>
      </c>
      <c r="AQ818" t="s">
        <v>15598</v>
      </c>
      <c r="AR818" t="s">
        <v>15589</v>
      </c>
      <c r="AS818" t="s">
        <v>74</v>
      </c>
      <c r="AT818" t="s">
        <v>74</v>
      </c>
      <c r="AU818">
        <v>2015</v>
      </c>
      <c r="AV818" t="s">
        <v>74</v>
      </c>
      <c r="AW818" t="s">
        <v>74</v>
      </c>
      <c r="AX818" t="s">
        <v>74</v>
      </c>
      <c r="AY818" t="s">
        <v>74</v>
      </c>
      <c r="AZ818" t="s">
        <v>74</v>
      </c>
      <c r="BA818" t="s">
        <v>74</v>
      </c>
      <c r="BB818" t="s">
        <v>74</v>
      </c>
      <c r="BC818" t="s">
        <v>74</v>
      </c>
      <c r="BD818" t="s">
        <v>74</v>
      </c>
      <c r="BE818" t="s">
        <v>74</v>
      </c>
      <c r="BF818" t="s">
        <v>74</v>
      </c>
      <c r="BG818" t="s">
        <v>74</v>
      </c>
      <c r="BH818" t="s">
        <v>74</v>
      </c>
      <c r="BI818">
        <v>7</v>
      </c>
      <c r="BJ818" t="s">
        <v>15599</v>
      </c>
      <c r="BK818" t="s">
        <v>15487</v>
      </c>
      <c r="BL818" t="s">
        <v>9064</v>
      </c>
      <c r="BM818" t="s">
        <v>15600</v>
      </c>
      <c r="BN818" t="s">
        <v>74</v>
      </c>
      <c r="BO818" t="s">
        <v>74</v>
      </c>
      <c r="BP818" t="s">
        <v>74</v>
      </c>
      <c r="BQ818" t="s">
        <v>74</v>
      </c>
      <c r="BR818" t="s">
        <v>104</v>
      </c>
      <c r="BS818" t="s">
        <v>15637</v>
      </c>
      <c r="BT818" t="str">
        <f>HYPERLINK("https%3A%2F%2Fwww.webofscience.com%2Fwos%2Fwoscc%2Ffull-record%2FWOS:000380550000274","View Full Record in Web of Science")</f>
        <v>View Full Record in Web of Science</v>
      </c>
    </row>
    <row r="819" spans="1:72" x14ac:dyDescent="0.15">
      <c r="A819" t="s">
        <v>15464</v>
      </c>
      <c r="B819" t="s">
        <v>15638</v>
      </c>
      <c r="C819" t="s">
        <v>74</v>
      </c>
      <c r="D819" t="s">
        <v>15639</v>
      </c>
      <c r="E819" t="s">
        <v>74</v>
      </c>
      <c r="F819" t="s">
        <v>15640</v>
      </c>
      <c r="G819" t="s">
        <v>74</v>
      </c>
      <c r="H819" t="s">
        <v>74</v>
      </c>
      <c r="I819" t="s">
        <v>15641</v>
      </c>
      <c r="J819" t="s">
        <v>15642</v>
      </c>
      <c r="K819" t="s">
        <v>74</v>
      </c>
      <c r="L819" t="s">
        <v>74</v>
      </c>
      <c r="M819" t="s">
        <v>78</v>
      </c>
      <c r="N819" t="s">
        <v>15471</v>
      </c>
      <c r="O819" t="s">
        <v>15643</v>
      </c>
      <c r="P819" t="s">
        <v>15644</v>
      </c>
      <c r="Q819" t="s">
        <v>15645</v>
      </c>
      <c r="R819" t="s">
        <v>74</v>
      </c>
      <c r="S819" t="s">
        <v>15646</v>
      </c>
      <c r="T819" t="s">
        <v>74</v>
      </c>
      <c r="U819" t="s">
        <v>74</v>
      </c>
      <c r="V819" t="s">
        <v>74</v>
      </c>
      <c r="W819" t="s">
        <v>15647</v>
      </c>
      <c r="X819" t="s">
        <v>15648</v>
      </c>
      <c r="Y819" t="s">
        <v>15649</v>
      </c>
      <c r="Z819" t="s">
        <v>15650</v>
      </c>
      <c r="AA819" t="s">
        <v>74</v>
      </c>
      <c r="AB819" t="s">
        <v>74</v>
      </c>
      <c r="AC819" t="s">
        <v>74</v>
      </c>
      <c r="AD819" t="s">
        <v>74</v>
      </c>
      <c r="AE819" t="s">
        <v>74</v>
      </c>
      <c r="AF819" t="s">
        <v>74</v>
      </c>
      <c r="AG819">
        <v>7</v>
      </c>
      <c r="AH819">
        <v>1</v>
      </c>
      <c r="AI819">
        <v>1</v>
      </c>
      <c r="AJ819">
        <v>0</v>
      </c>
      <c r="AK819">
        <v>0</v>
      </c>
      <c r="AL819" t="s">
        <v>15651</v>
      </c>
      <c r="AM819" t="s">
        <v>15652</v>
      </c>
      <c r="AN819" t="s">
        <v>15653</v>
      </c>
      <c r="AO819" t="s">
        <v>74</v>
      </c>
      <c r="AP819" t="s">
        <v>74</v>
      </c>
      <c r="AQ819" t="s">
        <v>15654</v>
      </c>
      <c r="AR819" t="s">
        <v>74</v>
      </c>
      <c r="AS819" t="s">
        <v>74</v>
      </c>
      <c r="AT819" t="s">
        <v>74</v>
      </c>
      <c r="AU819">
        <v>2015</v>
      </c>
      <c r="AV819" t="s">
        <v>74</v>
      </c>
      <c r="AW819" t="s">
        <v>74</v>
      </c>
      <c r="AX819" t="s">
        <v>74</v>
      </c>
      <c r="AY819" t="s">
        <v>74</v>
      </c>
      <c r="AZ819" t="s">
        <v>74</v>
      </c>
      <c r="BA819" t="s">
        <v>74</v>
      </c>
      <c r="BB819">
        <v>15</v>
      </c>
      <c r="BC819">
        <v>21</v>
      </c>
      <c r="BD819" t="s">
        <v>74</v>
      </c>
      <c r="BE819" t="s">
        <v>74</v>
      </c>
      <c r="BF819" t="s">
        <v>74</v>
      </c>
      <c r="BG819" t="s">
        <v>74</v>
      </c>
      <c r="BH819" t="s">
        <v>74</v>
      </c>
      <c r="BI819">
        <v>7</v>
      </c>
      <c r="BJ819" t="s">
        <v>5931</v>
      </c>
      <c r="BK819" t="s">
        <v>15655</v>
      </c>
      <c r="BL819" t="s">
        <v>5931</v>
      </c>
      <c r="BM819" t="s">
        <v>15656</v>
      </c>
      <c r="BN819" t="s">
        <v>74</v>
      </c>
      <c r="BO819" t="s">
        <v>74</v>
      </c>
      <c r="BP819" t="s">
        <v>74</v>
      </c>
      <c r="BQ819" t="s">
        <v>74</v>
      </c>
      <c r="BR819" t="s">
        <v>104</v>
      </c>
      <c r="BS819" t="s">
        <v>15657</v>
      </c>
      <c r="BT819" t="str">
        <f>HYPERLINK("https%3A%2F%2Fwww.webofscience.com%2Fwos%2Fwoscc%2Ffull-record%2FWOS:000380614300002","View Full Record in Web of Science")</f>
        <v>View Full Record in Web of Science</v>
      </c>
    </row>
    <row r="820" spans="1:72" x14ac:dyDescent="0.15">
      <c r="A820" t="s">
        <v>15464</v>
      </c>
      <c r="B820" t="s">
        <v>15658</v>
      </c>
      <c r="C820" t="s">
        <v>74</v>
      </c>
      <c r="D820" t="s">
        <v>15639</v>
      </c>
      <c r="E820" t="s">
        <v>74</v>
      </c>
      <c r="F820" t="s">
        <v>15659</v>
      </c>
      <c r="G820" t="s">
        <v>74</v>
      </c>
      <c r="H820" t="s">
        <v>74</v>
      </c>
      <c r="I820" t="s">
        <v>15660</v>
      </c>
      <c r="J820" t="s">
        <v>15642</v>
      </c>
      <c r="K820" t="s">
        <v>74</v>
      </c>
      <c r="L820" t="s">
        <v>74</v>
      </c>
      <c r="M820" t="s">
        <v>78</v>
      </c>
      <c r="N820" t="s">
        <v>15471</v>
      </c>
      <c r="O820" t="s">
        <v>15643</v>
      </c>
      <c r="P820" t="s">
        <v>15644</v>
      </c>
      <c r="Q820" t="s">
        <v>15645</v>
      </c>
      <c r="R820" t="s">
        <v>74</v>
      </c>
      <c r="S820" t="s">
        <v>15646</v>
      </c>
      <c r="T820" t="s">
        <v>74</v>
      </c>
      <c r="U820" t="s">
        <v>74</v>
      </c>
      <c r="V820" t="s">
        <v>74</v>
      </c>
      <c r="W820" t="s">
        <v>74</v>
      </c>
      <c r="X820" t="s">
        <v>74</v>
      </c>
      <c r="Y820" t="s">
        <v>15661</v>
      </c>
      <c r="Z820" t="s">
        <v>15662</v>
      </c>
      <c r="AA820" t="s">
        <v>74</v>
      </c>
      <c r="AB820" t="s">
        <v>74</v>
      </c>
      <c r="AC820" t="s">
        <v>74</v>
      </c>
      <c r="AD820" t="s">
        <v>74</v>
      </c>
      <c r="AE820" t="s">
        <v>74</v>
      </c>
      <c r="AF820" t="s">
        <v>74</v>
      </c>
      <c r="AG820">
        <v>16</v>
      </c>
      <c r="AH820">
        <v>0</v>
      </c>
      <c r="AI820">
        <v>0</v>
      </c>
      <c r="AJ820">
        <v>0</v>
      </c>
      <c r="AK820">
        <v>0</v>
      </c>
      <c r="AL820" t="s">
        <v>15651</v>
      </c>
      <c r="AM820" t="s">
        <v>15652</v>
      </c>
      <c r="AN820" t="s">
        <v>15653</v>
      </c>
      <c r="AO820" t="s">
        <v>74</v>
      </c>
      <c r="AP820" t="s">
        <v>74</v>
      </c>
      <c r="AQ820" t="s">
        <v>15654</v>
      </c>
      <c r="AR820" t="s">
        <v>74</v>
      </c>
      <c r="AS820" t="s">
        <v>74</v>
      </c>
      <c r="AT820" t="s">
        <v>74</v>
      </c>
      <c r="AU820">
        <v>2015</v>
      </c>
      <c r="AV820" t="s">
        <v>74</v>
      </c>
      <c r="AW820" t="s">
        <v>74</v>
      </c>
      <c r="AX820" t="s">
        <v>74</v>
      </c>
      <c r="AY820" t="s">
        <v>74</v>
      </c>
      <c r="AZ820" t="s">
        <v>74</v>
      </c>
      <c r="BA820" t="s">
        <v>74</v>
      </c>
      <c r="BB820">
        <v>23</v>
      </c>
      <c r="BC820">
        <v>36</v>
      </c>
      <c r="BD820" t="s">
        <v>74</v>
      </c>
      <c r="BE820" t="s">
        <v>74</v>
      </c>
      <c r="BF820" t="s">
        <v>74</v>
      </c>
      <c r="BG820" t="s">
        <v>74</v>
      </c>
      <c r="BH820" t="s">
        <v>74</v>
      </c>
      <c r="BI820">
        <v>14</v>
      </c>
      <c r="BJ820" t="s">
        <v>5931</v>
      </c>
      <c r="BK820" t="s">
        <v>15655</v>
      </c>
      <c r="BL820" t="s">
        <v>5931</v>
      </c>
      <c r="BM820" t="s">
        <v>15656</v>
      </c>
      <c r="BN820" t="s">
        <v>74</v>
      </c>
      <c r="BO820" t="s">
        <v>74</v>
      </c>
      <c r="BP820" t="s">
        <v>74</v>
      </c>
      <c r="BQ820" t="s">
        <v>74</v>
      </c>
      <c r="BR820" t="s">
        <v>104</v>
      </c>
      <c r="BS820" t="s">
        <v>15663</v>
      </c>
      <c r="BT820" t="str">
        <f>HYPERLINK("https%3A%2F%2Fwww.webofscience.com%2Fwos%2Fwoscc%2Ffull-record%2FWOS:000380614300003","View Full Record in Web of Science")</f>
        <v>View Full Record in Web of Science</v>
      </c>
    </row>
    <row r="821" spans="1:72" x14ac:dyDescent="0.15">
      <c r="A821" t="s">
        <v>15464</v>
      </c>
      <c r="B821" t="s">
        <v>15664</v>
      </c>
      <c r="C821" t="s">
        <v>74</v>
      </c>
      <c r="D821" t="s">
        <v>15639</v>
      </c>
      <c r="E821" t="s">
        <v>74</v>
      </c>
      <c r="F821" t="s">
        <v>15665</v>
      </c>
      <c r="G821" t="s">
        <v>74</v>
      </c>
      <c r="H821" t="s">
        <v>74</v>
      </c>
      <c r="I821" t="s">
        <v>15666</v>
      </c>
      <c r="J821" t="s">
        <v>15642</v>
      </c>
      <c r="K821" t="s">
        <v>74</v>
      </c>
      <c r="L821" t="s">
        <v>74</v>
      </c>
      <c r="M821" t="s">
        <v>78</v>
      </c>
      <c r="N821" t="s">
        <v>15471</v>
      </c>
      <c r="O821" t="s">
        <v>15643</v>
      </c>
      <c r="P821" t="s">
        <v>15644</v>
      </c>
      <c r="Q821" t="s">
        <v>15645</v>
      </c>
      <c r="R821" t="s">
        <v>74</v>
      </c>
      <c r="S821" t="s">
        <v>15646</v>
      </c>
      <c r="T821" t="s">
        <v>74</v>
      </c>
      <c r="U821" t="s">
        <v>74</v>
      </c>
      <c r="V821" t="s">
        <v>74</v>
      </c>
      <c r="W821" t="s">
        <v>74</v>
      </c>
      <c r="X821" t="s">
        <v>74</v>
      </c>
      <c r="Y821" t="s">
        <v>15667</v>
      </c>
      <c r="Z821" t="s">
        <v>15668</v>
      </c>
      <c r="AA821" t="s">
        <v>74</v>
      </c>
      <c r="AB821" t="s">
        <v>74</v>
      </c>
      <c r="AC821" t="s">
        <v>74</v>
      </c>
      <c r="AD821" t="s">
        <v>74</v>
      </c>
      <c r="AE821" t="s">
        <v>74</v>
      </c>
      <c r="AF821" t="s">
        <v>74</v>
      </c>
      <c r="AG821">
        <v>37</v>
      </c>
      <c r="AH821">
        <v>0</v>
      </c>
      <c r="AI821">
        <v>0</v>
      </c>
      <c r="AJ821">
        <v>0</v>
      </c>
      <c r="AK821">
        <v>0</v>
      </c>
      <c r="AL821" t="s">
        <v>15651</v>
      </c>
      <c r="AM821" t="s">
        <v>15652</v>
      </c>
      <c r="AN821" t="s">
        <v>15653</v>
      </c>
      <c r="AO821" t="s">
        <v>74</v>
      </c>
      <c r="AP821" t="s">
        <v>74</v>
      </c>
      <c r="AQ821" t="s">
        <v>15654</v>
      </c>
      <c r="AR821" t="s">
        <v>74</v>
      </c>
      <c r="AS821" t="s">
        <v>74</v>
      </c>
      <c r="AT821" t="s">
        <v>74</v>
      </c>
      <c r="AU821">
        <v>2015</v>
      </c>
      <c r="AV821" t="s">
        <v>74</v>
      </c>
      <c r="AW821" t="s">
        <v>74</v>
      </c>
      <c r="AX821" t="s">
        <v>74</v>
      </c>
      <c r="AY821" t="s">
        <v>74</v>
      </c>
      <c r="AZ821" t="s">
        <v>74</v>
      </c>
      <c r="BA821" t="s">
        <v>74</v>
      </c>
      <c r="BB821">
        <v>37</v>
      </c>
      <c r="BC821">
        <v>50</v>
      </c>
      <c r="BD821" t="s">
        <v>74</v>
      </c>
      <c r="BE821" t="s">
        <v>74</v>
      </c>
      <c r="BF821" t="s">
        <v>74</v>
      </c>
      <c r="BG821" t="s">
        <v>74</v>
      </c>
      <c r="BH821" t="s">
        <v>74</v>
      </c>
      <c r="BI821">
        <v>14</v>
      </c>
      <c r="BJ821" t="s">
        <v>5931</v>
      </c>
      <c r="BK821" t="s">
        <v>15655</v>
      </c>
      <c r="BL821" t="s">
        <v>5931</v>
      </c>
      <c r="BM821" t="s">
        <v>15656</v>
      </c>
      <c r="BN821" t="s">
        <v>74</v>
      </c>
      <c r="BO821" t="s">
        <v>74</v>
      </c>
      <c r="BP821" t="s">
        <v>74</v>
      </c>
      <c r="BQ821" t="s">
        <v>74</v>
      </c>
      <c r="BR821" t="s">
        <v>104</v>
      </c>
      <c r="BS821" t="s">
        <v>15669</v>
      </c>
      <c r="BT821" t="str">
        <f>HYPERLINK("https%3A%2F%2Fwww.webofscience.com%2Fwos%2Fwoscc%2Ffull-record%2FWOS:000380614300004","View Full Record in Web of Science")</f>
        <v>View Full Record in Web of Science</v>
      </c>
    </row>
    <row r="822" spans="1:72" x14ac:dyDescent="0.15">
      <c r="A822" t="s">
        <v>15464</v>
      </c>
      <c r="B822" t="s">
        <v>15670</v>
      </c>
      <c r="C822" t="s">
        <v>74</v>
      </c>
      <c r="D822" t="s">
        <v>15639</v>
      </c>
      <c r="E822" t="s">
        <v>74</v>
      </c>
      <c r="F822" t="s">
        <v>15671</v>
      </c>
      <c r="G822" t="s">
        <v>74</v>
      </c>
      <c r="H822" t="s">
        <v>74</v>
      </c>
      <c r="I822" t="s">
        <v>15672</v>
      </c>
      <c r="J822" t="s">
        <v>15642</v>
      </c>
      <c r="K822" t="s">
        <v>74</v>
      </c>
      <c r="L822" t="s">
        <v>74</v>
      </c>
      <c r="M822" t="s">
        <v>78</v>
      </c>
      <c r="N822" t="s">
        <v>15471</v>
      </c>
      <c r="O822" t="s">
        <v>15643</v>
      </c>
      <c r="P822" t="s">
        <v>15644</v>
      </c>
      <c r="Q822" t="s">
        <v>15645</v>
      </c>
      <c r="R822" t="s">
        <v>74</v>
      </c>
      <c r="S822" t="s">
        <v>15646</v>
      </c>
      <c r="T822" t="s">
        <v>74</v>
      </c>
      <c r="U822" t="s">
        <v>74</v>
      </c>
      <c r="V822" t="s">
        <v>74</v>
      </c>
      <c r="W822" t="s">
        <v>15673</v>
      </c>
      <c r="X822" t="s">
        <v>10415</v>
      </c>
      <c r="Y822" t="s">
        <v>74</v>
      </c>
      <c r="Z822" t="s">
        <v>74</v>
      </c>
      <c r="AA822" t="s">
        <v>74</v>
      </c>
      <c r="AB822" t="s">
        <v>74</v>
      </c>
      <c r="AC822" t="s">
        <v>74</v>
      </c>
      <c r="AD822" t="s">
        <v>74</v>
      </c>
      <c r="AE822" t="s">
        <v>74</v>
      </c>
      <c r="AF822" t="s">
        <v>74</v>
      </c>
      <c r="AG822">
        <v>4</v>
      </c>
      <c r="AH822">
        <v>0</v>
      </c>
      <c r="AI822">
        <v>0</v>
      </c>
      <c r="AJ822">
        <v>0</v>
      </c>
      <c r="AK822">
        <v>0</v>
      </c>
      <c r="AL822" t="s">
        <v>15651</v>
      </c>
      <c r="AM822" t="s">
        <v>15652</v>
      </c>
      <c r="AN822" t="s">
        <v>15653</v>
      </c>
      <c r="AO822" t="s">
        <v>74</v>
      </c>
      <c r="AP822" t="s">
        <v>74</v>
      </c>
      <c r="AQ822" t="s">
        <v>15654</v>
      </c>
      <c r="AR822" t="s">
        <v>74</v>
      </c>
      <c r="AS822" t="s">
        <v>74</v>
      </c>
      <c r="AT822" t="s">
        <v>74</v>
      </c>
      <c r="AU822">
        <v>2015</v>
      </c>
      <c r="AV822" t="s">
        <v>74</v>
      </c>
      <c r="AW822" t="s">
        <v>74</v>
      </c>
      <c r="AX822" t="s">
        <v>74</v>
      </c>
      <c r="AY822" t="s">
        <v>74</v>
      </c>
      <c r="AZ822" t="s">
        <v>74</v>
      </c>
      <c r="BA822" t="s">
        <v>74</v>
      </c>
      <c r="BB822">
        <v>89</v>
      </c>
      <c r="BC822">
        <v>100</v>
      </c>
      <c r="BD822" t="s">
        <v>74</v>
      </c>
      <c r="BE822" t="s">
        <v>74</v>
      </c>
      <c r="BF822" t="s">
        <v>74</v>
      </c>
      <c r="BG822" t="s">
        <v>74</v>
      </c>
      <c r="BH822" t="s">
        <v>74</v>
      </c>
      <c r="BI822">
        <v>12</v>
      </c>
      <c r="BJ822" t="s">
        <v>5931</v>
      </c>
      <c r="BK822" t="s">
        <v>15655</v>
      </c>
      <c r="BL822" t="s">
        <v>5931</v>
      </c>
      <c r="BM822" t="s">
        <v>15656</v>
      </c>
      <c r="BN822" t="s">
        <v>74</v>
      </c>
      <c r="BO822" t="s">
        <v>74</v>
      </c>
      <c r="BP822" t="s">
        <v>74</v>
      </c>
      <c r="BQ822" t="s">
        <v>74</v>
      </c>
      <c r="BR822" t="s">
        <v>104</v>
      </c>
      <c r="BS822" t="s">
        <v>15674</v>
      </c>
      <c r="BT822" t="str">
        <f>HYPERLINK("https%3A%2F%2Fwww.webofscience.com%2Fwos%2Fwoscc%2Ffull-record%2FWOS:000380614300008","View Full Record in Web of Science")</f>
        <v>View Full Record in Web of Science</v>
      </c>
    </row>
    <row r="823" spans="1:72" x14ac:dyDescent="0.15">
      <c r="A823" t="s">
        <v>15464</v>
      </c>
      <c r="B823" t="s">
        <v>15675</v>
      </c>
      <c r="C823" t="s">
        <v>74</v>
      </c>
      <c r="D823" t="s">
        <v>15639</v>
      </c>
      <c r="E823" t="s">
        <v>74</v>
      </c>
      <c r="F823" t="s">
        <v>15676</v>
      </c>
      <c r="G823" t="s">
        <v>74</v>
      </c>
      <c r="H823" t="s">
        <v>74</v>
      </c>
      <c r="I823" t="s">
        <v>15677</v>
      </c>
      <c r="J823" t="s">
        <v>15642</v>
      </c>
      <c r="K823" t="s">
        <v>74</v>
      </c>
      <c r="L823" t="s">
        <v>74</v>
      </c>
      <c r="M823" t="s">
        <v>78</v>
      </c>
      <c r="N823" t="s">
        <v>15471</v>
      </c>
      <c r="O823" t="s">
        <v>15643</v>
      </c>
      <c r="P823" t="s">
        <v>15644</v>
      </c>
      <c r="Q823" t="s">
        <v>15645</v>
      </c>
      <c r="R823" t="s">
        <v>74</v>
      </c>
      <c r="S823" t="s">
        <v>15646</v>
      </c>
      <c r="T823" t="s">
        <v>74</v>
      </c>
      <c r="U823" t="s">
        <v>74</v>
      </c>
      <c r="V823" t="s">
        <v>74</v>
      </c>
      <c r="W823" t="s">
        <v>74</v>
      </c>
      <c r="X823" t="s">
        <v>74</v>
      </c>
      <c r="Y823" t="s">
        <v>15678</v>
      </c>
      <c r="Z823" t="s">
        <v>15679</v>
      </c>
      <c r="AA823" t="s">
        <v>74</v>
      </c>
      <c r="AB823" t="s">
        <v>74</v>
      </c>
      <c r="AC823" t="s">
        <v>74</v>
      </c>
      <c r="AD823" t="s">
        <v>74</v>
      </c>
      <c r="AE823" t="s">
        <v>74</v>
      </c>
      <c r="AF823" t="s">
        <v>74</v>
      </c>
      <c r="AG823">
        <v>0</v>
      </c>
      <c r="AH823">
        <v>0</v>
      </c>
      <c r="AI823">
        <v>0</v>
      </c>
      <c r="AJ823">
        <v>0</v>
      </c>
      <c r="AK823">
        <v>0</v>
      </c>
      <c r="AL823" t="s">
        <v>15651</v>
      </c>
      <c r="AM823" t="s">
        <v>15652</v>
      </c>
      <c r="AN823" t="s">
        <v>15653</v>
      </c>
      <c r="AO823" t="s">
        <v>74</v>
      </c>
      <c r="AP823" t="s">
        <v>74</v>
      </c>
      <c r="AQ823" t="s">
        <v>15654</v>
      </c>
      <c r="AR823" t="s">
        <v>74</v>
      </c>
      <c r="AS823" t="s">
        <v>74</v>
      </c>
      <c r="AT823" t="s">
        <v>74</v>
      </c>
      <c r="AU823">
        <v>2015</v>
      </c>
      <c r="AV823" t="s">
        <v>74</v>
      </c>
      <c r="AW823" t="s">
        <v>74</v>
      </c>
      <c r="AX823" t="s">
        <v>74</v>
      </c>
      <c r="AY823" t="s">
        <v>74</v>
      </c>
      <c r="AZ823" t="s">
        <v>74</v>
      </c>
      <c r="BA823" t="s">
        <v>74</v>
      </c>
      <c r="BB823">
        <v>101</v>
      </c>
      <c r="BC823">
        <v>105</v>
      </c>
      <c r="BD823" t="s">
        <v>74</v>
      </c>
      <c r="BE823" t="s">
        <v>74</v>
      </c>
      <c r="BF823" t="s">
        <v>74</v>
      </c>
      <c r="BG823" t="s">
        <v>74</v>
      </c>
      <c r="BH823" t="s">
        <v>74</v>
      </c>
      <c r="BI823">
        <v>5</v>
      </c>
      <c r="BJ823" t="s">
        <v>5931</v>
      </c>
      <c r="BK823" t="s">
        <v>15655</v>
      </c>
      <c r="BL823" t="s">
        <v>5931</v>
      </c>
      <c r="BM823" t="s">
        <v>15656</v>
      </c>
      <c r="BN823" t="s">
        <v>74</v>
      </c>
      <c r="BO823" t="s">
        <v>74</v>
      </c>
      <c r="BP823" t="s">
        <v>74</v>
      </c>
      <c r="BQ823" t="s">
        <v>74</v>
      </c>
      <c r="BR823" t="s">
        <v>104</v>
      </c>
      <c r="BS823" t="s">
        <v>15680</v>
      </c>
      <c r="BT823" t="str">
        <f>HYPERLINK("https%3A%2F%2Fwww.webofscience.com%2Fwos%2Fwoscc%2Ffull-record%2FWOS:000380614300009","View Full Record in Web of Science")</f>
        <v>View Full Record in Web of Science</v>
      </c>
    </row>
    <row r="824" spans="1:72" x14ac:dyDescent="0.15">
      <c r="A824" t="s">
        <v>15464</v>
      </c>
      <c r="B824" t="s">
        <v>15681</v>
      </c>
      <c r="C824" t="s">
        <v>74</v>
      </c>
      <c r="D824" t="s">
        <v>15639</v>
      </c>
      <c r="E824" t="s">
        <v>74</v>
      </c>
      <c r="F824" t="s">
        <v>15682</v>
      </c>
      <c r="G824" t="s">
        <v>74</v>
      </c>
      <c r="H824" t="s">
        <v>74</v>
      </c>
      <c r="I824" t="s">
        <v>15683</v>
      </c>
      <c r="J824" t="s">
        <v>15642</v>
      </c>
      <c r="K824" t="s">
        <v>74</v>
      </c>
      <c r="L824" t="s">
        <v>74</v>
      </c>
      <c r="M824" t="s">
        <v>78</v>
      </c>
      <c r="N824" t="s">
        <v>15471</v>
      </c>
      <c r="O824" t="s">
        <v>15643</v>
      </c>
      <c r="P824" t="s">
        <v>15644</v>
      </c>
      <c r="Q824" t="s">
        <v>15645</v>
      </c>
      <c r="R824" t="s">
        <v>74</v>
      </c>
      <c r="S824" t="s">
        <v>15646</v>
      </c>
      <c r="T824" t="s">
        <v>74</v>
      </c>
      <c r="U824" t="s">
        <v>74</v>
      </c>
      <c r="V824" t="s">
        <v>74</v>
      </c>
      <c r="W824" t="s">
        <v>15684</v>
      </c>
      <c r="X824" t="s">
        <v>2613</v>
      </c>
      <c r="Y824" t="s">
        <v>15685</v>
      </c>
      <c r="Z824" t="s">
        <v>15686</v>
      </c>
      <c r="AA824" t="s">
        <v>15687</v>
      </c>
      <c r="AB824" t="s">
        <v>15688</v>
      </c>
      <c r="AC824" t="s">
        <v>74</v>
      </c>
      <c r="AD824" t="s">
        <v>74</v>
      </c>
      <c r="AE824" t="s">
        <v>74</v>
      </c>
      <c r="AF824" t="s">
        <v>74</v>
      </c>
      <c r="AG824">
        <v>28</v>
      </c>
      <c r="AH824">
        <v>0</v>
      </c>
      <c r="AI824">
        <v>0</v>
      </c>
      <c r="AJ824">
        <v>0</v>
      </c>
      <c r="AK824">
        <v>0</v>
      </c>
      <c r="AL824" t="s">
        <v>15651</v>
      </c>
      <c r="AM824" t="s">
        <v>15652</v>
      </c>
      <c r="AN824" t="s">
        <v>15653</v>
      </c>
      <c r="AO824" t="s">
        <v>74</v>
      </c>
      <c r="AP824" t="s">
        <v>74</v>
      </c>
      <c r="AQ824" t="s">
        <v>15654</v>
      </c>
      <c r="AR824" t="s">
        <v>74</v>
      </c>
      <c r="AS824" t="s">
        <v>74</v>
      </c>
      <c r="AT824" t="s">
        <v>74</v>
      </c>
      <c r="AU824">
        <v>2015</v>
      </c>
      <c r="AV824" t="s">
        <v>74</v>
      </c>
      <c r="AW824" t="s">
        <v>74</v>
      </c>
      <c r="AX824" t="s">
        <v>74</v>
      </c>
      <c r="AY824" t="s">
        <v>74</v>
      </c>
      <c r="AZ824" t="s">
        <v>74</v>
      </c>
      <c r="BA824" t="s">
        <v>74</v>
      </c>
      <c r="BB824">
        <v>107</v>
      </c>
      <c r="BC824">
        <v>119</v>
      </c>
      <c r="BD824" t="s">
        <v>74</v>
      </c>
      <c r="BE824" t="s">
        <v>74</v>
      </c>
      <c r="BF824" t="s">
        <v>74</v>
      </c>
      <c r="BG824" t="s">
        <v>74</v>
      </c>
      <c r="BH824" t="s">
        <v>74</v>
      </c>
      <c r="BI824">
        <v>13</v>
      </c>
      <c r="BJ824" t="s">
        <v>5931</v>
      </c>
      <c r="BK824" t="s">
        <v>15655</v>
      </c>
      <c r="BL824" t="s">
        <v>5931</v>
      </c>
      <c r="BM824" t="s">
        <v>15656</v>
      </c>
      <c r="BN824" t="s">
        <v>74</v>
      </c>
      <c r="BO824" t="s">
        <v>74</v>
      </c>
      <c r="BP824" t="s">
        <v>74</v>
      </c>
      <c r="BQ824" t="s">
        <v>74</v>
      </c>
      <c r="BR824" t="s">
        <v>104</v>
      </c>
      <c r="BS824" t="s">
        <v>15689</v>
      </c>
      <c r="BT824" t="str">
        <f>HYPERLINK("https%3A%2F%2Fwww.webofscience.com%2Fwos%2Fwoscc%2Ffull-record%2FWOS:000380614300010","View Full Record in Web of Science")</f>
        <v>View Full Record in Web of Science</v>
      </c>
    </row>
    <row r="825" spans="1:72" x14ac:dyDescent="0.15">
      <c r="A825" t="s">
        <v>15464</v>
      </c>
      <c r="B825" t="s">
        <v>15690</v>
      </c>
      <c r="C825" t="s">
        <v>74</v>
      </c>
      <c r="D825" t="s">
        <v>15639</v>
      </c>
      <c r="E825" t="s">
        <v>74</v>
      </c>
      <c r="F825" t="s">
        <v>15691</v>
      </c>
      <c r="G825" t="s">
        <v>74</v>
      </c>
      <c r="H825" t="s">
        <v>74</v>
      </c>
      <c r="I825" t="s">
        <v>15692</v>
      </c>
      <c r="J825" t="s">
        <v>15642</v>
      </c>
      <c r="K825" t="s">
        <v>74</v>
      </c>
      <c r="L825" t="s">
        <v>74</v>
      </c>
      <c r="M825" t="s">
        <v>78</v>
      </c>
      <c r="N825" t="s">
        <v>15471</v>
      </c>
      <c r="O825" t="s">
        <v>15643</v>
      </c>
      <c r="P825" t="s">
        <v>15644</v>
      </c>
      <c r="Q825" t="s">
        <v>15645</v>
      </c>
      <c r="R825" t="s">
        <v>74</v>
      </c>
      <c r="S825" t="s">
        <v>15646</v>
      </c>
      <c r="T825" t="s">
        <v>74</v>
      </c>
      <c r="U825" t="s">
        <v>74</v>
      </c>
      <c r="V825" t="s">
        <v>74</v>
      </c>
      <c r="W825" t="s">
        <v>74</v>
      </c>
      <c r="X825" t="s">
        <v>74</v>
      </c>
      <c r="Y825" t="s">
        <v>15693</v>
      </c>
      <c r="Z825" t="s">
        <v>15694</v>
      </c>
      <c r="AA825" t="s">
        <v>74</v>
      </c>
      <c r="AB825" t="s">
        <v>74</v>
      </c>
      <c r="AC825" t="s">
        <v>74</v>
      </c>
      <c r="AD825" t="s">
        <v>74</v>
      </c>
      <c r="AE825" t="s">
        <v>74</v>
      </c>
      <c r="AF825" t="s">
        <v>74</v>
      </c>
      <c r="AG825">
        <v>28</v>
      </c>
      <c r="AH825">
        <v>1</v>
      </c>
      <c r="AI825">
        <v>1</v>
      </c>
      <c r="AJ825">
        <v>0</v>
      </c>
      <c r="AK825">
        <v>0</v>
      </c>
      <c r="AL825" t="s">
        <v>15651</v>
      </c>
      <c r="AM825" t="s">
        <v>15652</v>
      </c>
      <c r="AN825" t="s">
        <v>15653</v>
      </c>
      <c r="AO825" t="s">
        <v>74</v>
      </c>
      <c r="AP825" t="s">
        <v>74</v>
      </c>
      <c r="AQ825" t="s">
        <v>15654</v>
      </c>
      <c r="AR825" t="s">
        <v>74</v>
      </c>
      <c r="AS825" t="s">
        <v>74</v>
      </c>
      <c r="AT825" t="s">
        <v>74</v>
      </c>
      <c r="AU825">
        <v>2015</v>
      </c>
      <c r="AV825" t="s">
        <v>74</v>
      </c>
      <c r="AW825" t="s">
        <v>74</v>
      </c>
      <c r="AX825" t="s">
        <v>74</v>
      </c>
      <c r="AY825" t="s">
        <v>74</v>
      </c>
      <c r="AZ825" t="s">
        <v>74</v>
      </c>
      <c r="BA825" t="s">
        <v>74</v>
      </c>
      <c r="BB825">
        <v>121</v>
      </c>
      <c r="BC825">
        <v>132</v>
      </c>
      <c r="BD825" t="s">
        <v>74</v>
      </c>
      <c r="BE825" t="s">
        <v>74</v>
      </c>
      <c r="BF825" t="s">
        <v>74</v>
      </c>
      <c r="BG825" t="s">
        <v>74</v>
      </c>
      <c r="BH825" t="s">
        <v>74</v>
      </c>
      <c r="BI825">
        <v>12</v>
      </c>
      <c r="BJ825" t="s">
        <v>5931</v>
      </c>
      <c r="BK825" t="s">
        <v>15655</v>
      </c>
      <c r="BL825" t="s">
        <v>5931</v>
      </c>
      <c r="BM825" t="s">
        <v>15656</v>
      </c>
      <c r="BN825" t="s">
        <v>74</v>
      </c>
      <c r="BO825" t="s">
        <v>74</v>
      </c>
      <c r="BP825" t="s">
        <v>74</v>
      </c>
      <c r="BQ825" t="s">
        <v>74</v>
      </c>
      <c r="BR825" t="s">
        <v>104</v>
      </c>
      <c r="BS825" t="s">
        <v>15695</v>
      </c>
      <c r="BT825" t="str">
        <f>HYPERLINK("https%3A%2F%2Fwww.webofscience.com%2Fwos%2Fwoscc%2Ffull-record%2FWOS:000380614300011","View Full Record in Web of Science")</f>
        <v>View Full Record in Web of Science</v>
      </c>
    </row>
    <row r="826" spans="1:72" x14ac:dyDescent="0.15">
      <c r="A826" t="s">
        <v>15464</v>
      </c>
      <c r="B826" t="s">
        <v>15696</v>
      </c>
      <c r="C826" t="s">
        <v>74</v>
      </c>
      <c r="D826" t="s">
        <v>15639</v>
      </c>
      <c r="E826" t="s">
        <v>74</v>
      </c>
      <c r="F826" t="s">
        <v>15697</v>
      </c>
      <c r="G826" t="s">
        <v>74</v>
      </c>
      <c r="H826" t="s">
        <v>74</v>
      </c>
      <c r="I826" t="s">
        <v>15698</v>
      </c>
      <c r="J826" t="s">
        <v>15642</v>
      </c>
      <c r="K826" t="s">
        <v>74</v>
      </c>
      <c r="L826" t="s">
        <v>74</v>
      </c>
      <c r="M826" t="s">
        <v>78</v>
      </c>
      <c r="N826" t="s">
        <v>15471</v>
      </c>
      <c r="O826" t="s">
        <v>15643</v>
      </c>
      <c r="P826" t="s">
        <v>15644</v>
      </c>
      <c r="Q826" t="s">
        <v>15645</v>
      </c>
      <c r="R826" t="s">
        <v>74</v>
      </c>
      <c r="S826" t="s">
        <v>15646</v>
      </c>
      <c r="T826" t="s">
        <v>74</v>
      </c>
      <c r="U826" t="s">
        <v>74</v>
      </c>
      <c r="V826" t="s">
        <v>74</v>
      </c>
      <c r="W826" t="s">
        <v>15699</v>
      </c>
      <c r="X826" t="s">
        <v>8275</v>
      </c>
      <c r="Y826" t="s">
        <v>15700</v>
      </c>
      <c r="Z826" t="s">
        <v>15701</v>
      </c>
      <c r="AA826" t="s">
        <v>74</v>
      </c>
      <c r="AB826" t="s">
        <v>74</v>
      </c>
      <c r="AC826" t="s">
        <v>74</v>
      </c>
      <c r="AD826" t="s">
        <v>74</v>
      </c>
      <c r="AE826" t="s">
        <v>74</v>
      </c>
      <c r="AF826" t="s">
        <v>74</v>
      </c>
      <c r="AG826">
        <v>4</v>
      </c>
      <c r="AH826">
        <v>0</v>
      </c>
      <c r="AI826">
        <v>0</v>
      </c>
      <c r="AJ826">
        <v>0</v>
      </c>
      <c r="AK826">
        <v>0</v>
      </c>
      <c r="AL826" t="s">
        <v>15651</v>
      </c>
      <c r="AM826" t="s">
        <v>15652</v>
      </c>
      <c r="AN826" t="s">
        <v>15653</v>
      </c>
      <c r="AO826" t="s">
        <v>74</v>
      </c>
      <c r="AP826" t="s">
        <v>74</v>
      </c>
      <c r="AQ826" t="s">
        <v>15654</v>
      </c>
      <c r="AR826" t="s">
        <v>74</v>
      </c>
      <c r="AS826" t="s">
        <v>74</v>
      </c>
      <c r="AT826" t="s">
        <v>74</v>
      </c>
      <c r="AU826">
        <v>2015</v>
      </c>
      <c r="AV826" t="s">
        <v>74</v>
      </c>
      <c r="AW826" t="s">
        <v>74</v>
      </c>
      <c r="AX826" t="s">
        <v>74</v>
      </c>
      <c r="AY826" t="s">
        <v>74</v>
      </c>
      <c r="AZ826" t="s">
        <v>74</v>
      </c>
      <c r="BA826" t="s">
        <v>74</v>
      </c>
      <c r="BB826">
        <v>151</v>
      </c>
      <c r="BC826">
        <v>160</v>
      </c>
      <c r="BD826" t="s">
        <v>74</v>
      </c>
      <c r="BE826" t="s">
        <v>74</v>
      </c>
      <c r="BF826" t="s">
        <v>74</v>
      </c>
      <c r="BG826" t="s">
        <v>74</v>
      </c>
      <c r="BH826" t="s">
        <v>74</v>
      </c>
      <c r="BI826">
        <v>10</v>
      </c>
      <c r="BJ826" t="s">
        <v>5931</v>
      </c>
      <c r="BK826" t="s">
        <v>15655</v>
      </c>
      <c r="BL826" t="s">
        <v>5931</v>
      </c>
      <c r="BM826" t="s">
        <v>15656</v>
      </c>
      <c r="BN826" t="s">
        <v>74</v>
      </c>
      <c r="BO826" t="s">
        <v>74</v>
      </c>
      <c r="BP826" t="s">
        <v>74</v>
      </c>
      <c r="BQ826" t="s">
        <v>74</v>
      </c>
      <c r="BR826" t="s">
        <v>104</v>
      </c>
      <c r="BS826" t="s">
        <v>15702</v>
      </c>
      <c r="BT826" t="str">
        <f>HYPERLINK("https%3A%2F%2Fwww.webofscience.com%2Fwos%2Fwoscc%2Ffull-record%2FWOS:000380614300014","View Full Record in Web of Science")</f>
        <v>View Full Record in Web of Science</v>
      </c>
    </row>
    <row r="827" spans="1:72" x14ac:dyDescent="0.15">
      <c r="A827" t="s">
        <v>15464</v>
      </c>
      <c r="B827" t="s">
        <v>15703</v>
      </c>
      <c r="C827" t="s">
        <v>74</v>
      </c>
      <c r="D827" t="s">
        <v>15639</v>
      </c>
      <c r="E827" t="s">
        <v>74</v>
      </c>
      <c r="F827" t="s">
        <v>15704</v>
      </c>
      <c r="G827" t="s">
        <v>74</v>
      </c>
      <c r="H827" t="s">
        <v>74</v>
      </c>
      <c r="I827" t="s">
        <v>15705</v>
      </c>
      <c r="J827" t="s">
        <v>15642</v>
      </c>
      <c r="K827" t="s">
        <v>74</v>
      </c>
      <c r="L827" t="s">
        <v>74</v>
      </c>
      <c r="M827" t="s">
        <v>78</v>
      </c>
      <c r="N827" t="s">
        <v>15471</v>
      </c>
      <c r="O827" t="s">
        <v>15643</v>
      </c>
      <c r="P827" t="s">
        <v>15644</v>
      </c>
      <c r="Q827" t="s">
        <v>15645</v>
      </c>
      <c r="R827" t="s">
        <v>74</v>
      </c>
      <c r="S827" t="s">
        <v>15646</v>
      </c>
      <c r="T827" t="s">
        <v>74</v>
      </c>
      <c r="U827" t="s">
        <v>74</v>
      </c>
      <c r="V827" t="s">
        <v>74</v>
      </c>
      <c r="W827" t="s">
        <v>15706</v>
      </c>
      <c r="X827" t="s">
        <v>7491</v>
      </c>
      <c r="Y827" t="s">
        <v>15707</v>
      </c>
      <c r="Z827" t="s">
        <v>15708</v>
      </c>
      <c r="AA827" t="s">
        <v>74</v>
      </c>
      <c r="AB827" t="s">
        <v>74</v>
      </c>
      <c r="AC827" t="s">
        <v>74</v>
      </c>
      <c r="AD827" t="s">
        <v>74</v>
      </c>
      <c r="AE827" t="s">
        <v>74</v>
      </c>
      <c r="AF827" t="s">
        <v>74</v>
      </c>
      <c r="AG827">
        <v>0</v>
      </c>
      <c r="AH827">
        <v>1</v>
      </c>
      <c r="AI827">
        <v>1</v>
      </c>
      <c r="AJ827">
        <v>0</v>
      </c>
      <c r="AK827">
        <v>0</v>
      </c>
      <c r="AL827" t="s">
        <v>15651</v>
      </c>
      <c r="AM827" t="s">
        <v>15652</v>
      </c>
      <c r="AN827" t="s">
        <v>15653</v>
      </c>
      <c r="AO827" t="s">
        <v>74</v>
      </c>
      <c r="AP827" t="s">
        <v>74</v>
      </c>
      <c r="AQ827" t="s">
        <v>15654</v>
      </c>
      <c r="AR827" t="s">
        <v>74</v>
      </c>
      <c r="AS827" t="s">
        <v>74</v>
      </c>
      <c r="AT827" t="s">
        <v>74</v>
      </c>
      <c r="AU827">
        <v>2015</v>
      </c>
      <c r="AV827" t="s">
        <v>74</v>
      </c>
      <c r="AW827" t="s">
        <v>74</v>
      </c>
      <c r="AX827" t="s">
        <v>74</v>
      </c>
      <c r="AY827" t="s">
        <v>74</v>
      </c>
      <c r="AZ827" t="s">
        <v>74</v>
      </c>
      <c r="BA827" t="s">
        <v>74</v>
      </c>
      <c r="BB827">
        <v>161</v>
      </c>
      <c r="BC827">
        <v>167</v>
      </c>
      <c r="BD827" t="s">
        <v>74</v>
      </c>
      <c r="BE827" t="s">
        <v>74</v>
      </c>
      <c r="BF827" t="s">
        <v>74</v>
      </c>
      <c r="BG827" t="s">
        <v>74</v>
      </c>
      <c r="BH827" t="s">
        <v>74</v>
      </c>
      <c r="BI827">
        <v>7</v>
      </c>
      <c r="BJ827" t="s">
        <v>5931</v>
      </c>
      <c r="BK827" t="s">
        <v>15655</v>
      </c>
      <c r="BL827" t="s">
        <v>5931</v>
      </c>
      <c r="BM827" t="s">
        <v>15656</v>
      </c>
      <c r="BN827" t="s">
        <v>74</v>
      </c>
      <c r="BO827" t="s">
        <v>74</v>
      </c>
      <c r="BP827" t="s">
        <v>74</v>
      </c>
      <c r="BQ827" t="s">
        <v>74</v>
      </c>
      <c r="BR827" t="s">
        <v>104</v>
      </c>
      <c r="BS827" t="s">
        <v>15709</v>
      </c>
      <c r="BT827" t="str">
        <f>HYPERLINK("https%3A%2F%2Fwww.webofscience.com%2Fwos%2Fwoscc%2Ffull-record%2FWOS:000380614300015","View Full Record in Web of Science")</f>
        <v>View Full Record in Web of Science</v>
      </c>
    </row>
    <row r="828" spans="1:72" x14ac:dyDescent="0.15">
      <c r="A828" t="s">
        <v>15464</v>
      </c>
      <c r="B828" t="s">
        <v>15710</v>
      </c>
      <c r="C828" t="s">
        <v>74</v>
      </c>
      <c r="D828" t="s">
        <v>15711</v>
      </c>
      <c r="E828" t="s">
        <v>74</v>
      </c>
      <c r="F828" t="s">
        <v>15712</v>
      </c>
      <c r="G828" t="s">
        <v>74</v>
      </c>
      <c r="H828" t="s">
        <v>74</v>
      </c>
      <c r="I828" t="s">
        <v>15713</v>
      </c>
      <c r="J828" t="s">
        <v>15714</v>
      </c>
      <c r="K828" t="s">
        <v>15715</v>
      </c>
      <c r="L828" t="s">
        <v>74</v>
      </c>
      <c r="M828" t="s">
        <v>78</v>
      </c>
      <c r="N828" t="s">
        <v>15471</v>
      </c>
      <c r="O828" t="s">
        <v>15716</v>
      </c>
      <c r="P828" t="s">
        <v>15717</v>
      </c>
      <c r="Q828" t="s">
        <v>15718</v>
      </c>
      <c r="R828" t="s">
        <v>74</v>
      </c>
      <c r="S828" t="s">
        <v>15719</v>
      </c>
      <c r="T828" t="s">
        <v>15720</v>
      </c>
      <c r="U828" t="s">
        <v>15721</v>
      </c>
      <c r="V828" t="s">
        <v>15722</v>
      </c>
      <c r="W828" t="s">
        <v>15723</v>
      </c>
      <c r="X828" t="s">
        <v>15724</v>
      </c>
      <c r="Y828" t="s">
        <v>15725</v>
      </c>
      <c r="Z828" t="s">
        <v>15726</v>
      </c>
      <c r="AA828" t="s">
        <v>74</v>
      </c>
      <c r="AB828" t="s">
        <v>15727</v>
      </c>
      <c r="AC828" t="s">
        <v>74</v>
      </c>
      <c r="AD828" t="s">
        <v>74</v>
      </c>
      <c r="AE828" t="s">
        <v>74</v>
      </c>
      <c r="AF828" t="s">
        <v>74</v>
      </c>
      <c r="AG828">
        <v>18</v>
      </c>
      <c r="AH828">
        <v>4</v>
      </c>
      <c r="AI828">
        <v>4</v>
      </c>
      <c r="AJ828">
        <v>0</v>
      </c>
      <c r="AK828">
        <v>3</v>
      </c>
      <c r="AL828" t="s">
        <v>815</v>
      </c>
      <c r="AM828" t="s">
        <v>816</v>
      </c>
      <c r="AN828" t="s">
        <v>15728</v>
      </c>
      <c r="AO828" t="s">
        <v>15729</v>
      </c>
      <c r="AP828" t="s">
        <v>74</v>
      </c>
      <c r="AQ828" t="s">
        <v>74</v>
      </c>
      <c r="AR828" t="s">
        <v>15730</v>
      </c>
      <c r="AS828" t="s">
        <v>74</v>
      </c>
      <c r="AT828" t="s">
        <v>74</v>
      </c>
      <c r="AU828">
        <v>2015</v>
      </c>
      <c r="AV828">
        <v>202</v>
      </c>
      <c r="AW828" t="s">
        <v>74</v>
      </c>
      <c r="AX828" t="s">
        <v>74</v>
      </c>
      <c r="AY828" t="s">
        <v>74</v>
      </c>
      <c r="AZ828" t="s">
        <v>74</v>
      </c>
      <c r="BA828" t="s">
        <v>74</v>
      </c>
      <c r="BB828">
        <v>115</v>
      </c>
      <c r="BC828">
        <v>123</v>
      </c>
      <c r="BD828" t="s">
        <v>74</v>
      </c>
      <c r="BE828" t="s">
        <v>15731</v>
      </c>
      <c r="BF828" t="str">
        <f>HYPERLINK("http://dx.doi.org/10.1016/j.sbspro.2015.08.214","http://dx.doi.org/10.1016/j.sbspro.2015.08.214")</f>
        <v>http://dx.doi.org/10.1016/j.sbspro.2015.08.214</v>
      </c>
      <c r="BG828" t="s">
        <v>74</v>
      </c>
      <c r="BH828" t="s">
        <v>74</v>
      </c>
      <c r="BI828">
        <v>9</v>
      </c>
      <c r="BJ828" t="s">
        <v>15732</v>
      </c>
      <c r="BK828" t="s">
        <v>15655</v>
      </c>
      <c r="BL828" t="s">
        <v>15733</v>
      </c>
      <c r="BM828" t="s">
        <v>15734</v>
      </c>
      <c r="BN828" t="s">
        <v>74</v>
      </c>
      <c r="BO828" t="s">
        <v>4689</v>
      </c>
      <c r="BP828" t="s">
        <v>74</v>
      </c>
      <c r="BQ828" t="s">
        <v>74</v>
      </c>
      <c r="BR828" t="s">
        <v>104</v>
      </c>
      <c r="BS828" t="s">
        <v>15735</v>
      </c>
      <c r="BT828" t="str">
        <f>HYPERLINK("https%3A%2F%2Fwww.webofscience.com%2Fwos%2Fwoscc%2Ffull-record%2FWOS:000381109000012","View Full Record in Web of Science")</f>
        <v>View Full Record in Web of Science</v>
      </c>
    </row>
    <row r="829" spans="1:72" x14ac:dyDescent="0.15">
      <c r="A829" t="s">
        <v>15464</v>
      </c>
      <c r="B829" t="s">
        <v>15736</v>
      </c>
      <c r="C829" t="s">
        <v>74</v>
      </c>
      <c r="D829" t="s">
        <v>15711</v>
      </c>
      <c r="E829" t="s">
        <v>74</v>
      </c>
      <c r="F829" t="s">
        <v>15737</v>
      </c>
      <c r="G829" t="s">
        <v>74</v>
      </c>
      <c r="H829" t="s">
        <v>74</v>
      </c>
      <c r="I829" t="s">
        <v>15738</v>
      </c>
      <c r="J829" t="s">
        <v>15714</v>
      </c>
      <c r="K829" t="s">
        <v>15715</v>
      </c>
      <c r="L829" t="s">
        <v>74</v>
      </c>
      <c r="M829" t="s">
        <v>78</v>
      </c>
      <c r="N829" t="s">
        <v>15471</v>
      </c>
      <c r="O829" t="s">
        <v>15716</v>
      </c>
      <c r="P829" t="s">
        <v>15717</v>
      </c>
      <c r="Q829" t="s">
        <v>15718</v>
      </c>
      <c r="R829" t="s">
        <v>74</v>
      </c>
      <c r="S829" t="s">
        <v>15719</v>
      </c>
      <c r="T829" t="s">
        <v>15739</v>
      </c>
      <c r="U829" t="s">
        <v>74</v>
      </c>
      <c r="V829" t="s">
        <v>15740</v>
      </c>
      <c r="W829" t="s">
        <v>15741</v>
      </c>
      <c r="X829" t="s">
        <v>15724</v>
      </c>
      <c r="Y829" t="s">
        <v>15742</v>
      </c>
      <c r="Z829" t="s">
        <v>15743</v>
      </c>
      <c r="AA829" t="s">
        <v>74</v>
      </c>
      <c r="AB829" t="s">
        <v>15727</v>
      </c>
      <c r="AC829" t="s">
        <v>74</v>
      </c>
      <c r="AD829" t="s">
        <v>74</v>
      </c>
      <c r="AE829" t="s">
        <v>74</v>
      </c>
      <c r="AF829" t="s">
        <v>74</v>
      </c>
      <c r="AG829">
        <v>12</v>
      </c>
      <c r="AH829">
        <v>5</v>
      </c>
      <c r="AI829">
        <v>7</v>
      </c>
      <c r="AJ829">
        <v>0</v>
      </c>
      <c r="AK829">
        <v>6</v>
      </c>
      <c r="AL829" t="s">
        <v>815</v>
      </c>
      <c r="AM829" t="s">
        <v>816</v>
      </c>
      <c r="AN829" t="s">
        <v>15728</v>
      </c>
      <c r="AO829" t="s">
        <v>15729</v>
      </c>
      <c r="AP829" t="s">
        <v>74</v>
      </c>
      <c r="AQ829" t="s">
        <v>74</v>
      </c>
      <c r="AR829" t="s">
        <v>15730</v>
      </c>
      <c r="AS829" t="s">
        <v>74</v>
      </c>
      <c r="AT829" t="s">
        <v>74</v>
      </c>
      <c r="AU829">
        <v>2015</v>
      </c>
      <c r="AV829">
        <v>202</v>
      </c>
      <c r="AW829" t="s">
        <v>74</v>
      </c>
      <c r="AX829" t="s">
        <v>74</v>
      </c>
      <c r="AY829" t="s">
        <v>74</v>
      </c>
      <c r="AZ829" t="s">
        <v>74</v>
      </c>
      <c r="BA829" t="s">
        <v>74</v>
      </c>
      <c r="BB829">
        <v>227</v>
      </c>
      <c r="BC829">
        <v>233</v>
      </c>
      <c r="BD829" t="s">
        <v>74</v>
      </c>
      <c r="BE829" t="s">
        <v>15744</v>
      </c>
      <c r="BF829" t="str">
        <f>HYPERLINK("http://dx.doi.org/10.1016/j.sbspro.2015.08.226","http://dx.doi.org/10.1016/j.sbspro.2015.08.226")</f>
        <v>http://dx.doi.org/10.1016/j.sbspro.2015.08.226</v>
      </c>
      <c r="BG829" t="s">
        <v>74</v>
      </c>
      <c r="BH829" t="s">
        <v>74</v>
      </c>
      <c r="BI829">
        <v>7</v>
      </c>
      <c r="BJ829" t="s">
        <v>15732</v>
      </c>
      <c r="BK829" t="s">
        <v>15655</v>
      </c>
      <c r="BL829" t="s">
        <v>15733</v>
      </c>
      <c r="BM829" t="s">
        <v>15734</v>
      </c>
      <c r="BN829" t="s">
        <v>74</v>
      </c>
      <c r="BO829" t="s">
        <v>4689</v>
      </c>
      <c r="BP829" t="s">
        <v>74</v>
      </c>
      <c r="BQ829" t="s">
        <v>74</v>
      </c>
      <c r="BR829" t="s">
        <v>104</v>
      </c>
      <c r="BS829" t="s">
        <v>15745</v>
      </c>
      <c r="BT829" t="str">
        <f>HYPERLINK("https%3A%2F%2Fwww.webofscience.com%2Fwos%2Fwoscc%2Ffull-record%2FWOS:000381109000024","View Full Record in Web of Science")</f>
        <v>View Full Record in Web of Science</v>
      </c>
    </row>
    <row r="830" spans="1:72" x14ac:dyDescent="0.15">
      <c r="A830" t="s">
        <v>15464</v>
      </c>
      <c r="B830" t="s">
        <v>15746</v>
      </c>
      <c r="C830" t="s">
        <v>74</v>
      </c>
      <c r="D830" t="s">
        <v>15711</v>
      </c>
      <c r="E830" t="s">
        <v>74</v>
      </c>
      <c r="F830" t="s">
        <v>15747</v>
      </c>
      <c r="G830" t="s">
        <v>74</v>
      </c>
      <c r="H830" t="s">
        <v>74</v>
      </c>
      <c r="I830" t="s">
        <v>15748</v>
      </c>
      <c r="J830" t="s">
        <v>15714</v>
      </c>
      <c r="K830" t="s">
        <v>15715</v>
      </c>
      <c r="L830" t="s">
        <v>74</v>
      </c>
      <c r="M830" t="s">
        <v>78</v>
      </c>
      <c r="N830" t="s">
        <v>15471</v>
      </c>
      <c r="O830" t="s">
        <v>15716</v>
      </c>
      <c r="P830" t="s">
        <v>15717</v>
      </c>
      <c r="Q830" t="s">
        <v>15718</v>
      </c>
      <c r="R830" t="s">
        <v>74</v>
      </c>
      <c r="S830" t="s">
        <v>15719</v>
      </c>
      <c r="T830" t="s">
        <v>15749</v>
      </c>
      <c r="U830" t="s">
        <v>74</v>
      </c>
      <c r="V830" t="s">
        <v>15750</v>
      </c>
      <c r="W830" t="s">
        <v>15751</v>
      </c>
      <c r="X830" t="s">
        <v>15724</v>
      </c>
      <c r="Y830" t="s">
        <v>15725</v>
      </c>
      <c r="Z830" t="s">
        <v>15726</v>
      </c>
      <c r="AA830" t="s">
        <v>74</v>
      </c>
      <c r="AB830" t="s">
        <v>15727</v>
      </c>
      <c r="AC830" t="s">
        <v>74</v>
      </c>
      <c r="AD830" t="s">
        <v>74</v>
      </c>
      <c r="AE830" t="s">
        <v>74</v>
      </c>
      <c r="AF830" t="s">
        <v>74</v>
      </c>
      <c r="AG830">
        <v>19</v>
      </c>
      <c r="AH830">
        <v>2</v>
      </c>
      <c r="AI830">
        <v>3</v>
      </c>
      <c r="AJ830">
        <v>0</v>
      </c>
      <c r="AK830">
        <v>1</v>
      </c>
      <c r="AL830" t="s">
        <v>815</v>
      </c>
      <c r="AM830" t="s">
        <v>816</v>
      </c>
      <c r="AN830" t="s">
        <v>15728</v>
      </c>
      <c r="AO830" t="s">
        <v>15729</v>
      </c>
      <c r="AP830" t="s">
        <v>74</v>
      </c>
      <c r="AQ830" t="s">
        <v>74</v>
      </c>
      <c r="AR830" t="s">
        <v>15730</v>
      </c>
      <c r="AS830" t="s">
        <v>74</v>
      </c>
      <c r="AT830" t="s">
        <v>74</v>
      </c>
      <c r="AU830">
        <v>2015</v>
      </c>
      <c r="AV830">
        <v>202</v>
      </c>
      <c r="AW830" t="s">
        <v>74</v>
      </c>
      <c r="AX830" t="s">
        <v>74</v>
      </c>
      <c r="AY830" t="s">
        <v>74</v>
      </c>
      <c r="AZ830" t="s">
        <v>74</v>
      </c>
      <c r="BA830" t="s">
        <v>74</v>
      </c>
      <c r="BB830">
        <v>303</v>
      </c>
      <c r="BC830">
        <v>310</v>
      </c>
      <c r="BD830" t="s">
        <v>74</v>
      </c>
      <c r="BE830" t="s">
        <v>15752</v>
      </c>
      <c r="BF830" t="str">
        <f>HYPERLINK("http://dx.doi.org/10.1016/j.sbspro.2015.08.234","http://dx.doi.org/10.1016/j.sbspro.2015.08.234")</f>
        <v>http://dx.doi.org/10.1016/j.sbspro.2015.08.234</v>
      </c>
      <c r="BG830" t="s">
        <v>74</v>
      </c>
      <c r="BH830" t="s">
        <v>74</v>
      </c>
      <c r="BI830">
        <v>8</v>
      </c>
      <c r="BJ830" t="s">
        <v>15732</v>
      </c>
      <c r="BK830" t="s">
        <v>15655</v>
      </c>
      <c r="BL830" t="s">
        <v>15733</v>
      </c>
      <c r="BM830" t="s">
        <v>15734</v>
      </c>
      <c r="BN830" t="s">
        <v>74</v>
      </c>
      <c r="BO830" t="s">
        <v>4689</v>
      </c>
      <c r="BP830" t="s">
        <v>74</v>
      </c>
      <c r="BQ830" t="s">
        <v>74</v>
      </c>
      <c r="BR830" t="s">
        <v>104</v>
      </c>
      <c r="BS830" t="s">
        <v>15753</v>
      </c>
      <c r="BT830" t="str">
        <f>HYPERLINK("https%3A%2F%2Fwww.webofscience.com%2Fwos%2Fwoscc%2Ffull-record%2FWOS:000381109000032","View Full Record in Web of Science")</f>
        <v>View Full Record in Web of Science</v>
      </c>
    </row>
    <row r="831" spans="1:72" x14ac:dyDescent="0.15">
      <c r="A831" t="s">
        <v>15464</v>
      </c>
      <c r="B831" t="s">
        <v>15754</v>
      </c>
      <c r="C831" t="s">
        <v>74</v>
      </c>
      <c r="D831" t="s">
        <v>74</v>
      </c>
      <c r="E831" t="s">
        <v>15529</v>
      </c>
      <c r="F831" t="s">
        <v>15755</v>
      </c>
      <c r="G831" t="s">
        <v>74</v>
      </c>
      <c r="H831" t="s">
        <v>74</v>
      </c>
      <c r="I831" t="s">
        <v>15756</v>
      </c>
      <c r="J831" t="s">
        <v>15757</v>
      </c>
      <c r="K831" t="s">
        <v>74</v>
      </c>
      <c r="L831" t="s">
        <v>74</v>
      </c>
      <c r="M831" t="s">
        <v>78</v>
      </c>
      <c r="N831" t="s">
        <v>15471</v>
      </c>
      <c r="O831" t="s">
        <v>15758</v>
      </c>
      <c r="P831" t="s">
        <v>15759</v>
      </c>
      <c r="Q831" t="s">
        <v>15760</v>
      </c>
      <c r="R831" t="s">
        <v>74</v>
      </c>
      <c r="S831" t="s">
        <v>74</v>
      </c>
      <c r="T831" t="s">
        <v>74</v>
      </c>
      <c r="U831" t="s">
        <v>74</v>
      </c>
      <c r="V831" t="s">
        <v>74</v>
      </c>
      <c r="W831" t="s">
        <v>15761</v>
      </c>
      <c r="X831" t="s">
        <v>15762</v>
      </c>
      <c r="Y831" t="s">
        <v>15763</v>
      </c>
      <c r="Z831" t="s">
        <v>74</v>
      </c>
      <c r="AA831" t="s">
        <v>74</v>
      </c>
      <c r="AB831" t="s">
        <v>74</v>
      </c>
      <c r="AC831" t="s">
        <v>74</v>
      </c>
      <c r="AD831" t="s">
        <v>74</v>
      </c>
      <c r="AE831" t="s">
        <v>74</v>
      </c>
      <c r="AF831" t="s">
        <v>74</v>
      </c>
      <c r="AG831">
        <v>0</v>
      </c>
      <c r="AH831">
        <v>0</v>
      </c>
      <c r="AI831">
        <v>0</v>
      </c>
      <c r="AJ831">
        <v>0</v>
      </c>
      <c r="AK831">
        <v>0</v>
      </c>
      <c r="AL831" t="s">
        <v>15529</v>
      </c>
      <c r="AM831" t="s">
        <v>121</v>
      </c>
      <c r="AN831" t="s">
        <v>15530</v>
      </c>
      <c r="AO831" t="s">
        <v>74</v>
      </c>
      <c r="AP831" t="s">
        <v>74</v>
      </c>
      <c r="AQ831" t="s">
        <v>15764</v>
      </c>
      <c r="AR831" t="s">
        <v>74</v>
      </c>
      <c r="AS831" t="s">
        <v>74</v>
      </c>
      <c r="AT831" t="s">
        <v>74</v>
      </c>
      <c r="AU831">
        <v>2015</v>
      </c>
      <c r="AV831" t="s">
        <v>74</v>
      </c>
      <c r="AW831" t="s">
        <v>74</v>
      </c>
      <c r="AX831" t="s">
        <v>74</v>
      </c>
      <c r="AY831" t="s">
        <v>74</v>
      </c>
      <c r="AZ831" t="s">
        <v>74</v>
      </c>
      <c r="BA831" t="s">
        <v>74</v>
      </c>
      <c r="BB831" t="s">
        <v>74</v>
      </c>
      <c r="BC831" t="s">
        <v>74</v>
      </c>
      <c r="BD831" t="s">
        <v>74</v>
      </c>
      <c r="BE831" t="s">
        <v>74</v>
      </c>
      <c r="BF831" t="s">
        <v>74</v>
      </c>
      <c r="BG831" t="s">
        <v>74</v>
      </c>
      <c r="BH831" t="s">
        <v>74</v>
      </c>
      <c r="BI831">
        <v>1</v>
      </c>
      <c r="BJ831" t="s">
        <v>15765</v>
      </c>
      <c r="BK831" t="s">
        <v>15487</v>
      </c>
      <c r="BL831" t="s">
        <v>15766</v>
      </c>
      <c r="BM831" t="s">
        <v>15767</v>
      </c>
      <c r="BN831" t="s">
        <v>74</v>
      </c>
      <c r="BO831" t="s">
        <v>74</v>
      </c>
      <c r="BP831" t="s">
        <v>74</v>
      </c>
      <c r="BQ831" t="s">
        <v>74</v>
      </c>
      <c r="BR831" t="s">
        <v>104</v>
      </c>
      <c r="BS831" t="s">
        <v>15768</v>
      </c>
      <c r="BT831" t="str">
        <f>HYPERLINK("https%3A%2F%2Fwww.webofscience.com%2Fwos%2Fwoscc%2Ffull-record%2FWOS:000380563800262","View Full Record in Web of Science")</f>
        <v>View Full Record in Web of Science</v>
      </c>
    </row>
    <row r="832" spans="1:72" x14ac:dyDescent="0.15">
      <c r="A832" t="s">
        <v>15464</v>
      </c>
      <c r="B832" t="s">
        <v>15769</v>
      </c>
      <c r="C832" t="s">
        <v>74</v>
      </c>
      <c r="D832" t="s">
        <v>74</v>
      </c>
      <c r="E832" t="s">
        <v>15529</v>
      </c>
      <c r="F832" t="s">
        <v>15770</v>
      </c>
      <c r="G832" t="s">
        <v>74</v>
      </c>
      <c r="H832" t="s">
        <v>74</v>
      </c>
      <c r="I832" t="s">
        <v>15771</v>
      </c>
      <c r="J832" t="s">
        <v>15757</v>
      </c>
      <c r="K832" t="s">
        <v>74</v>
      </c>
      <c r="L832" t="s">
        <v>74</v>
      </c>
      <c r="M832" t="s">
        <v>78</v>
      </c>
      <c r="N832" t="s">
        <v>15471</v>
      </c>
      <c r="O832" t="s">
        <v>15758</v>
      </c>
      <c r="P832" t="s">
        <v>15759</v>
      </c>
      <c r="Q832" t="s">
        <v>15760</v>
      </c>
      <c r="R832" t="s">
        <v>74</v>
      </c>
      <c r="S832" t="s">
        <v>74</v>
      </c>
      <c r="T832" t="s">
        <v>74</v>
      </c>
      <c r="U832" t="s">
        <v>74</v>
      </c>
      <c r="V832" t="s">
        <v>74</v>
      </c>
      <c r="W832" t="s">
        <v>15772</v>
      </c>
      <c r="X832" t="s">
        <v>15773</v>
      </c>
      <c r="Y832" t="s">
        <v>15774</v>
      </c>
      <c r="Z832" t="s">
        <v>15775</v>
      </c>
      <c r="AA832" t="s">
        <v>15776</v>
      </c>
      <c r="AB832" t="s">
        <v>15050</v>
      </c>
      <c r="AC832" t="s">
        <v>74</v>
      </c>
      <c r="AD832" t="s">
        <v>74</v>
      </c>
      <c r="AE832" t="s">
        <v>74</v>
      </c>
      <c r="AF832" t="s">
        <v>74</v>
      </c>
      <c r="AG832">
        <v>0</v>
      </c>
      <c r="AH832">
        <v>0</v>
      </c>
      <c r="AI832">
        <v>0</v>
      </c>
      <c r="AJ832">
        <v>0</v>
      </c>
      <c r="AK832">
        <v>1</v>
      </c>
      <c r="AL832" t="s">
        <v>15529</v>
      </c>
      <c r="AM832" t="s">
        <v>121</v>
      </c>
      <c r="AN832" t="s">
        <v>15530</v>
      </c>
      <c r="AO832" t="s">
        <v>74</v>
      </c>
      <c r="AP832" t="s">
        <v>74</v>
      </c>
      <c r="AQ832" t="s">
        <v>15764</v>
      </c>
      <c r="AR832" t="s">
        <v>74</v>
      </c>
      <c r="AS832" t="s">
        <v>74</v>
      </c>
      <c r="AT832" t="s">
        <v>74</v>
      </c>
      <c r="AU832">
        <v>2015</v>
      </c>
      <c r="AV832" t="s">
        <v>74</v>
      </c>
      <c r="AW832" t="s">
        <v>74</v>
      </c>
      <c r="AX832" t="s">
        <v>74</v>
      </c>
      <c r="AY832" t="s">
        <v>74</v>
      </c>
      <c r="AZ832" t="s">
        <v>74</v>
      </c>
      <c r="BA832" t="s">
        <v>74</v>
      </c>
      <c r="BB832" t="s">
        <v>74</v>
      </c>
      <c r="BC832" t="s">
        <v>74</v>
      </c>
      <c r="BD832" t="s">
        <v>74</v>
      </c>
      <c r="BE832" t="s">
        <v>74</v>
      </c>
      <c r="BF832" t="s">
        <v>74</v>
      </c>
      <c r="BG832" t="s">
        <v>74</v>
      </c>
      <c r="BH832" t="s">
        <v>74</v>
      </c>
      <c r="BI832">
        <v>1</v>
      </c>
      <c r="BJ832" t="s">
        <v>15765</v>
      </c>
      <c r="BK832" t="s">
        <v>15487</v>
      </c>
      <c r="BL832" t="s">
        <v>15766</v>
      </c>
      <c r="BM832" t="s">
        <v>15767</v>
      </c>
      <c r="BN832" t="s">
        <v>74</v>
      </c>
      <c r="BO832" t="s">
        <v>74</v>
      </c>
      <c r="BP832" t="s">
        <v>74</v>
      </c>
      <c r="BQ832" t="s">
        <v>74</v>
      </c>
      <c r="BR832" t="s">
        <v>104</v>
      </c>
      <c r="BS832" t="s">
        <v>15777</v>
      </c>
      <c r="BT832" t="str">
        <f>HYPERLINK("https%3A%2F%2Fwww.webofscience.com%2Fwos%2Fwoscc%2Ffull-record%2FWOS:000380563800289","View Full Record in Web of Science")</f>
        <v>View Full Record in Web of Science</v>
      </c>
    </row>
    <row r="833" spans="1:72" x14ac:dyDescent="0.15">
      <c r="A833" t="s">
        <v>15464</v>
      </c>
      <c r="B833" t="s">
        <v>15778</v>
      </c>
      <c r="C833" t="s">
        <v>74</v>
      </c>
      <c r="D833" t="s">
        <v>74</v>
      </c>
      <c r="E833" t="s">
        <v>15529</v>
      </c>
      <c r="F833" t="s">
        <v>15779</v>
      </c>
      <c r="G833" t="s">
        <v>74</v>
      </c>
      <c r="H833" t="s">
        <v>74</v>
      </c>
      <c r="I833" t="s">
        <v>15780</v>
      </c>
      <c r="J833" t="s">
        <v>15781</v>
      </c>
      <c r="K833" t="s">
        <v>74</v>
      </c>
      <c r="L833" t="s">
        <v>74</v>
      </c>
      <c r="M833" t="s">
        <v>78</v>
      </c>
      <c r="N833" t="s">
        <v>15471</v>
      </c>
      <c r="O833" t="s">
        <v>15782</v>
      </c>
      <c r="P833" t="s">
        <v>15783</v>
      </c>
      <c r="Q833" t="s">
        <v>15784</v>
      </c>
      <c r="R833" t="s">
        <v>74</v>
      </c>
      <c r="S833" t="s">
        <v>15785</v>
      </c>
      <c r="T833" t="s">
        <v>74</v>
      </c>
      <c r="U833" t="s">
        <v>15786</v>
      </c>
      <c r="V833" t="s">
        <v>15787</v>
      </c>
      <c r="W833" t="s">
        <v>15788</v>
      </c>
      <c r="X833" t="s">
        <v>15789</v>
      </c>
      <c r="Y833" t="s">
        <v>15790</v>
      </c>
      <c r="Z833" t="s">
        <v>15791</v>
      </c>
      <c r="AA833" t="s">
        <v>74</v>
      </c>
      <c r="AB833" t="s">
        <v>74</v>
      </c>
      <c r="AC833" t="s">
        <v>74</v>
      </c>
      <c r="AD833" t="s">
        <v>74</v>
      </c>
      <c r="AE833" t="s">
        <v>74</v>
      </c>
      <c r="AF833" t="s">
        <v>74</v>
      </c>
      <c r="AG833">
        <v>16</v>
      </c>
      <c r="AH833">
        <v>0</v>
      </c>
      <c r="AI833">
        <v>0</v>
      </c>
      <c r="AJ833">
        <v>0</v>
      </c>
      <c r="AK833">
        <v>10</v>
      </c>
      <c r="AL833" t="s">
        <v>15529</v>
      </c>
      <c r="AM833" t="s">
        <v>121</v>
      </c>
      <c r="AN833" t="s">
        <v>15530</v>
      </c>
      <c r="AO833" t="s">
        <v>74</v>
      </c>
      <c r="AP833" t="s">
        <v>74</v>
      </c>
      <c r="AQ833" t="s">
        <v>15792</v>
      </c>
      <c r="AR833" t="s">
        <v>74</v>
      </c>
      <c r="AS833" t="s">
        <v>74</v>
      </c>
      <c r="AT833" t="s">
        <v>74</v>
      </c>
      <c r="AU833">
        <v>2015</v>
      </c>
      <c r="AV833" t="s">
        <v>74</v>
      </c>
      <c r="AW833" t="s">
        <v>74</v>
      </c>
      <c r="AX833" t="s">
        <v>74</v>
      </c>
      <c r="AY833" t="s">
        <v>74</v>
      </c>
      <c r="AZ833" t="s">
        <v>74</v>
      </c>
      <c r="BA833" t="s">
        <v>74</v>
      </c>
      <c r="BB833" t="s">
        <v>74</v>
      </c>
      <c r="BC833" t="s">
        <v>74</v>
      </c>
      <c r="BD833" t="s">
        <v>74</v>
      </c>
      <c r="BE833" t="s">
        <v>15793</v>
      </c>
      <c r="BF833" t="str">
        <f>HYPERLINK("http://dx.doi.org/10.1109/OCEANS-Genova.2015.7271519","http://dx.doi.org/10.1109/OCEANS-Genova.2015.7271519")</f>
        <v>http://dx.doi.org/10.1109/OCEANS-Genova.2015.7271519</v>
      </c>
      <c r="BG833" t="s">
        <v>74</v>
      </c>
      <c r="BH833" t="s">
        <v>74</v>
      </c>
      <c r="BI833">
        <v>9</v>
      </c>
      <c r="BJ833" t="s">
        <v>15599</v>
      </c>
      <c r="BK833" t="s">
        <v>15487</v>
      </c>
      <c r="BL833" t="s">
        <v>9064</v>
      </c>
      <c r="BM833" t="s">
        <v>15794</v>
      </c>
      <c r="BN833" t="s">
        <v>74</v>
      </c>
      <c r="BO833" t="s">
        <v>74</v>
      </c>
      <c r="BP833" t="s">
        <v>74</v>
      </c>
      <c r="BQ833" t="s">
        <v>74</v>
      </c>
      <c r="BR833" t="s">
        <v>104</v>
      </c>
      <c r="BS833" t="s">
        <v>15795</v>
      </c>
      <c r="BT833" t="str">
        <f>HYPERLINK("https%3A%2F%2Fwww.webofscience.com%2Fwos%2Fwoscc%2Ffull-record%2FWOS:000380485500201","View Full Record in Web of Science")</f>
        <v>View Full Record in Web of Science</v>
      </c>
    </row>
    <row r="834" spans="1:72" x14ac:dyDescent="0.15">
      <c r="A834" t="s">
        <v>15464</v>
      </c>
      <c r="B834" t="s">
        <v>15796</v>
      </c>
      <c r="C834" t="s">
        <v>74</v>
      </c>
      <c r="D834" t="s">
        <v>74</v>
      </c>
      <c r="E834" t="s">
        <v>15529</v>
      </c>
      <c r="F834" t="s">
        <v>15797</v>
      </c>
      <c r="G834" t="s">
        <v>74</v>
      </c>
      <c r="H834" t="s">
        <v>74</v>
      </c>
      <c r="I834" t="s">
        <v>15798</v>
      </c>
      <c r="J834" t="s">
        <v>15799</v>
      </c>
      <c r="K834" t="s">
        <v>74</v>
      </c>
      <c r="L834" t="s">
        <v>74</v>
      </c>
      <c r="M834" t="s">
        <v>78</v>
      </c>
      <c r="N834" t="s">
        <v>15471</v>
      </c>
      <c r="O834" t="s">
        <v>15800</v>
      </c>
      <c r="P834" t="s">
        <v>15801</v>
      </c>
      <c r="Q834" t="s">
        <v>15802</v>
      </c>
      <c r="R834" t="s">
        <v>74</v>
      </c>
      <c r="S834" t="s">
        <v>74</v>
      </c>
      <c r="T834" t="s">
        <v>15803</v>
      </c>
      <c r="U834" t="s">
        <v>74</v>
      </c>
      <c r="V834" t="s">
        <v>15804</v>
      </c>
      <c r="W834" t="s">
        <v>15805</v>
      </c>
      <c r="X834" t="s">
        <v>15806</v>
      </c>
      <c r="Y834" t="s">
        <v>15807</v>
      </c>
      <c r="Z834" t="s">
        <v>74</v>
      </c>
      <c r="AA834" t="s">
        <v>74</v>
      </c>
      <c r="AB834" t="s">
        <v>15808</v>
      </c>
      <c r="AC834" t="s">
        <v>74</v>
      </c>
      <c r="AD834" t="s">
        <v>74</v>
      </c>
      <c r="AE834" t="s">
        <v>74</v>
      </c>
      <c r="AF834" t="s">
        <v>74</v>
      </c>
      <c r="AG834">
        <v>5</v>
      </c>
      <c r="AH834">
        <v>0</v>
      </c>
      <c r="AI834">
        <v>0</v>
      </c>
      <c r="AJ834">
        <v>0</v>
      </c>
      <c r="AK834">
        <v>3</v>
      </c>
      <c r="AL834" t="s">
        <v>15529</v>
      </c>
      <c r="AM834" t="s">
        <v>121</v>
      </c>
      <c r="AN834" t="s">
        <v>15530</v>
      </c>
      <c r="AO834" t="s">
        <v>74</v>
      </c>
      <c r="AP834" t="s">
        <v>74</v>
      </c>
      <c r="AQ834" t="s">
        <v>15809</v>
      </c>
      <c r="AR834" t="s">
        <v>74</v>
      </c>
      <c r="AS834" t="s">
        <v>74</v>
      </c>
      <c r="AT834" t="s">
        <v>74</v>
      </c>
      <c r="AU834">
        <v>2015</v>
      </c>
      <c r="AV834" t="s">
        <v>74</v>
      </c>
      <c r="AW834" t="s">
        <v>74</v>
      </c>
      <c r="AX834" t="s">
        <v>74</v>
      </c>
      <c r="AY834" t="s">
        <v>74</v>
      </c>
      <c r="AZ834" t="s">
        <v>74</v>
      </c>
      <c r="BA834" t="s">
        <v>74</v>
      </c>
      <c r="BB834" t="s">
        <v>74</v>
      </c>
      <c r="BC834" t="s">
        <v>74</v>
      </c>
      <c r="BD834" t="s">
        <v>74</v>
      </c>
      <c r="BE834" t="s">
        <v>74</v>
      </c>
      <c r="BF834" t="s">
        <v>74</v>
      </c>
      <c r="BG834" t="s">
        <v>74</v>
      </c>
      <c r="BH834" t="s">
        <v>74</v>
      </c>
      <c r="BI834">
        <v>4</v>
      </c>
      <c r="BJ834" t="s">
        <v>15810</v>
      </c>
      <c r="BK834" t="s">
        <v>15487</v>
      </c>
      <c r="BL834" t="s">
        <v>15811</v>
      </c>
      <c r="BM834" t="s">
        <v>15812</v>
      </c>
      <c r="BN834" t="s">
        <v>74</v>
      </c>
      <c r="BO834" t="s">
        <v>74</v>
      </c>
      <c r="BP834" t="s">
        <v>74</v>
      </c>
      <c r="BQ834" t="s">
        <v>74</v>
      </c>
      <c r="BR834" t="s">
        <v>104</v>
      </c>
      <c r="BS834" t="s">
        <v>15813</v>
      </c>
      <c r="BT834" t="str">
        <f>HYPERLINK("https%3A%2F%2Fwww.webofscience.com%2Fwos%2Fwoscc%2Ffull-record%2FWOS:000380404100026","View Full Record in Web of Science")</f>
        <v>View Full Record in Web of Science</v>
      </c>
    </row>
    <row r="835" spans="1:72" x14ac:dyDescent="0.15">
      <c r="A835" t="s">
        <v>15464</v>
      </c>
      <c r="B835" t="s">
        <v>15814</v>
      </c>
      <c r="C835" t="s">
        <v>74</v>
      </c>
      <c r="D835" t="s">
        <v>15815</v>
      </c>
      <c r="E835" t="s">
        <v>74</v>
      </c>
      <c r="F835" t="s">
        <v>15816</v>
      </c>
      <c r="G835" t="s">
        <v>74</v>
      </c>
      <c r="H835" t="s">
        <v>74</v>
      </c>
      <c r="I835" t="s">
        <v>15817</v>
      </c>
      <c r="J835" t="s">
        <v>15818</v>
      </c>
      <c r="K835" t="s">
        <v>74</v>
      </c>
      <c r="L835" t="s">
        <v>74</v>
      </c>
      <c r="M835" t="s">
        <v>78</v>
      </c>
      <c r="N835" t="s">
        <v>15471</v>
      </c>
      <c r="O835" t="s">
        <v>15819</v>
      </c>
      <c r="P835" t="s">
        <v>15820</v>
      </c>
      <c r="Q835" t="s">
        <v>15821</v>
      </c>
      <c r="R835" t="s">
        <v>74</v>
      </c>
      <c r="S835" t="s">
        <v>74</v>
      </c>
      <c r="T835" t="s">
        <v>15822</v>
      </c>
      <c r="U835" t="s">
        <v>74</v>
      </c>
      <c r="V835" t="s">
        <v>15823</v>
      </c>
      <c r="W835" t="s">
        <v>15824</v>
      </c>
      <c r="X835" t="s">
        <v>15825</v>
      </c>
      <c r="Y835" t="s">
        <v>15826</v>
      </c>
      <c r="Z835" t="s">
        <v>15827</v>
      </c>
      <c r="AA835" t="s">
        <v>74</v>
      </c>
      <c r="AB835" t="s">
        <v>74</v>
      </c>
      <c r="AC835" t="s">
        <v>74</v>
      </c>
      <c r="AD835" t="s">
        <v>74</v>
      </c>
      <c r="AE835" t="s">
        <v>74</v>
      </c>
      <c r="AF835" t="s">
        <v>74</v>
      </c>
      <c r="AG835">
        <v>6</v>
      </c>
      <c r="AH835">
        <v>0</v>
      </c>
      <c r="AI835">
        <v>0</v>
      </c>
      <c r="AJ835">
        <v>0</v>
      </c>
      <c r="AK835">
        <v>5</v>
      </c>
      <c r="AL835" t="s">
        <v>15828</v>
      </c>
      <c r="AM835" t="s">
        <v>15829</v>
      </c>
      <c r="AN835" t="s">
        <v>15830</v>
      </c>
      <c r="AO835" t="s">
        <v>74</v>
      </c>
      <c r="AP835" t="s">
        <v>74</v>
      </c>
      <c r="AQ835" t="s">
        <v>15831</v>
      </c>
      <c r="AR835" t="s">
        <v>74</v>
      </c>
      <c r="AS835" t="s">
        <v>74</v>
      </c>
      <c r="AT835" t="s">
        <v>74</v>
      </c>
      <c r="AU835">
        <v>2015</v>
      </c>
      <c r="AV835" t="s">
        <v>74</v>
      </c>
      <c r="AW835" t="s">
        <v>74</v>
      </c>
      <c r="AX835" t="s">
        <v>74</v>
      </c>
      <c r="AY835" t="s">
        <v>74</v>
      </c>
      <c r="AZ835" t="s">
        <v>74</v>
      </c>
      <c r="BA835" t="s">
        <v>74</v>
      </c>
      <c r="BB835">
        <v>258</v>
      </c>
      <c r="BC835">
        <v>264</v>
      </c>
      <c r="BD835" t="s">
        <v>74</v>
      </c>
      <c r="BE835" t="s">
        <v>74</v>
      </c>
      <c r="BF835" t="s">
        <v>74</v>
      </c>
      <c r="BG835" t="s">
        <v>74</v>
      </c>
      <c r="BH835" t="s">
        <v>74</v>
      </c>
      <c r="BI835">
        <v>7</v>
      </c>
      <c r="BJ835" t="s">
        <v>15832</v>
      </c>
      <c r="BK835" t="s">
        <v>15655</v>
      </c>
      <c r="BL835" t="s">
        <v>15833</v>
      </c>
      <c r="BM835" t="s">
        <v>15834</v>
      </c>
      <c r="BN835" t="s">
        <v>74</v>
      </c>
      <c r="BO835" t="s">
        <v>74</v>
      </c>
      <c r="BP835" t="s">
        <v>74</v>
      </c>
      <c r="BQ835" t="s">
        <v>74</v>
      </c>
      <c r="BR835" t="s">
        <v>104</v>
      </c>
      <c r="BS835" t="s">
        <v>15835</v>
      </c>
      <c r="BT835" t="str">
        <f>HYPERLINK("https%3A%2F%2Fwww.webofscience.com%2Fwos%2Fwoscc%2Ffull-record%2FWOS:000380432500029","View Full Record in Web of Science")</f>
        <v>View Full Record in Web of Science</v>
      </c>
    </row>
    <row r="836" spans="1:72" x14ac:dyDescent="0.15">
      <c r="A836" t="s">
        <v>15464</v>
      </c>
      <c r="B836" t="s">
        <v>15836</v>
      </c>
      <c r="C836" t="s">
        <v>74</v>
      </c>
      <c r="D836" t="s">
        <v>15837</v>
      </c>
      <c r="E836" t="s">
        <v>74</v>
      </c>
      <c r="F836" t="s">
        <v>15838</v>
      </c>
      <c r="G836" t="s">
        <v>74</v>
      </c>
      <c r="H836" t="s">
        <v>74</v>
      </c>
      <c r="I836" t="s">
        <v>15839</v>
      </c>
      <c r="J836" t="s">
        <v>15840</v>
      </c>
      <c r="K836" t="s">
        <v>15841</v>
      </c>
      <c r="L836" t="s">
        <v>74</v>
      </c>
      <c r="M836" t="s">
        <v>78</v>
      </c>
      <c r="N836" t="s">
        <v>15471</v>
      </c>
      <c r="O836" t="s">
        <v>15842</v>
      </c>
      <c r="P836" t="s">
        <v>15843</v>
      </c>
      <c r="Q836" t="s">
        <v>15844</v>
      </c>
      <c r="R836" t="s">
        <v>74</v>
      </c>
      <c r="S836" t="s">
        <v>15845</v>
      </c>
      <c r="T836" t="s">
        <v>15846</v>
      </c>
      <c r="U836" t="s">
        <v>15847</v>
      </c>
      <c r="V836" t="s">
        <v>15848</v>
      </c>
      <c r="W836" t="s">
        <v>15849</v>
      </c>
      <c r="X836" t="s">
        <v>10415</v>
      </c>
      <c r="Y836" t="s">
        <v>15850</v>
      </c>
      <c r="Z836" t="s">
        <v>15851</v>
      </c>
      <c r="AA836" t="s">
        <v>15852</v>
      </c>
      <c r="AB836" t="s">
        <v>15853</v>
      </c>
      <c r="AC836" t="s">
        <v>74</v>
      </c>
      <c r="AD836" t="s">
        <v>74</v>
      </c>
      <c r="AE836" t="s">
        <v>74</v>
      </c>
      <c r="AF836" t="s">
        <v>74</v>
      </c>
      <c r="AG836">
        <v>15</v>
      </c>
      <c r="AH836">
        <v>5</v>
      </c>
      <c r="AI836">
        <v>7</v>
      </c>
      <c r="AJ836">
        <v>0</v>
      </c>
      <c r="AK836">
        <v>9</v>
      </c>
      <c r="AL836" t="s">
        <v>815</v>
      </c>
      <c r="AM836" t="s">
        <v>816</v>
      </c>
      <c r="AN836" t="s">
        <v>15728</v>
      </c>
      <c r="AO836" t="s">
        <v>15854</v>
      </c>
      <c r="AP836" t="s">
        <v>74</v>
      </c>
      <c r="AQ836" t="s">
        <v>74</v>
      </c>
      <c r="AR836" t="s">
        <v>15855</v>
      </c>
      <c r="AS836" t="s">
        <v>74</v>
      </c>
      <c r="AT836" t="s">
        <v>74</v>
      </c>
      <c r="AU836">
        <v>2015</v>
      </c>
      <c r="AV836">
        <v>15</v>
      </c>
      <c r="AW836" t="s">
        <v>74</v>
      </c>
      <c r="AX836" t="s">
        <v>74</v>
      </c>
      <c r="AY836" t="s">
        <v>74</v>
      </c>
      <c r="AZ836" t="s">
        <v>74</v>
      </c>
      <c r="BA836" t="s">
        <v>74</v>
      </c>
      <c r="BB836">
        <v>78</v>
      </c>
      <c r="BC836">
        <v>85</v>
      </c>
      <c r="BD836" t="s">
        <v>74</v>
      </c>
      <c r="BE836" t="s">
        <v>15856</v>
      </c>
      <c r="BF836" t="str">
        <f>HYPERLINK("http://dx.doi.org/10.1016/j.piutam.2015.04.012","http://dx.doi.org/10.1016/j.piutam.2015.04.012")</f>
        <v>http://dx.doi.org/10.1016/j.piutam.2015.04.012</v>
      </c>
      <c r="BG836" t="s">
        <v>74</v>
      </c>
      <c r="BH836" t="s">
        <v>74</v>
      </c>
      <c r="BI836">
        <v>8</v>
      </c>
      <c r="BJ836" t="s">
        <v>15857</v>
      </c>
      <c r="BK836" t="s">
        <v>15487</v>
      </c>
      <c r="BL836" t="s">
        <v>5917</v>
      </c>
      <c r="BM836" t="s">
        <v>15858</v>
      </c>
      <c r="BN836" t="s">
        <v>74</v>
      </c>
      <c r="BO836" t="s">
        <v>2481</v>
      </c>
      <c r="BP836" t="s">
        <v>74</v>
      </c>
      <c r="BQ836" t="s">
        <v>74</v>
      </c>
      <c r="BR836" t="s">
        <v>104</v>
      </c>
      <c r="BS836" t="s">
        <v>15859</v>
      </c>
      <c r="BT836" t="str">
        <f>HYPERLINK("https%3A%2F%2Fwww.webofscience.com%2Fwos%2Fwoscc%2Ffull-record%2FWOS:000380506000011","View Full Record in Web of Science")</f>
        <v>View Full Record in Web of Science</v>
      </c>
    </row>
    <row r="837" spans="1:72" x14ac:dyDescent="0.15">
      <c r="A837" t="s">
        <v>15464</v>
      </c>
      <c r="B837" t="s">
        <v>15860</v>
      </c>
      <c r="C837" t="s">
        <v>74</v>
      </c>
      <c r="D837" t="s">
        <v>15861</v>
      </c>
      <c r="E837" t="s">
        <v>74</v>
      </c>
      <c r="F837" t="s">
        <v>15862</v>
      </c>
      <c r="G837" t="s">
        <v>74</v>
      </c>
      <c r="H837" t="s">
        <v>74</v>
      </c>
      <c r="I837" t="s">
        <v>15863</v>
      </c>
      <c r="J837" t="s">
        <v>15864</v>
      </c>
      <c r="K837" t="s">
        <v>15865</v>
      </c>
      <c r="L837" t="s">
        <v>74</v>
      </c>
      <c r="M837" t="s">
        <v>78</v>
      </c>
      <c r="N837" t="s">
        <v>15471</v>
      </c>
      <c r="O837" t="s">
        <v>15866</v>
      </c>
      <c r="P837" t="s">
        <v>15867</v>
      </c>
      <c r="Q837" t="s">
        <v>15868</v>
      </c>
      <c r="R837" t="s">
        <v>74</v>
      </c>
      <c r="S837" t="s">
        <v>74</v>
      </c>
      <c r="T837" t="s">
        <v>74</v>
      </c>
      <c r="U837" t="s">
        <v>15869</v>
      </c>
      <c r="V837" t="s">
        <v>15870</v>
      </c>
      <c r="W837" t="s">
        <v>15871</v>
      </c>
      <c r="X837" t="s">
        <v>15872</v>
      </c>
      <c r="Y837" t="s">
        <v>15873</v>
      </c>
      <c r="Z837" t="s">
        <v>15874</v>
      </c>
      <c r="AA837" t="s">
        <v>15875</v>
      </c>
      <c r="AB837" t="s">
        <v>15876</v>
      </c>
      <c r="AC837" t="s">
        <v>15877</v>
      </c>
      <c r="AD837" t="s">
        <v>15878</v>
      </c>
      <c r="AE837" t="s">
        <v>74</v>
      </c>
      <c r="AF837" t="s">
        <v>74</v>
      </c>
      <c r="AG837">
        <v>119</v>
      </c>
      <c r="AH837">
        <v>3</v>
      </c>
      <c r="AI837">
        <v>3</v>
      </c>
      <c r="AJ837">
        <v>0</v>
      </c>
      <c r="AK837">
        <v>9</v>
      </c>
      <c r="AL837" t="s">
        <v>15879</v>
      </c>
      <c r="AM837" t="s">
        <v>15880</v>
      </c>
      <c r="AN837" t="s">
        <v>15881</v>
      </c>
      <c r="AO837" t="s">
        <v>15882</v>
      </c>
      <c r="AP837" t="s">
        <v>74</v>
      </c>
      <c r="AQ837" t="s">
        <v>15883</v>
      </c>
      <c r="AR837" t="s">
        <v>15884</v>
      </c>
      <c r="AS837" t="s">
        <v>74</v>
      </c>
      <c r="AT837" t="s">
        <v>74</v>
      </c>
      <c r="AU837">
        <v>2015</v>
      </c>
      <c r="AV837">
        <v>2</v>
      </c>
      <c r="AW837" t="s">
        <v>74</v>
      </c>
      <c r="AX837" t="s">
        <v>74</v>
      </c>
      <c r="AY837" t="s">
        <v>74</v>
      </c>
      <c r="AZ837" t="s">
        <v>74</v>
      </c>
      <c r="BA837" t="s">
        <v>74</v>
      </c>
      <c r="BB837">
        <v>389</v>
      </c>
      <c r="BC837">
        <v>414</v>
      </c>
      <c r="BD837" t="s">
        <v>74</v>
      </c>
      <c r="BE837" t="s">
        <v>15885</v>
      </c>
      <c r="BF837" t="str">
        <f>HYPERLINK("http://dx.doi.org/10.1007/978-3-319-16121-1_20","http://dx.doi.org/10.1007/978-3-319-16121-1_20")</f>
        <v>http://dx.doi.org/10.1007/978-3-319-16121-1_20</v>
      </c>
      <c r="BG837" t="s">
        <v>74</v>
      </c>
      <c r="BH837" t="s">
        <v>74</v>
      </c>
      <c r="BI837">
        <v>26</v>
      </c>
      <c r="BJ837" t="s">
        <v>15886</v>
      </c>
      <c r="BK837" t="s">
        <v>15487</v>
      </c>
      <c r="BL837" t="s">
        <v>15887</v>
      </c>
      <c r="BM837" t="s">
        <v>15888</v>
      </c>
      <c r="BN837" t="s">
        <v>74</v>
      </c>
      <c r="BO837" t="s">
        <v>408</v>
      </c>
      <c r="BP837" t="s">
        <v>74</v>
      </c>
      <c r="BQ837" t="s">
        <v>74</v>
      </c>
      <c r="BR837" t="s">
        <v>104</v>
      </c>
      <c r="BS837" t="s">
        <v>15889</v>
      </c>
      <c r="BT837" t="str">
        <f>HYPERLINK("https%3A%2F%2Fwww.webofscience.com%2Fwos%2Fwoscc%2Ffull-record%2FWOS:000380493400020","View Full Record in Web of Science")</f>
        <v>View Full Record in Web of Science</v>
      </c>
    </row>
    <row r="838" spans="1:72" x14ac:dyDescent="0.15">
      <c r="A838" t="s">
        <v>15464</v>
      </c>
      <c r="B838" t="s">
        <v>15890</v>
      </c>
      <c r="C838" t="s">
        <v>74</v>
      </c>
      <c r="D838" t="s">
        <v>74</v>
      </c>
      <c r="E838" t="s">
        <v>15891</v>
      </c>
      <c r="F838" t="s">
        <v>15892</v>
      </c>
      <c r="G838" t="s">
        <v>74</v>
      </c>
      <c r="H838" t="s">
        <v>74</v>
      </c>
      <c r="I838" t="s">
        <v>15893</v>
      </c>
      <c r="J838" t="s">
        <v>15894</v>
      </c>
      <c r="K838" t="s">
        <v>74</v>
      </c>
      <c r="L838" t="s">
        <v>74</v>
      </c>
      <c r="M838" t="s">
        <v>78</v>
      </c>
      <c r="N838" t="s">
        <v>15471</v>
      </c>
      <c r="O838" t="s">
        <v>15895</v>
      </c>
      <c r="P838" t="s">
        <v>15896</v>
      </c>
      <c r="Q838" t="s">
        <v>15897</v>
      </c>
      <c r="R838" t="s">
        <v>74</v>
      </c>
      <c r="S838" t="s">
        <v>74</v>
      </c>
      <c r="T838" t="s">
        <v>74</v>
      </c>
      <c r="U838" t="s">
        <v>74</v>
      </c>
      <c r="V838" t="s">
        <v>15898</v>
      </c>
      <c r="W838" t="s">
        <v>15899</v>
      </c>
      <c r="X838" t="s">
        <v>15900</v>
      </c>
      <c r="Y838" t="s">
        <v>15901</v>
      </c>
      <c r="Z838" t="s">
        <v>15902</v>
      </c>
      <c r="AA838" t="s">
        <v>15903</v>
      </c>
      <c r="AB838" t="s">
        <v>15904</v>
      </c>
      <c r="AC838" t="s">
        <v>74</v>
      </c>
      <c r="AD838" t="s">
        <v>74</v>
      </c>
      <c r="AE838" t="s">
        <v>74</v>
      </c>
      <c r="AF838" t="s">
        <v>74</v>
      </c>
      <c r="AG838">
        <v>10</v>
      </c>
      <c r="AH838">
        <v>4</v>
      </c>
      <c r="AI838">
        <v>4</v>
      </c>
      <c r="AJ838">
        <v>0</v>
      </c>
      <c r="AK838">
        <v>1</v>
      </c>
      <c r="AL838" t="s">
        <v>15905</v>
      </c>
      <c r="AM838" t="s">
        <v>121</v>
      </c>
      <c r="AN838" t="s">
        <v>15906</v>
      </c>
      <c r="AO838" t="s">
        <v>74</v>
      </c>
      <c r="AP838" t="s">
        <v>74</v>
      </c>
      <c r="AQ838" t="s">
        <v>15907</v>
      </c>
      <c r="AR838" t="s">
        <v>74</v>
      </c>
      <c r="AS838" t="s">
        <v>74</v>
      </c>
      <c r="AT838" t="s">
        <v>74</v>
      </c>
      <c r="AU838">
        <v>2015</v>
      </c>
      <c r="AV838" t="s">
        <v>74</v>
      </c>
      <c r="AW838" t="s">
        <v>74</v>
      </c>
      <c r="AX838" t="s">
        <v>74</v>
      </c>
      <c r="AY838" t="s">
        <v>74</v>
      </c>
      <c r="AZ838" t="s">
        <v>74</v>
      </c>
      <c r="BA838" t="s">
        <v>74</v>
      </c>
      <c r="BB838" t="s">
        <v>74</v>
      </c>
      <c r="BC838" t="s">
        <v>74</v>
      </c>
      <c r="BD838" t="s">
        <v>15908</v>
      </c>
      <c r="BE838" t="s">
        <v>74</v>
      </c>
      <c r="BF838" t="s">
        <v>74</v>
      </c>
      <c r="BG838" t="s">
        <v>74</v>
      </c>
      <c r="BH838" t="s">
        <v>74</v>
      </c>
      <c r="BI838">
        <v>11</v>
      </c>
      <c r="BJ838" t="s">
        <v>15909</v>
      </c>
      <c r="BK838" t="s">
        <v>15487</v>
      </c>
      <c r="BL838" t="s">
        <v>586</v>
      </c>
      <c r="BM838" t="s">
        <v>15910</v>
      </c>
      <c r="BN838" t="s">
        <v>74</v>
      </c>
      <c r="BO838" t="s">
        <v>74</v>
      </c>
      <c r="BP838" t="s">
        <v>74</v>
      </c>
      <c r="BQ838" t="s">
        <v>74</v>
      </c>
      <c r="BR838" t="s">
        <v>104</v>
      </c>
      <c r="BS838" t="s">
        <v>15911</v>
      </c>
      <c r="BT838" t="str">
        <f>HYPERLINK("https%3A%2F%2Fwww.webofscience.com%2Fwos%2Fwoscc%2Ffull-record%2FWOS:000379793700040","View Full Record in Web of Science")</f>
        <v>View Full Record in Web of Science</v>
      </c>
    </row>
    <row r="839" spans="1:72" x14ac:dyDescent="0.15">
      <c r="A839" t="s">
        <v>72</v>
      </c>
      <c r="B839" t="s">
        <v>15912</v>
      </c>
      <c r="C839" t="s">
        <v>74</v>
      </c>
      <c r="D839" t="s">
        <v>74</v>
      </c>
      <c r="E839" t="s">
        <v>74</v>
      </c>
      <c r="F839" t="s">
        <v>15913</v>
      </c>
      <c r="G839" t="s">
        <v>74</v>
      </c>
      <c r="H839" t="s">
        <v>74</v>
      </c>
      <c r="I839" t="s">
        <v>15914</v>
      </c>
      <c r="J839" t="s">
        <v>11045</v>
      </c>
      <c r="K839" t="s">
        <v>74</v>
      </c>
      <c r="L839" t="s">
        <v>74</v>
      </c>
      <c r="M839" t="s">
        <v>78</v>
      </c>
      <c r="N839" t="s">
        <v>79</v>
      </c>
      <c r="O839" t="s">
        <v>74</v>
      </c>
      <c r="P839" t="s">
        <v>74</v>
      </c>
      <c r="Q839" t="s">
        <v>74</v>
      </c>
      <c r="R839" t="s">
        <v>74</v>
      </c>
      <c r="S839" t="s">
        <v>74</v>
      </c>
      <c r="T839" t="s">
        <v>15915</v>
      </c>
      <c r="U839" t="s">
        <v>74</v>
      </c>
      <c r="V839" t="s">
        <v>15916</v>
      </c>
      <c r="W839" t="s">
        <v>15917</v>
      </c>
      <c r="X839" t="s">
        <v>15918</v>
      </c>
      <c r="Y839" t="s">
        <v>15919</v>
      </c>
      <c r="Z839" t="s">
        <v>15920</v>
      </c>
      <c r="AA839" t="s">
        <v>74</v>
      </c>
      <c r="AB839" t="s">
        <v>74</v>
      </c>
      <c r="AC839" t="s">
        <v>74</v>
      </c>
      <c r="AD839" t="s">
        <v>74</v>
      </c>
      <c r="AE839" t="s">
        <v>74</v>
      </c>
      <c r="AF839" t="s">
        <v>74</v>
      </c>
      <c r="AG839">
        <v>11</v>
      </c>
      <c r="AH839">
        <v>1</v>
      </c>
      <c r="AI839">
        <v>3</v>
      </c>
      <c r="AJ839">
        <v>0</v>
      </c>
      <c r="AK839">
        <v>8</v>
      </c>
      <c r="AL839" t="s">
        <v>11058</v>
      </c>
      <c r="AM839" t="s">
        <v>5323</v>
      </c>
      <c r="AN839" t="s">
        <v>11059</v>
      </c>
      <c r="AO839" t="s">
        <v>11060</v>
      </c>
      <c r="AP839" t="s">
        <v>11061</v>
      </c>
      <c r="AQ839" t="s">
        <v>74</v>
      </c>
      <c r="AR839" t="s">
        <v>11062</v>
      </c>
      <c r="AS839" t="s">
        <v>11063</v>
      </c>
      <c r="AT839" t="s">
        <v>15921</v>
      </c>
      <c r="AU839">
        <v>2015</v>
      </c>
      <c r="AV839">
        <v>44</v>
      </c>
      <c r="AW839">
        <v>1</v>
      </c>
      <c r="AX839" t="s">
        <v>74</v>
      </c>
      <c r="AY839" t="s">
        <v>74</v>
      </c>
      <c r="AZ839" t="s">
        <v>74</v>
      </c>
      <c r="BA839" t="s">
        <v>74</v>
      </c>
      <c r="BB839">
        <v>118</v>
      </c>
      <c r="BC839">
        <v>120</v>
      </c>
      <c r="BD839" t="s">
        <v>74</v>
      </c>
      <c r="BE839" t="s">
        <v>74</v>
      </c>
      <c r="BF839" t="s">
        <v>74</v>
      </c>
      <c r="BG839" t="s">
        <v>74</v>
      </c>
      <c r="BH839" t="s">
        <v>74</v>
      </c>
      <c r="BI839">
        <v>3</v>
      </c>
      <c r="BJ839" t="s">
        <v>1540</v>
      </c>
      <c r="BK839" t="s">
        <v>100</v>
      </c>
      <c r="BL839" t="s">
        <v>1540</v>
      </c>
      <c r="BM839" t="s">
        <v>15922</v>
      </c>
      <c r="BN839" t="s">
        <v>74</v>
      </c>
      <c r="BO839" t="s">
        <v>74</v>
      </c>
      <c r="BP839" t="s">
        <v>74</v>
      </c>
      <c r="BQ839" t="s">
        <v>74</v>
      </c>
      <c r="BR839" t="s">
        <v>104</v>
      </c>
      <c r="BS839" t="s">
        <v>15923</v>
      </c>
      <c r="BT839" t="str">
        <f>HYPERLINK("https%3A%2F%2Fwww.webofscience.com%2Fwos%2Fwoscc%2Ffull-record%2FWOS:000378978000018","View Full Record in Web of Science")</f>
        <v>View Full Record in Web of Science</v>
      </c>
    </row>
    <row r="840" spans="1:72" x14ac:dyDescent="0.15">
      <c r="A840" t="s">
        <v>72</v>
      </c>
      <c r="B840" t="s">
        <v>15924</v>
      </c>
      <c r="C840" t="s">
        <v>74</v>
      </c>
      <c r="D840" t="s">
        <v>74</v>
      </c>
      <c r="E840" t="s">
        <v>74</v>
      </c>
      <c r="F840" t="s">
        <v>15925</v>
      </c>
      <c r="G840" t="s">
        <v>74</v>
      </c>
      <c r="H840" t="s">
        <v>74</v>
      </c>
      <c r="I840" t="s">
        <v>15926</v>
      </c>
      <c r="J840" t="s">
        <v>15927</v>
      </c>
      <c r="K840" t="s">
        <v>74</v>
      </c>
      <c r="L840" t="s">
        <v>74</v>
      </c>
      <c r="M840" t="s">
        <v>15928</v>
      </c>
      <c r="N840" t="s">
        <v>79</v>
      </c>
      <c r="O840" t="s">
        <v>74</v>
      </c>
      <c r="P840" t="s">
        <v>74</v>
      </c>
      <c r="Q840" t="s">
        <v>74</v>
      </c>
      <c r="R840" t="s">
        <v>74</v>
      </c>
      <c r="S840" t="s">
        <v>74</v>
      </c>
      <c r="T840" t="s">
        <v>15929</v>
      </c>
      <c r="U840" t="s">
        <v>15930</v>
      </c>
      <c r="V840" t="s">
        <v>15931</v>
      </c>
      <c r="W840" t="s">
        <v>15932</v>
      </c>
      <c r="X840" t="s">
        <v>15933</v>
      </c>
      <c r="Y840" t="s">
        <v>15934</v>
      </c>
      <c r="Z840" t="s">
        <v>15935</v>
      </c>
      <c r="AA840" t="s">
        <v>15936</v>
      </c>
      <c r="AB840" t="s">
        <v>15937</v>
      </c>
      <c r="AC840" t="s">
        <v>74</v>
      </c>
      <c r="AD840" t="s">
        <v>74</v>
      </c>
      <c r="AE840" t="s">
        <v>74</v>
      </c>
      <c r="AF840" t="s">
        <v>74</v>
      </c>
      <c r="AG840">
        <v>21</v>
      </c>
      <c r="AH840">
        <v>0</v>
      </c>
      <c r="AI840">
        <v>0</v>
      </c>
      <c r="AJ840">
        <v>0</v>
      </c>
      <c r="AK840">
        <v>5</v>
      </c>
      <c r="AL840" t="s">
        <v>15938</v>
      </c>
      <c r="AM840" t="s">
        <v>15939</v>
      </c>
      <c r="AN840" t="s">
        <v>15940</v>
      </c>
      <c r="AO840" t="s">
        <v>15941</v>
      </c>
      <c r="AP840" t="s">
        <v>74</v>
      </c>
      <c r="AQ840" t="s">
        <v>74</v>
      </c>
      <c r="AR840" t="s">
        <v>15942</v>
      </c>
      <c r="AS840" t="s">
        <v>15943</v>
      </c>
      <c r="AT840" t="s">
        <v>74</v>
      </c>
      <c r="AU840">
        <v>2015</v>
      </c>
      <c r="AV840" t="s">
        <v>74</v>
      </c>
      <c r="AW840">
        <v>2</v>
      </c>
      <c r="AX840" t="s">
        <v>74</v>
      </c>
      <c r="AY840" t="s">
        <v>74</v>
      </c>
      <c r="AZ840" t="s">
        <v>74</v>
      </c>
      <c r="BA840" t="s">
        <v>74</v>
      </c>
      <c r="BB840">
        <v>11</v>
      </c>
      <c r="BC840">
        <v>16</v>
      </c>
      <c r="BD840" t="s">
        <v>74</v>
      </c>
      <c r="BE840" t="s">
        <v>15944</v>
      </c>
      <c r="BF840" t="str">
        <f>HYPERLINK("http://dx.doi.org/10.17721/1728-2713.69.02.11-16","http://dx.doi.org/10.17721/1728-2713.69.02.11-16")</f>
        <v>http://dx.doi.org/10.17721/1728-2713.69.02.11-16</v>
      </c>
      <c r="BG840" t="s">
        <v>74</v>
      </c>
      <c r="BH840" t="s">
        <v>74</v>
      </c>
      <c r="BI840">
        <v>6</v>
      </c>
      <c r="BJ840" t="s">
        <v>220</v>
      </c>
      <c r="BK840" t="s">
        <v>888</v>
      </c>
      <c r="BL840" t="s">
        <v>220</v>
      </c>
      <c r="BM840" t="s">
        <v>15945</v>
      </c>
      <c r="BN840" t="s">
        <v>74</v>
      </c>
      <c r="BO840" t="s">
        <v>74</v>
      </c>
      <c r="BP840" t="s">
        <v>74</v>
      </c>
      <c r="BQ840" t="s">
        <v>74</v>
      </c>
      <c r="BR840" t="s">
        <v>104</v>
      </c>
      <c r="BS840" t="s">
        <v>15946</v>
      </c>
      <c r="BT840" t="str">
        <f>HYPERLINK("https%3A%2F%2Fwww.webofscience.com%2Fwos%2Fwoscc%2Ffull-record%2FWOS:000378245200002","View Full Record in Web of Science")</f>
        <v>View Full Record in Web of Science</v>
      </c>
    </row>
    <row r="841" spans="1:72" x14ac:dyDescent="0.15">
      <c r="A841" t="s">
        <v>72</v>
      </c>
      <c r="B841" t="s">
        <v>15947</v>
      </c>
      <c r="C841" t="s">
        <v>74</v>
      </c>
      <c r="D841" t="s">
        <v>74</v>
      </c>
      <c r="E841" t="s">
        <v>74</v>
      </c>
      <c r="F841" t="s">
        <v>15948</v>
      </c>
      <c r="G841" t="s">
        <v>74</v>
      </c>
      <c r="H841" t="s">
        <v>74</v>
      </c>
      <c r="I841" t="s">
        <v>15949</v>
      </c>
      <c r="J841" t="s">
        <v>15927</v>
      </c>
      <c r="K841" t="s">
        <v>74</v>
      </c>
      <c r="L841" t="s">
        <v>74</v>
      </c>
      <c r="M841" t="s">
        <v>15928</v>
      </c>
      <c r="N841" t="s">
        <v>79</v>
      </c>
      <c r="O841" t="s">
        <v>74</v>
      </c>
      <c r="P841" t="s">
        <v>74</v>
      </c>
      <c r="Q841" t="s">
        <v>74</v>
      </c>
      <c r="R841" t="s">
        <v>74</v>
      </c>
      <c r="S841" t="s">
        <v>74</v>
      </c>
      <c r="T841" t="s">
        <v>15950</v>
      </c>
      <c r="U841" t="s">
        <v>15951</v>
      </c>
      <c r="V841" t="s">
        <v>15952</v>
      </c>
      <c r="W841" t="s">
        <v>15953</v>
      </c>
      <c r="X841" t="s">
        <v>15933</v>
      </c>
      <c r="Y841" t="s">
        <v>15934</v>
      </c>
      <c r="Z841" t="s">
        <v>15954</v>
      </c>
      <c r="AA841" t="s">
        <v>15955</v>
      </c>
      <c r="AB841" t="s">
        <v>74</v>
      </c>
      <c r="AC841" t="s">
        <v>74</v>
      </c>
      <c r="AD841" t="s">
        <v>74</v>
      </c>
      <c r="AE841" t="s">
        <v>74</v>
      </c>
      <c r="AF841" t="s">
        <v>74</v>
      </c>
      <c r="AG841">
        <v>11</v>
      </c>
      <c r="AH841">
        <v>0</v>
      </c>
      <c r="AI841">
        <v>0</v>
      </c>
      <c r="AJ841">
        <v>0</v>
      </c>
      <c r="AK841">
        <v>2</v>
      </c>
      <c r="AL841" t="s">
        <v>15938</v>
      </c>
      <c r="AM841" t="s">
        <v>15939</v>
      </c>
      <c r="AN841" t="s">
        <v>15940</v>
      </c>
      <c r="AO841" t="s">
        <v>15941</v>
      </c>
      <c r="AP841" t="s">
        <v>74</v>
      </c>
      <c r="AQ841" t="s">
        <v>74</v>
      </c>
      <c r="AR841" t="s">
        <v>15942</v>
      </c>
      <c r="AS841" t="s">
        <v>15943</v>
      </c>
      <c r="AT841" t="s">
        <v>74</v>
      </c>
      <c r="AU841">
        <v>2015</v>
      </c>
      <c r="AV841" t="s">
        <v>74</v>
      </c>
      <c r="AW841">
        <v>1</v>
      </c>
      <c r="AX841" t="s">
        <v>74</v>
      </c>
      <c r="AY841" t="s">
        <v>74</v>
      </c>
      <c r="AZ841" t="s">
        <v>74</v>
      </c>
      <c r="BA841" t="s">
        <v>74</v>
      </c>
      <c r="BB841">
        <v>14</v>
      </c>
      <c r="BC841">
        <v>20</v>
      </c>
      <c r="BD841" t="s">
        <v>74</v>
      </c>
      <c r="BE841" t="s">
        <v>15956</v>
      </c>
      <c r="BF841" t="str">
        <f>HYPERLINK("http://dx.doi.org/10.17721/1728-2713.68.03.14-20","http://dx.doi.org/10.17721/1728-2713.68.03.14-20")</f>
        <v>http://dx.doi.org/10.17721/1728-2713.68.03.14-20</v>
      </c>
      <c r="BG841" t="s">
        <v>74</v>
      </c>
      <c r="BH841" t="s">
        <v>74</v>
      </c>
      <c r="BI841">
        <v>8</v>
      </c>
      <c r="BJ841" t="s">
        <v>220</v>
      </c>
      <c r="BK841" t="s">
        <v>888</v>
      </c>
      <c r="BL841" t="s">
        <v>220</v>
      </c>
      <c r="BM841" t="s">
        <v>15957</v>
      </c>
      <c r="BN841" t="s">
        <v>74</v>
      </c>
      <c r="BO841" t="s">
        <v>74</v>
      </c>
      <c r="BP841" t="s">
        <v>74</v>
      </c>
      <c r="BQ841" t="s">
        <v>74</v>
      </c>
      <c r="BR841" t="s">
        <v>104</v>
      </c>
      <c r="BS841" t="s">
        <v>15958</v>
      </c>
      <c r="BT841" t="str">
        <f>HYPERLINK("https%3A%2F%2Fwww.webofscience.com%2Fwos%2Fwoscc%2Ffull-record%2FWOS:000378244700003","View Full Record in Web of Science")</f>
        <v>View Full Record in Web of Science</v>
      </c>
    </row>
    <row r="842" spans="1:72" x14ac:dyDescent="0.15">
      <c r="A842" t="s">
        <v>15490</v>
      </c>
      <c r="B842" t="s">
        <v>15959</v>
      </c>
      <c r="C842" t="s">
        <v>74</v>
      </c>
      <c r="D842" t="s">
        <v>15960</v>
      </c>
      <c r="E842" t="s">
        <v>74</v>
      </c>
      <c r="F842" t="s">
        <v>15961</v>
      </c>
      <c r="G842" t="s">
        <v>74</v>
      </c>
      <c r="H842" t="s">
        <v>74</v>
      </c>
      <c r="I842" t="s">
        <v>15962</v>
      </c>
      <c r="J842" t="s">
        <v>15963</v>
      </c>
      <c r="K842" t="s">
        <v>74</v>
      </c>
      <c r="L842" t="s">
        <v>74</v>
      </c>
      <c r="M842" t="s">
        <v>78</v>
      </c>
      <c r="N842" t="s">
        <v>15564</v>
      </c>
      <c r="O842" t="s">
        <v>74</v>
      </c>
      <c r="P842" t="s">
        <v>74</v>
      </c>
      <c r="Q842" t="s">
        <v>74</v>
      </c>
      <c r="R842" t="s">
        <v>74</v>
      </c>
      <c r="S842" t="s">
        <v>74</v>
      </c>
      <c r="T842" t="s">
        <v>74</v>
      </c>
      <c r="U842" t="s">
        <v>15964</v>
      </c>
      <c r="V842" t="s">
        <v>74</v>
      </c>
      <c r="W842" t="s">
        <v>15965</v>
      </c>
      <c r="X842" t="s">
        <v>5132</v>
      </c>
      <c r="Y842" t="s">
        <v>15966</v>
      </c>
      <c r="Z842" t="s">
        <v>74</v>
      </c>
      <c r="AA842" t="s">
        <v>5048</v>
      </c>
      <c r="AB842" t="s">
        <v>15967</v>
      </c>
      <c r="AC842" t="s">
        <v>74</v>
      </c>
      <c r="AD842" t="s">
        <v>74</v>
      </c>
      <c r="AE842" t="s">
        <v>74</v>
      </c>
      <c r="AF842" t="s">
        <v>74</v>
      </c>
      <c r="AG842">
        <v>32</v>
      </c>
      <c r="AH842">
        <v>0</v>
      </c>
      <c r="AI842">
        <v>0</v>
      </c>
      <c r="AJ842">
        <v>0</v>
      </c>
      <c r="AK842">
        <v>0</v>
      </c>
      <c r="AL842" t="s">
        <v>15968</v>
      </c>
      <c r="AM842" t="s">
        <v>15969</v>
      </c>
      <c r="AN842" t="s">
        <v>15970</v>
      </c>
      <c r="AO842" t="s">
        <v>74</v>
      </c>
      <c r="AP842" t="s">
        <v>74</v>
      </c>
      <c r="AQ842" t="s">
        <v>15971</v>
      </c>
      <c r="AR842" t="s">
        <v>74</v>
      </c>
      <c r="AS842" t="s">
        <v>74</v>
      </c>
      <c r="AT842" t="s">
        <v>74</v>
      </c>
      <c r="AU842">
        <v>2015</v>
      </c>
      <c r="AV842" t="s">
        <v>74</v>
      </c>
      <c r="AW842" t="s">
        <v>74</v>
      </c>
      <c r="AX842" t="s">
        <v>74</v>
      </c>
      <c r="AY842" t="s">
        <v>74</v>
      </c>
      <c r="AZ842" t="s">
        <v>74</v>
      </c>
      <c r="BA842" t="s">
        <v>74</v>
      </c>
      <c r="BB842">
        <v>132</v>
      </c>
      <c r="BC842">
        <v>141</v>
      </c>
      <c r="BD842" t="s">
        <v>74</v>
      </c>
      <c r="BE842" t="s">
        <v>74</v>
      </c>
      <c r="BF842" t="s">
        <v>74</v>
      </c>
      <c r="BG842" t="s">
        <v>15972</v>
      </c>
      <c r="BH842" t="s">
        <v>74</v>
      </c>
      <c r="BI842">
        <v>10</v>
      </c>
      <c r="BJ842" t="s">
        <v>15973</v>
      </c>
      <c r="BK842" t="s">
        <v>15974</v>
      </c>
      <c r="BL842" t="s">
        <v>15975</v>
      </c>
      <c r="BM842" t="s">
        <v>15976</v>
      </c>
      <c r="BN842" t="s">
        <v>74</v>
      </c>
      <c r="BO842" t="s">
        <v>74</v>
      </c>
      <c r="BP842" t="s">
        <v>74</v>
      </c>
      <c r="BQ842" t="s">
        <v>74</v>
      </c>
      <c r="BR842" t="s">
        <v>104</v>
      </c>
      <c r="BS842" t="s">
        <v>15977</v>
      </c>
      <c r="BT842" t="str">
        <f>HYPERLINK("https%3A%2F%2Fwww.webofscience.com%2Fwos%2Fwoscc%2Ffull-record%2FWOS:000375954200013","View Full Record in Web of Science")</f>
        <v>View Full Record in Web of Science</v>
      </c>
    </row>
    <row r="843" spans="1:72" x14ac:dyDescent="0.15">
      <c r="A843" t="s">
        <v>15978</v>
      </c>
      <c r="B843" t="s">
        <v>15979</v>
      </c>
      <c r="C843" t="s">
        <v>74</v>
      </c>
      <c r="D843" t="s">
        <v>15980</v>
      </c>
      <c r="E843" t="s">
        <v>74</v>
      </c>
      <c r="F843" t="s">
        <v>15981</v>
      </c>
      <c r="G843" t="s">
        <v>74</v>
      </c>
      <c r="H843" t="s">
        <v>74</v>
      </c>
      <c r="I843" t="s">
        <v>15982</v>
      </c>
      <c r="J843" t="s">
        <v>15983</v>
      </c>
      <c r="K843" t="s">
        <v>15984</v>
      </c>
      <c r="L843" t="s">
        <v>74</v>
      </c>
      <c r="M843" t="s">
        <v>78</v>
      </c>
      <c r="N843" t="s">
        <v>15564</v>
      </c>
      <c r="O843" t="s">
        <v>74</v>
      </c>
      <c r="P843" t="s">
        <v>74</v>
      </c>
      <c r="Q843" t="s">
        <v>74</v>
      </c>
      <c r="R843" t="s">
        <v>74</v>
      </c>
      <c r="S843" t="s">
        <v>74</v>
      </c>
      <c r="T843" t="s">
        <v>74</v>
      </c>
      <c r="U843" t="s">
        <v>15985</v>
      </c>
      <c r="V843" t="s">
        <v>74</v>
      </c>
      <c r="W843" t="s">
        <v>15986</v>
      </c>
      <c r="X843" t="s">
        <v>15987</v>
      </c>
      <c r="Y843" t="s">
        <v>15988</v>
      </c>
      <c r="Z843" t="s">
        <v>15989</v>
      </c>
      <c r="AA843" t="s">
        <v>74</v>
      </c>
      <c r="AB843" t="s">
        <v>74</v>
      </c>
      <c r="AC843" t="s">
        <v>74</v>
      </c>
      <c r="AD843" t="s">
        <v>74</v>
      </c>
      <c r="AE843" t="s">
        <v>74</v>
      </c>
      <c r="AF843" t="s">
        <v>74</v>
      </c>
      <c r="AG843">
        <v>53</v>
      </c>
      <c r="AH843">
        <v>2</v>
      </c>
      <c r="AI843">
        <v>2</v>
      </c>
      <c r="AJ843">
        <v>0</v>
      </c>
      <c r="AK843">
        <v>0</v>
      </c>
      <c r="AL843" t="s">
        <v>120</v>
      </c>
      <c r="AM843" t="s">
        <v>2560</v>
      </c>
      <c r="AN843" t="s">
        <v>15990</v>
      </c>
      <c r="AO843" t="s">
        <v>15991</v>
      </c>
      <c r="AP843" t="s">
        <v>15992</v>
      </c>
      <c r="AQ843" t="s">
        <v>15993</v>
      </c>
      <c r="AR843" t="s">
        <v>15994</v>
      </c>
      <c r="AS843" t="s">
        <v>74</v>
      </c>
      <c r="AT843" t="s">
        <v>74</v>
      </c>
      <c r="AU843">
        <v>2015</v>
      </c>
      <c r="AV843" t="s">
        <v>74</v>
      </c>
      <c r="AW843" t="s">
        <v>74</v>
      </c>
      <c r="AX843" t="s">
        <v>74</v>
      </c>
      <c r="AY843" t="s">
        <v>74</v>
      </c>
      <c r="AZ843" t="s">
        <v>74</v>
      </c>
      <c r="BA843" t="s">
        <v>74</v>
      </c>
      <c r="BB843">
        <v>117</v>
      </c>
      <c r="BC843">
        <v>148</v>
      </c>
      <c r="BD843" t="s">
        <v>74</v>
      </c>
      <c r="BE843" t="s">
        <v>15995</v>
      </c>
      <c r="BF843" t="str">
        <f>HYPERLINK("http://dx.doi.org/10.1007/978-3-319-05497-1_8","http://dx.doi.org/10.1007/978-3-319-05497-1_8")</f>
        <v>http://dx.doi.org/10.1007/978-3-319-05497-1_8</v>
      </c>
      <c r="BG843" t="s">
        <v>15996</v>
      </c>
      <c r="BH843" t="s">
        <v>74</v>
      </c>
      <c r="BI843">
        <v>32</v>
      </c>
      <c r="BJ843" t="s">
        <v>15997</v>
      </c>
      <c r="BK843" t="s">
        <v>15510</v>
      </c>
      <c r="BL843" t="s">
        <v>15998</v>
      </c>
      <c r="BM843" t="s">
        <v>15999</v>
      </c>
      <c r="BN843" t="s">
        <v>74</v>
      </c>
      <c r="BO843" t="s">
        <v>74</v>
      </c>
      <c r="BP843" t="s">
        <v>74</v>
      </c>
      <c r="BQ843" t="s">
        <v>74</v>
      </c>
      <c r="BR843" t="s">
        <v>104</v>
      </c>
      <c r="BS843" t="s">
        <v>16000</v>
      </c>
      <c r="BT843" t="str">
        <f>HYPERLINK("https%3A%2F%2Fwww.webofscience.com%2Fwos%2Fwoscc%2Ffull-record%2FWOS:000375189500009","View Full Record in Web of Science")</f>
        <v>View Full Record in Web of Science</v>
      </c>
    </row>
    <row r="844" spans="1:72" x14ac:dyDescent="0.15">
      <c r="A844" t="s">
        <v>15978</v>
      </c>
      <c r="B844" t="s">
        <v>16001</v>
      </c>
      <c r="C844" t="s">
        <v>74</v>
      </c>
      <c r="D844" t="s">
        <v>15980</v>
      </c>
      <c r="E844" t="s">
        <v>74</v>
      </c>
      <c r="F844" t="s">
        <v>16002</v>
      </c>
      <c r="G844" t="s">
        <v>74</v>
      </c>
      <c r="H844" t="s">
        <v>74</v>
      </c>
      <c r="I844" t="s">
        <v>16003</v>
      </c>
      <c r="J844" t="s">
        <v>15983</v>
      </c>
      <c r="K844" t="s">
        <v>15984</v>
      </c>
      <c r="L844" t="s">
        <v>74</v>
      </c>
      <c r="M844" t="s">
        <v>78</v>
      </c>
      <c r="N844" t="s">
        <v>15564</v>
      </c>
      <c r="O844" t="s">
        <v>74</v>
      </c>
      <c r="P844" t="s">
        <v>74</v>
      </c>
      <c r="Q844" t="s">
        <v>74</v>
      </c>
      <c r="R844" t="s">
        <v>74</v>
      </c>
      <c r="S844" t="s">
        <v>74</v>
      </c>
      <c r="T844" t="s">
        <v>74</v>
      </c>
      <c r="U844" t="s">
        <v>16004</v>
      </c>
      <c r="V844" t="s">
        <v>74</v>
      </c>
      <c r="W844" t="s">
        <v>16005</v>
      </c>
      <c r="X844" t="s">
        <v>16006</v>
      </c>
      <c r="Y844" t="s">
        <v>16007</v>
      </c>
      <c r="Z844" t="s">
        <v>16008</v>
      </c>
      <c r="AA844" t="s">
        <v>16009</v>
      </c>
      <c r="AB844" t="s">
        <v>74</v>
      </c>
      <c r="AC844" t="s">
        <v>74</v>
      </c>
      <c r="AD844" t="s">
        <v>74</v>
      </c>
      <c r="AE844" t="s">
        <v>74</v>
      </c>
      <c r="AF844" t="s">
        <v>74</v>
      </c>
      <c r="AG844">
        <v>120</v>
      </c>
      <c r="AH844">
        <v>11</v>
      </c>
      <c r="AI844">
        <v>12</v>
      </c>
      <c r="AJ844">
        <v>0</v>
      </c>
      <c r="AK844">
        <v>1</v>
      </c>
      <c r="AL844" t="s">
        <v>120</v>
      </c>
      <c r="AM844" t="s">
        <v>2560</v>
      </c>
      <c r="AN844" t="s">
        <v>15990</v>
      </c>
      <c r="AO844" t="s">
        <v>15991</v>
      </c>
      <c r="AP844" t="s">
        <v>15992</v>
      </c>
      <c r="AQ844" t="s">
        <v>15993</v>
      </c>
      <c r="AR844" t="s">
        <v>15994</v>
      </c>
      <c r="AS844" t="s">
        <v>74</v>
      </c>
      <c r="AT844" t="s">
        <v>74</v>
      </c>
      <c r="AU844">
        <v>2015</v>
      </c>
      <c r="AV844" t="s">
        <v>74</v>
      </c>
      <c r="AW844" t="s">
        <v>74</v>
      </c>
      <c r="AX844" t="s">
        <v>74</v>
      </c>
      <c r="AY844" t="s">
        <v>74</v>
      </c>
      <c r="AZ844" t="s">
        <v>74</v>
      </c>
      <c r="BA844" t="s">
        <v>74</v>
      </c>
      <c r="BB844">
        <v>281</v>
      </c>
      <c r="BC844">
        <v>303</v>
      </c>
      <c r="BD844" t="s">
        <v>74</v>
      </c>
      <c r="BE844" t="s">
        <v>16010</v>
      </c>
      <c r="BF844" t="str">
        <f>HYPERLINK("http://dx.doi.org/10.1007/978-3-319-05497-1_15","http://dx.doi.org/10.1007/978-3-319-05497-1_15")</f>
        <v>http://dx.doi.org/10.1007/978-3-319-05497-1_15</v>
      </c>
      <c r="BG844" t="s">
        <v>15996</v>
      </c>
      <c r="BH844" t="s">
        <v>74</v>
      </c>
      <c r="BI844">
        <v>23</v>
      </c>
      <c r="BJ844" t="s">
        <v>15997</v>
      </c>
      <c r="BK844" t="s">
        <v>15510</v>
      </c>
      <c r="BL844" t="s">
        <v>15998</v>
      </c>
      <c r="BM844" t="s">
        <v>15999</v>
      </c>
      <c r="BN844" t="s">
        <v>74</v>
      </c>
      <c r="BO844" t="s">
        <v>74</v>
      </c>
      <c r="BP844" t="s">
        <v>74</v>
      </c>
      <c r="BQ844" t="s">
        <v>74</v>
      </c>
      <c r="BR844" t="s">
        <v>104</v>
      </c>
      <c r="BS844" t="s">
        <v>16011</v>
      </c>
      <c r="BT844" t="str">
        <f>HYPERLINK("https%3A%2F%2Fwww.webofscience.com%2Fwos%2Fwoscc%2Ffull-record%2FWOS:000375189500016","View Full Record in Web of Science")</f>
        <v>View Full Record in Web of Science</v>
      </c>
    </row>
    <row r="845" spans="1:72" x14ac:dyDescent="0.15">
      <c r="A845" t="s">
        <v>15978</v>
      </c>
      <c r="B845" t="s">
        <v>15980</v>
      </c>
      <c r="C845" t="s">
        <v>74</v>
      </c>
      <c r="D845" t="s">
        <v>15980</v>
      </c>
      <c r="E845" t="s">
        <v>74</v>
      </c>
      <c r="F845" t="s">
        <v>16012</v>
      </c>
      <c r="G845" t="s">
        <v>74</v>
      </c>
      <c r="H845" t="s">
        <v>74</v>
      </c>
      <c r="I845" t="s">
        <v>16013</v>
      </c>
      <c r="J845" t="s">
        <v>15983</v>
      </c>
      <c r="K845" t="s">
        <v>15984</v>
      </c>
      <c r="L845" t="s">
        <v>74</v>
      </c>
      <c r="M845" t="s">
        <v>78</v>
      </c>
      <c r="N845" t="s">
        <v>15564</v>
      </c>
      <c r="O845" t="s">
        <v>74</v>
      </c>
      <c r="P845" t="s">
        <v>74</v>
      </c>
      <c r="Q845" t="s">
        <v>74</v>
      </c>
      <c r="R845" t="s">
        <v>74</v>
      </c>
      <c r="S845" t="s">
        <v>74</v>
      </c>
      <c r="T845" t="s">
        <v>74</v>
      </c>
      <c r="U845" t="s">
        <v>16014</v>
      </c>
      <c r="V845" t="s">
        <v>74</v>
      </c>
      <c r="W845" t="s">
        <v>16015</v>
      </c>
      <c r="X845" t="s">
        <v>5473</v>
      </c>
      <c r="Y845" t="s">
        <v>16016</v>
      </c>
      <c r="Z845" t="s">
        <v>4238</v>
      </c>
      <c r="AA845" t="s">
        <v>74</v>
      </c>
      <c r="AB845" t="s">
        <v>74</v>
      </c>
      <c r="AC845" t="s">
        <v>74</v>
      </c>
      <c r="AD845" t="s">
        <v>74</v>
      </c>
      <c r="AE845" t="s">
        <v>74</v>
      </c>
      <c r="AF845" t="s">
        <v>74</v>
      </c>
      <c r="AG845">
        <v>32</v>
      </c>
      <c r="AH845">
        <v>2</v>
      </c>
      <c r="AI845">
        <v>2</v>
      </c>
      <c r="AJ845">
        <v>0</v>
      </c>
      <c r="AK845">
        <v>2</v>
      </c>
      <c r="AL845" t="s">
        <v>120</v>
      </c>
      <c r="AM845" t="s">
        <v>2560</v>
      </c>
      <c r="AN845" t="s">
        <v>15990</v>
      </c>
      <c r="AO845" t="s">
        <v>15991</v>
      </c>
      <c r="AP845" t="s">
        <v>15992</v>
      </c>
      <c r="AQ845" t="s">
        <v>15993</v>
      </c>
      <c r="AR845" t="s">
        <v>15994</v>
      </c>
      <c r="AS845" t="s">
        <v>74</v>
      </c>
      <c r="AT845" t="s">
        <v>74</v>
      </c>
      <c r="AU845">
        <v>2015</v>
      </c>
      <c r="AV845" t="s">
        <v>74</v>
      </c>
      <c r="AW845" t="s">
        <v>74</v>
      </c>
      <c r="AX845" t="s">
        <v>74</v>
      </c>
      <c r="AY845" t="s">
        <v>74</v>
      </c>
      <c r="AZ845" t="s">
        <v>74</v>
      </c>
      <c r="BA845" t="s">
        <v>74</v>
      </c>
      <c r="BB845">
        <v>304</v>
      </c>
      <c r="BC845">
        <v>313</v>
      </c>
      <c r="BD845" t="s">
        <v>74</v>
      </c>
      <c r="BE845" t="s">
        <v>16017</v>
      </c>
      <c r="BF845" t="str">
        <f>HYPERLINK("http://dx.doi.org/10.1007/978-3-319-05497-1_16","http://dx.doi.org/10.1007/978-3-319-05497-1_16")</f>
        <v>http://dx.doi.org/10.1007/978-3-319-05497-1_16</v>
      </c>
      <c r="BG845" t="s">
        <v>15996</v>
      </c>
      <c r="BH845" t="s">
        <v>74</v>
      </c>
      <c r="BI845">
        <v>10</v>
      </c>
      <c r="BJ845" t="s">
        <v>15997</v>
      </c>
      <c r="BK845" t="s">
        <v>15510</v>
      </c>
      <c r="BL845" t="s">
        <v>15998</v>
      </c>
      <c r="BM845" t="s">
        <v>15999</v>
      </c>
      <c r="BN845" t="s">
        <v>74</v>
      </c>
      <c r="BO845" t="s">
        <v>74</v>
      </c>
      <c r="BP845" t="s">
        <v>74</v>
      </c>
      <c r="BQ845" t="s">
        <v>74</v>
      </c>
      <c r="BR845" t="s">
        <v>104</v>
      </c>
      <c r="BS845" t="s">
        <v>16018</v>
      </c>
      <c r="BT845" t="str">
        <f>HYPERLINK("https%3A%2F%2Fwww.webofscience.com%2Fwos%2Fwoscc%2Ffull-record%2FWOS:000375189500017","View Full Record in Web of Science")</f>
        <v>View Full Record in Web of Science</v>
      </c>
    </row>
    <row r="846" spans="1:72" x14ac:dyDescent="0.15">
      <c r="A846" t="s">
        <v>15490</v>
      </c>
      <c r="B846" t="s">
        <v>16019</v>
      </c>
      <c r="C846" t="s">
        <v>74</v>
      </c>
      <c r="D846" t="s">
        <v>16020</v>
      </c>
      <c r="E846" t="s">
        <v>74</v>
      </c>
      <c r="F846" t="s">
        <v>16021</v>
      </c>
      <c r="G846" t="s">
        <v>74</v>
      </c>
      <c r="H846" t="s">
        <v>74</v>
      </c>
      <c r="I846" t="s">
        <v>16022</v>
      </c>
      <c r="J846" t="s">
        <v>16023</v>
      </c>
      <c r="K846" t="s">
        <v>16024</v>
      </c>
      <c r="L846" t="s">
        <v>74</v>
      </c>
      <c r="M846" t="s">
        <v>78</v>
      </c>
      <c r="N846" t="s">
        <v>15564</v>
      </c>
      <c r="O846" t="s">
        <v>74</v>
      </c>
      <c r="P846" t="s">
        <v>74</v>
      </c>
      <c r="Q846" t="s">
        <v>74</v>
      </c>
      <c r="R846" t="s">
        <v>74</v>
      </c>
      <c r="S846" t="s">
        <v>74</v>
      </c>
      <c r="T846" t="s">
        <v>74</v>
      </c>
      <c r="U846" t="s">
        <v>16025</v>
      </c>
      <c r="V846" t="s">
        <v>74</v>
      </c>
      <c r="W846" t="s">
        <v>16026</v>
      </c>
      <c r="X846" t="s">
        <v>16027</v>
      </c>
      <c r="Y846" t="s">
        <v>16028</v>
      </c>
      <c r="Z846" t="s">
        <v>74</v>
      </c>
      <c r="AA846" t="s">
        <v>16029</v>
      </c>
      <c r="AB846" t="s">
        <v>16030</v>
      </c>
      <c r="AC846" t="s">
        <v>74</v>
      </c>
      <c r="AD846" t="s">
        <v>74</v>
      </c>
      <c r="AE846" t="s">
        <v>74</v>
      </c>
      <c r="AF846" t="s">
        <v>74</v>
      </c>
      <c r="AG846">
        <v>49</v>
      </c>
      <c r="AH846">
        <v>0</v>
      </c>
      <c r="AI846">
        <v>0</v>
      </c>
      <c r="AJ846">
        <v>0</v>
      </c>
      <c r="AK846">
        <v>0</v>
      </c>
      <c r="AL846" t="s">
        <v>15968</v>
      </c>
      <c r="AM846" t="s">
        <v>15969</v>
      </c>
      <c r="AN846" t="s">
        <v>15970</v>
      </c>
      <c r="AO846" t="s">
        <v>74</v>
      </c>
      <c r="AP846" t="s">
        <v>74</v>
      </c>
      <c r="AQ846" t="s">
        <v>16031</v>
      </c>
      <c r="AR846" t="s">
        <v>16032</v>
      </c>
      <c r="AS846" t="s">
        <v>74</v>
      </c>
      <c r="AT846" t="s">
        <v>74</v>
      </c>
      <c r="AU846">
        <v>2015</v>
      </c>
      <c r="AV846" t="s">
        <v>74</v>
      </c>
      <c r="AW846" t="s">
        <v>74</v>
      </c>
      <c r="AX846" t="s">
        <v>74</v>
      </c>
      <c r="AY846" t="s">
        <v>74</v>
      </c>
      <c r="AZ846" t="s">
        <v>74</v>
      </c>
      <c r="BA846" t="s">
        <v>74</v>
      </c>
      <c r="BB846">
        <v>191</v>
      </c>
      <c r="BC846">
        <v>216</v>
      </c>
      <c r="BD846" t="s">
        <v>74</v>
      </c>
      <c r="BE846" t="s">
        <v>74</v>
      </c>
      <c r="BF846" t="s">
        <v>74</v>
      </c>
      <c r="BG846" t="s">
        <v>16033</v>
      </c>
      <c r="BH846" t="s">
        <v>74</v>
      </c>
      <c r="BI846">
        <v>26</v>
      </c>
      <c r="BJ846" t="s">
        <v>8051</v>
      </c>
      <c r="BK846" t="s">
        <v>15974</v>
      </c>
      <c r="BL846" t="s">
        <v>8052</v>
      </c>
      <c r="BM846" t="s">
        <v>16034</v>
      </c>
      <c r="BN846" t="s">
        <v>74</v>
      </c>
      <c r="BO846" t="s">
        <v>74</v>
      </c>
      <c r="BP846" t="s">
        <v>74</v>
      </c>
      <c r="BQ846" t="s">
        <v>74</v>
      </c>
      <c r="BR846" t="s">
        <v>104</v>
      </c>
      <c r="BS846" t="s">
        <v>16035</v>
      </c>
      <c r="BT846" t="str">
        <f>HYPERLINK("https%3A%2F%2Fwww.webofscience.com%2Fwos%2Fwoscc%2Ffull-record%2FWOS:000372628400010","View Full Record in Web of Science")</f>
        <v>View Full Record in Web of Science</v>
      </c>
    </row>
    <row r="847" spans="1:72" x14ac:dyDescent="0.15">
      <c r="A847" t="s">
        <v>72</v>
      </c>
      <c r="B847" t="s">
        <v>16036</v>
      </c>
      <c r="C847" t="s">
        <v>74</v>
      </c>
      <c r="D847" t="s">
        <v>74</v>
      </c>
      <c r="E847" t="s">
        <v>74</v>
      </c>
      <c r="F847" t="s">
        <v>16037</v>
      </c>
      <c r="G847" t="s">
        <v>74</v>
      </c>
      <c r="H847" t="s">
        <v>74</v>
      </c>
      <c r="I847" t="s">
        <v>16038</v>
      </c>
      <c r="J847" t="s">
        <v>16039</v>
      </c>
      <c r="K847" t="s">
        <v>74</v>
      </c>
      <c r="L847" t="s">
        <v>74</v>
      </c>
      <c r="M847" t="s">
        <v>5285</v>
      </c>
      <c r="N847" t="s">
        <v>79</v>
      </c>
      <c r="O847" t="s">
        <v>74</v>
      </c>
      <c r="P847" t="s">
        <v>74</v>
      </c>
      <c r="Q847" t="s">
        <v>74</v>
      </c>
      <c r="R847" t="s">
        <v>74</v>
      </c>
      <c r="S847" t="s">
        <v>74</v>
      </c>
      <c r="T847" t="s">
        <v>16040</v>
      </c>
      <c r="U847" t="s">
        <v>74</v>
      </c>
      <c r="V847" t="s">
        <v>16041</v>
      </c>
      <c r="W847" t="s">
        <v>74</v>
      </c>
      <c r="X847" t="s">
        <v>74</v>
      </c>
      <c r="Y847" t="s">
        <v>74</v>
      </c>
      <c r="Z847" t="s">
        <v>74</v>
      </c>
      <c r="AA847" t="s">
        <v>74</v>
      </c>
      <c r="AB847" t="s">
        <v>74</v>
      </c>
      <c r="AC847" t="s">
        <v>74</v>
      </c>
      <c r="AD847" t="s">
        <v>74</v>
      </c>
      <c r="AE847" t="s">
        <v>74</v>
      </c>
      <c r="AF847" t="s">
        <v>74</v>
      </c>
      <c r="AG847">
        <v>14</v>
      </c>
      <c r="AH847">
        <v>1</v>
      </c>
      <c r="AI847">
        <v>1</v>
      </c>
      <c r="AJ847">
        <v>0</v>
      </c>
      <c r="AK847">
        <v>0</v>
      </c>
      <c r="AL847" t="s">
        <v>16042</v>
      </c>
      <c r="AM847" t="s">
        <v>16043</v>
      </c>
      <c r="AN847" t="s">
        <v>16044</v>
      </c>
      <c r="AO847" t="s">
        <v>16045</v>
      </c>
      <c r="AP847" t="s">
        <v>16046</v>
      </c>
      <c r="AQ847" t="s">
        <v>74</v>
      </c>
      <c r="AR847" t="s">
        <v>16047</v>
      </c>
      <c r="AS847" t="s">
        <v>16048</v>
      </c>
      <c r="AT847" t="s">
        <v>16049</v>
      </c>
      <c r="AU847">
        <v>2015</v>
      </c>
      <c r="AV847">
        <v>62</v>
      </c>
      <c r="AW847">
        <v>128</v>
      </c>
      <c r="AX847" t="s">
        <v>74</v>
      </c>
      <c r="AY847" t="s">
        <v>74</v>
      </c>
      <c r="AZ847" t="s">
        <v>74</v>
      </c>
      <c r="BA847" t="s">
        <v>74</v>
      </c>
      <c r="BB847">
        <v>335</v>
      </c>
      <c r="BC847">
        <v>354</v>
      </c>
      <c r="BD847" t="s">
        <v>74</v>
      </c>
      <c r="BE847" t="s">
        <v>16050</v>
      </c>
      <c r="BF847" t="str">
        <f>HYPERLINK("http://dx.doi.org/10.3989/ceg.2015.128.11","http://dx.doi.org/10.3989/ceg.2015.128.11")</f>
        <v>http://dx.doi.org/10.3989/ceg.2015.128.11</v>
      </c>
      <c r="BG847" t="s">
        <v>74</v>
      </c>
      <c r="BH847" t="s">
        <v>74</v>
      </c>
      <c r="BI847">
        <v>20</v>
      </c>
      <c r="BJ847" t="s">
        <v>8594</v>
      </c>
      <c r="BK847" t="s">
        <v>888</v>
      </c>
      <c r="BL847" t="s">
        <v>8594</v>
      </c>
      <c r="BM847" t="s">
        <v>16051</v>
      </c>
      <c r="BN847" t="s">
        <v>74</v>
      </c>
      <c r="BO847" t="s">
        <v>4689</v>
      </c>
      <c r="BP847" t="s">
        <v>74</v>
      </c>
      <c r="BQ847" t="s">
        <v>74</v>
      </c>
      <c r="BR847" t="s">
        <v>104</v>
      </c>
      <c r="BS847" t="s">
        <v>16052</v>
      </c>
      <c r="BT847" t="str">
        <f>HYPERLINK("https%3A%2F%2Fwww.webofscience.com%2Fwos%2Fwoscc%2Ffull-record%2FWOS:000374881600011","View Full Record in Web of Science")</f>
        <v>View Full Record in Web of Science</v>
      </c>
    </row>
    <row r="848" spans="1:72" x14ac:dyDescent="0.15">
      <c r="A848" t="s">
        <v>72</v>
      </c>
      <c r="B848" t="s">
        <v>16053</v>
      </c>
      <c r="C848" t="s">
        <v>74</v>
      </c>
      <c r="D848" t="s">
        <v>74</v>
      </c>
      <c r="E848" t="s">
        <v>74</v>
      </c>
      <c r="F848" t="s">
        <v>16054</v>
      </c>
      <c r="G848" t="s">
        <v>74</v>
      </c>
      <c r="H848" t="s">
        <v>74</v>
      </c>
      <c r="I848" t="s">
        <v>16055</v>
      </c>
      <c r="J848" t="s">
        <v>16056</v>
      </c>
      <c r="K848" t="s">
        <v>74</v>
      </c>
      <c r="L848" t="s">
        <v>74</v>
      </c>
      <c r="M848" t="s">
        <v>78</v>
      </c>
      <c r="N848" t="s">
        <v>79</v>
      </c>
      <c r="O848" t="s">
        <v>74</v>
      </c>
      <c r="P848" t="s">
        <v>74</v>
      </c>
      <c r="Q848" t="s">
        <v>74</v>
      </c>
      <c r="R848" t="s">
        <v>74</v>
      </c>
      <c r="S848" t="s">
        <v>74</v>
      </c>
      <c r="T848" t="s">
        <v>16057</v>
      </c>
      <c r="U848" t="s">
        <v>16058</v>
      </c>
      <c r="V848" t="s">
        <v>16059</v>
      </c>
      <c r="W848" t="s">
        <v>16060</v>
      </c>
      <c r="X848" t="s">
        <v>16061</v>
      </c>
      <c r="Y848" t="s">
        <v>16062</v>
      </c>
      <c r="Z848" t="s">
        <v>16063</v>
      </c>
      <c r="AA848" t="s">
        <v>16064</v>
      </c>
      <c r="AB848" t="s">
        <v>16065</v>
      </c>
      <c r="AC848" t="s">
        <v>16066</v>
      </c>
      <c r="AD848" t="s">
        <v>16067</v>
      </c>
      <c r="AE848" t="s">
        <v>16068</v>
      </c>
      <c r="AF848" t="s">
        <v>74</v>
      </c>
      <c r="AG848">
        <v>23</v>
      </c>
      <c r="AH848">
        <v>6</v>
      </c>
      <c r="AI848">
        <v>8</v>
      </c>
      <c r="AJ848">
        <v>2</v>
      </c>
      <c r="AK848">
        <v>17</v>
      </c>
      <c r="AL848" t="s">
        <v>15879</v>
      </c>
      <c r="AM848" t="s">
        <v>15880</v>
      </c>
      <c r="AN848" t="s">
        <v>15881</v>
      </c>
      <c r="AO848" t="s">
        <v>16069</v>
      </c>
      <c r="AP848" t="s">
        <v>16070</v>
      </c>
      <c r="AQ848" t="s">
        <v>74</v>
      </c>
      <c r="AR848" t="s">
        <v>16071</v>
      </c>
      <c r="AS848" t="s">
        <v>16072</v>
      </c>
      <c r="AT848" t="s">
        <v>74</v>
      </c>
      <c r="AU848">
        <v>2015</v>
      </c>
      <c r="AV848">
        <v>15</v>
      </c>
      <c r="AW848">
        <v>4</v>
      </c>
      <c r="AX848" t="s">
        <v>74</v>
      </c>
      <c r="AY848" t="s">
        <v>74</v>
      </c>
      <c r="AZ848" t="s">
        <v>74</v>
      </c>
      <c r="BA848" t="s">
        <v>74</v>
      </c>
      <c r="BB848">
        <v>833</v>
      </c>
      <c r="BC848">
        <v>838</v>
      </c>
      <c r="BD848" t="s">
        <v>74</v>
      </c>
      <c r="BE848" t="s">
        <v>74</v>
      </c>
      <c r="BF848" t="s">
        <v>74</v>
      </c>
      <c r="BG848" t="s">
        <v>74</v>
      </c>
      <c r="BH848" t="s">
        <v>74</v>
      </c>
      <c r="BI848">
        <v>6</v>
      </c>
      <c r="BJ848" t="s">
        <v>16073</v>
      </c>
      <c r="BK848" t="s">
        <v>100</v>
      </c>
      <c r="BL848" t="s">
        <v>16074</v>
      </c>
      <c r="BM848" t="s">
        <v>16075</v>
      </c>
      <c r="BN848" t="s">
        <v>74</v>
      </c>
      <c r="BO848" t="s">
        <v>74</v>
      </c>
      <c r="BP848" t="s">
        <v>74</v>
      </c>
      <c r="BQ848" t="s">
        <v>74</v>
      </c>
      <c r="BR848" t="s">
        <v>104</v>
      </c>
      <c r="BS848" t="s">
        <v>16076</v>
      </c>
      <c r="BT848" t="str">
        <f>HYPERLINK("https%3A%2F%2Fwww.webofscience.com%2Fwos%2Fwoscc%2Ffull-record%2FWOS:000374767800002","View Full Record in Web of Science")</f>
        <v>View Full Record in Web of Science</v>
      </c>
    </row>
    <row r="849" spans="1:72" x14ac:dyDescent="0.15">
      <c r="A849" t="s">
        <v>72</v>
      </c>
      <c r="B849" t="s">
        <v>16077</v>
      </c>
      <c r="C849" t="s">
        <v>74</v>
      </c>
      <c r="D849" t="s">
        <v>74</v>
      </c>
      <c r="E849" t="s">
        <v>74</v>
      </c>
      <c r="F849" t="s">
        <v>16078</v>
      </c>
      <c r="G849" t="s">
        <v>74</v>
      </c>
      <c r="H849" t="s">
        <v>74</v>
      </c>
      <c r="I849" t="s">
        <v>16079</v>
      </c>
      <c r="J849" t="s">
        <v>16080</v>
      </c>
      <c r="K849" t="s">
        <v>74</v>
      </c>
      <c r="L849" t="s">
        <v>74</v>
      </c>
      <c r="M849" t="s">
        <v>78</v>
      </c>
      <c r="N849" t="s">
        <v>1222</v>
      </c>
      <c r="O849" t="s">
        <v>16081</v>
      </c>
      <c r="P849" t="s">
        <v>16082</v>
      </c>
      <c r="Q849" t="s">
        <v>16083</v>
      </c>
      <c r="R849" t="s">
        <v>74</v>
      </c>
      <c r="S849" t="s">
        <v>16084</v>
      </c>
      <c r="T849" t="s">
        <v>74</v>
      </c>
      <c r="U849" t="s">
        <v>16085</v>
      </c>
      <c r="V849" t="s">
        <v>16086</v>
      </c>
      <c r="W849" t="s">
        <v>16087</v>
      </c>
      <c r="X849" t="s">
        <v>16088</v>
      </c>
      <c r="Y849" t="s">
        <v>16089</v>
      </c>
      <c r="Z849" t="s">
        <v>16090</v>
      </c>
      <c r="AA849" t="s">
        <v>16091</v>
      </c>
      <c r="AB849" t="s">
        <v>16092</v>
      </c>
      <c r="AC849" t="s">
        <v>74</v>
      </c>
      <c r="AD849" t="s">
        <v>74</v>
      </c>
      <c r="AE849" t="s">
        <v>74</v>
      </c>
      <c r="AF849" t="s">
        <v>74</v>
      </c>
      <c r="AG849">
        <v>20</v>
      </c>
      <c r="AH849">
        <v>5</v>
      </c>
      <c r="AI849">
        <v>7</v>
      </c>
      <c r="AJ849">
        <v>1</v>
      </c>
      <c r="AK849">
        <v>7</v>
      </c>
      <c r="AL849" t="s">
        <v>16093</v>
      </c>
      <c r="AM849" t="s">
        <v>16094</v>
      </c>
      <c r="AN849" t="s">
        <v>16095</v>
      </c>
      <c r="AO849" t="s">
        <v>16096</v>
      </c>
      <c r="AP849" t="s">
        <v>16097</v>
      </c>
      <c r="AQ849" t="s">
        <v>74</v>
      </c>
      <c r="AR849" t="s">
        <v>16080</v>
      </c>
      <c r="AS849" t="s">
        <v>16098</v>
      </c>
      <c r="AT849" t="s">
        <v>74</v>
      </c>
      <c r="AU849">
        <v>2015</v>
      </c>
      <c r="AV849">
        <v>61</v>
      </c>
      <c r="AW849">
        <v>6</v>
      </c>
      <c r="AX849" t="s">
        <v>74</v>
      </c>
      <c r="AY849" t="s">
        <v>74</v>
      </c>
      <c r="AZ849" t="s">
        <v>74</v>
      </c>
      <c r="BA849" t="s">
        <v>74</v>
      </c>
      <c r="BB849">
        <v>439</v>
      </c>
      <c r="BC849">
        <v>455</v>
      </c>
      <c r="BD849" t="s">
        <v>74</v>
      </c>
      <c r="BE849" t="s">
        <v>74</v>
      </c>
      <c r="BF849" t="s">
        <v>74</v>
      </c>
      <c r="BG849" t="s">
        <v>74</v>
      </c>
      <c r="BH849" t="s">
        <v>74</v>
      </c>
      <c r="BI849">
        <v>17</v>
      </c>
      <c r="BJ849" t="s">
        <v>1215</v>
      </c>
      <c r="BK849" t="s">
        <v>1247</v>
      </c>
      <c r="BL849" t="s">
        <v>1215</v>
      </c>
      <c r="BM849" t="s">
        <v>16099</v>
      </c>
      <c r="BN849" t="s">
        <v>74</v>
      </c>
      <c r="BO849" t="s">
        <v>74</v>
      </c>
      <c r="BP849" t="s">
        <v>74</v>
      </c>
      <c r="BQ849" t="s">
        <v>74</v>
      </c>
      <c r="BR849" t="s">
        <v>104</v>
      </c>
      <c r="BS849" t="s">
        <v>16100</v>
      </c>
      <c r="BT849" t="str">
        <f>HYPERLINK("https%3A%2F%2Fwww.webofscience.com%2Fwos%2Fwoscc%2Ffull-record%2FWOS:000374703600004","View Full Record in Web of Science")</f>
        <v>View Full Record in Web of Science</v>
      </c>
    </row>
    <row r="850" spans="1:72" x14ac:dyDescent="0.15">
      <c r="A850" t="s">
        <v>72</v>
      </c>
      <c r="B850" t="s">
        <v>16101</v>
      </c>
      <c r="C850" t="s">
        <v>74</v>
      </c>
      <c r="D850" t="s">
        <v>74</v>
      </c>
      <c r="E850" t="s">
        <v>74</v>
      </c>
      <c r="F850" t="s">
        <v>16102</v>
      </c>
      <c r="G850" t="s">
        <v>74</v>
      </c>
      <c r="H850" t="s">
        <v>74</v>
      </c>
      <c r="I850" t="s">
        <v>16103</v>
      </c>
      <c r="J850" t="s">
        <v>16104</v>
      </c>
      <c r="K850" t="s">
        <v>74</v>
      </c>
      <c r="L850" t="s">
        <v>74</v>
      </c>
      <c r="M850" t="s">
        <v>5285</v>
      </c>
      <c r="N850" t="s">
        <v>79</v>
      </c>
      <c r="O850" t="s">
        <v>74</v>
      </c>
      <c r="P850" t="s">
        <v>74</v>
      </c>
      <c r="Q850" t="s">
        <v>74</v>
      </c>
      <c r="R850" t="s">
        <v>74</v>
      </c>
      <c r="S850" t="s">
        <v>74</v>
      </c>
      <c r="T850" t="s">
        <v>16105</v>
      </c>
      <c r="U850" t="s">
        <v>74</v>
      </c>
      <c r="V850" t="s">
        <v>16106</v>
      </c>
      <c r="W850" t="s">
        <v>16107</v>
      </c>
      <c r="X850" t="s">
        <v>74</v>
      </c>
      <c r="Y850" t="s">
        <v>16108</v>
      </c>
      <c r="Z850" t="s">
        <v>74</v>
      </c>
      <c r="AA850" t="s">
        <v>74</v>
      </c>
      <c r="AB850" t="s">
        <v>74</v>
      </c>
      <c r="AC850" t="s">
        <v>74</v>
      </c>
      <c r="AD850" t="s">
        <v>74</v>
      </c>
      <c r="AE850" t="s">
        <v>74</v>
      </c>
      <c r="AF850" t="s">
        <v>74</v>
      </c>
      <c r="AG850">
        <v>14</v>
      </c>
      <c r="AH850">
        <v>0</v>
      </c>
      <c r="AI850">
        <v>0</v>
      </c>
      <c r="AJ850">
        <v>0</v>
      </c>
      <c r="AK850">
        <v>3</v>
      </c>
      <c r="AL850" t="s">
        <v>16109</v>
      </c>
      <c r="AM850" t="s">
        <v>16110</v>
      </c>
      <c r="AN850" t="s">
        <v>16111</v>
      </c>
      <c r="AO850" t="s">
        <v>16112</v>
      </c>
      <c r="AP850" t="s">
        <v>16113</v>
      </c>
      <c r="AQ850" t="s">
        <v>74</v>
      </c>
      <c r="AR850" t="s">
        <v>16114</v>
      </c>
      <c r="AS850" t="s">
        <v>16115</v>
      </c>
      <c r="AT850" t="s">
        <v>74</v>
      </c>
      <c r="AU850">
        <v>2015</v>
      </c>
      <c r="AV850" t="s">
        <v>74</v>
      </c>
      <c r="AW850">
        <v>18</v>
      </c>
      <c r="AX850" t="s">
        <v>74</v>
      </c>
      <c r="AY850" t="s">
        <v>74</v>
      </c>
      <c r="AZ850" t="s">
        <v>74</v>
      </c>
      <c r="BA850" t="s">
        <v>74</v>
      </c>
      <c r="BB850">
        <v>43</v>
      </c>
      <c r="BC850">
        <v>59</v>
      </c>
      <c r="BD850" t="s">
        <v>74</v>
      </c>
      <c r="BE850" t="s">
        <v>74</v>
      </c>
      <c r="BF850" t="s">
        <v>74</v>
      </c>
      <c r="BG850" t="s">
        <v>74</v>
      </c>
      <c r="BH850" t="s">
        <v>74</v>
      </c>
      <c r="BI850">
        <v>17</v>
      </c>
      <c r="BJ850" t="s">
        <v>16116</v>
      </c>
      <c r="BK850" t="s">
        <v>888</v>
      </c>
      <c r="BL850" t="s">
        <v>16116</v>
      </c>
      <c r="BM850" t="s">
        <v>16117</v>
      </c>
      <c r="BN850" t="s">
        <v>74</v>
      </c>
      <c r="BO850" t="s">
        <v>74</v>
      </c>
      <c r="BP850" t="s">
        <v>74</v>
      </c>
      <c r="BQ850" t="s">
        <v>74</v>
      </c>
      <c r="BR850" t="s">
        <v>104</v>
      </c>
      <c r="BS850" t="s">
        <v>16118</v>
      </c>
      <c r="BT850" t="str">
        <f>HYPERLINK("https%3A%2F%2Fwww.webofscience.com%2Fwos%2Fwoscc%2Ffull-record%2FWOS:000374248900003","View Full Record in Web of Science")</f>
        <v>View Full Record in Web of Science</v>
      </c>
    </row>
    <row r="851" spans="1:72" x14ac:dyDescent="0.15">
      <c r="A851" t="s">
        <v>15464</v>
      </c>
      <c r="B851" t="s">
        <v>16119</v>
      </c>
      <c r="C851" t="s">
        <v>74</v>
      </c>
      <c r="D851" t="s">
        <v>16120</v>
      </c>
      <c r="E851" t="s">
        <v>74</v>
      </c>
      <c r="F851" t="s">
        <v>16121</v>
      </c>
      <c r="G851" t="s">
        <v>74</v>
      </c>
      <c r="H851" t="s">
        <v>74</v>
      </c>
      <c r="I851" t="s">
        <v>16122</v>
      </c>
      <c r="J851" t="s">
        <v>16123</v>
      </c>
      <c r="K851" t="s">
        <v>16124</v>
      </c>
      <c r="L851" t="s">
        <v>74</v>
      </c>
      <c r="M851" t="s">
        <v>78</v>
      </c>
      <c r="N851" t="s">
        <v>15471</v>
      </c>
      <c r="O851" t="s">
        <v>16125</v>
      </c>
      <c r="P851" t="s">
        <v>16126</v>
      </c>
      <c r="Q851" t="s">
        <v>16127</v>
      </c>
      <c r="R851" t="s">
        <v>74</v>
      </c>
      <c r="S851" t="s">
        <v>16128</v>
      </c>
      <c r="T851" t="s">
        <v>16129</v>
      </c>
      <c r="U851" t="s">
        <v>16130</v>
      </c>
      <c r="V851" t="s">
        <v>16131</v>
      </c>
      <c r="W851" t="s">
        <v>16132</v>
      </c>
      <c r="X851" t="s">
        <v>16133</v>
      </c>
      <c r="Y851" t="s">
        <v>16134</v>
      </c>
      <c r="Z851" t="s">
        <v>16135</v>
      </c>
      <c r="AA851" t="s">
        <v>16136</v>
      </c>
      <c r="AB851" t="s">
        <v>16137</v>
      </c>
      <c r="AC851" t="s">
        <v>74</v>
      </c>
      <c r="AD851" t="s">
        <v>74</v>
      </c>
      <c r="AE851" t="s">
        <v>74</v>
      </c>
      <c r="AF851" t="s">
        <v>74</v>
      </c>
      <c r="AG851">
        <v>18</v>
      </c>
      <c r="AH851">
        <v>10</v>
      </c>
      <c r="AI851">
        <v>12</v>
      </c>
      <c r="AJ851">
        <v>0</v>
      </c>
      <c r="AK851">
        <v>2</v>
      </c>
      <c r="AL851" t="s">
        <v>815</v>
      </c>
      <c r="AM851" t="s">
        <v>816</v>
      </c>
      <c r="AN851" t="s">
        <v>15728</v>
      </c>
      <c r="AO851" t="s">
        <v>16138</v>
      </c>
      <c r="AP851" t="s">
        <v>74</v>
      </c>
      <c r="AQ851" t="s">
        <v>74</v>
      </c>
      <c r="AR851" t="s">
        <v>16139</v>
      </c>
      <c r="AS851" t="s">
        <v>74</v>
      </c>
      <c r="AT851" t="s">
        <v>74</v>
      </c>
      <c r="AU851">
        <v>2015</v>
      </c>
      <c r="AV851">
        <v>51</v>
      </c>
      <c r="AW851" t="s">
        <v>74</v>
      </c>
      <c r="AX851" t="s">
        <v>74</v>
      </c>
      <c r="AY851" t="s">
        <v>74</v>
      </c>
      <c r="AZ851" t="s">
        <v>74</v>
      </c>
      <c r="BA851" t="s">
        <v>74</v>
      </c>
      <c r="BB851">
        <v>2026</v>
      </c>
      <c r="BC851">
        <v>2035</v>
      </c>
      <c r="BD851" t="s">
        <v>74</v>
      </c>
      <c r="BE851" t="s">
        <v>16140</v>
      </c>
      <c r="BF851" t="str">
        <f>HYPERLINK("http://dx.doi.org/10.1016/j.procs.2015.05.467","http://dx.doi.org/10.1016/j.procs.2015.05.467")</f>
        <v>http://dx.doi.org/10.1016/j.procs.2015.05.467</v>
      </c>
      <c r="BG851" t="s">
        <v>74</v>
      </c>
      <c r="BH851" t="s">
        <v>74</v>
      </c>
      <c r="BI851">
        <v>10</v>
      </c>
      <c r="BJ851" t="s">
        <v>16141</v>
      </c>
      <c r="BK851" t="s">
        <v>15487</v>
      </c>
      <c r="BL851" t="s">
        <v>16142</v>
      </c>
      <c r="BM851" t="s">
        <v>16143</v>
      </c>
      <c r="BN851" t="s">
        <v>74</v>
      </c>
      <c r="BO851" t="s">
        <v>1490</v>
      </c>
      <c r="BP851" t="s">
        <v>74</v>
      </c>
      <c r="BQ851" t="s">
        <v>74</v>
      </c>
      <c r="BR851" t="s">
        <v>104</v>
      </c>
      <c r="BS851" t="s">
        <v>16144</v>
      </c>
      <c r="BT851" t="str">
        <f>HYPERLINK("https%3A%2F%2Fwww.webofscience.com%2Fwos%2Fwoscc%2Ffull-record%2FWOS:000373939100208","View Full Record in Web of Science")</f>
        <v>View Full Record in Web of Science</v>
      </c>
    </row>
    <row r="852" spans="1:72" x14ac:dyDescent="0.15">
      <c r="A852" t="s">
        <v>15978</v>
      </c>
      <c r="B852" t="s">
        <v>16145</v>
      </c>
      <c r="C852" t="s">
        <v>74</v>
      </c>
      <c r="D852" t="s">
        <v>16146</v>
      </c>
      <c r="E852" t="s">
        <v>74</v>
      </c>
      <c r="F852" t="s">
        <v>16147</v>
      </c>
      <c r="G852" t="s">
        <v>74</v>
      </c>
      <c r="H852" t="s">
        <v>74</v>
      </c>
      <c r="I852" t="s">
        <v>16148</v>
      </c>
      <c r="J852" t="s">
        <v>16149</v>
      </c>
      <c r="K852" t="s">
        <v>16150</v>
      </c>
      <c r="L852" t="s">
        <v>74</v>
      </c>
      <c r="M852" t="s">
        <v>78</v>
      </c>
      <c r="N852" t="s">
        <v>15564</v>
      </c>
      <c r="O852" t="s">
        <v>74</v>
      </c>
      <c r="P852" t="s">
        <v>74</v>
      </c>
      <c r="Q852" t="s">
        <v>74</v>
      </c>
      <c r="R852" t="s">
        <v>74</v>
      </c>
      <c r="S852" t="s">
        <v>74</v>
      </c>
      <c r="T852" t="s">
        <v>16151</v>
      </c>
      <c r="U852" t="s">
        <v>16152</v>
      </c>
      <c r="V852" t="s">
        <v>16153</v>
      </c>
      <c r="W852" t="s">
        <v>16154</v>
      </c>
      <c r="X852" t="s">
        <v>16155</v>
      </c>
      <c r="Y852" t="s">
        <v>16156</v>
      </c>
      <c r="Z852" t="s">
        <v>16157</v>
      </c>
      <c r="AA852" t="s">
        <v>16158</v>
      </c>
      <c r="AB852" t="s">
        <v>74</v>
      </c>
      <c r="AC852" t="s">
        <v>74</v>
      </c>
      <c r="AD852" t="s">
        <v>74</v>
      </c>
      <c r="AE852" t="s">
        <v>74</v>
      </c>
      <c r="AF852" t="s">
        <v>74</v>
      </c>
      <c r="AG852">
        <v>180</v>
      </c>
      <c r="AH852">
        <v>16</v>
      </c>
      <c r="AI852">
        <v>17</v>
      </c>
      <c r="AJ852">
        <v>2</v>
      </c>
      <c r="AK852">
        <v>18</v>
      </c>
      <c r="AL852" t="s">
        <v>120</v>
      </c>
      <c r="AM852" t="s">
        <v>2560</v>
      </c>
      <c r="AN852" t="s">
        <v>15990</v>
      </c>
      <c r="AO852" t="s">
        <v>16159</v>
      </c>
      <c r="AP852" t="s">
        <v>74</v>
      </c>
      <c r="AQ852" t="s">
        <v>16160</v>
      </c>
      <c r="AR852" t="s">
        <v>16161</v>
      </c>
      <c r="AS852" t="s">
        <v>16162</v>
      </c>
      <c r="AT852" t="s">
        <v>74</v>
      </c>
      <c r="AU852">
        <v>2015</v>
      </c>
      <c r="AV852">
        <v>18</v>
      </c>
      <c r="AW852" t="s">
        <v>74</v>
      </c>
      <c r="AX852" t="s">
        <v>74</v>
      </c>
      <c r="AY852" t="s">
        <v>74</v>
      </c>
      <c r="AZ852" t="s">
        <v>74</v>
      </c>
      <c r="BA852" t="s">
        <v>74</v>
      </c>
      <c r="BB852">
        <v>393</v>
      </c>
      <c r="BC852">
        <v>430</v>
      </c>
      <c r="BD852" t="s">
        <v>74</v>
      </c>
      <c r="BE852" t="s">
        <v>16163</v>
      </c>
      <c r="BF852" t="str">
        <f>HYPERLINK("http://dx.doi.org/10.1007/978-94-017-9541-8_14","http://dx.doi.org/10.1007/978-94-017-9541-8_14")</f>
        <v>http://dx.doi.org/10.1007/978-94-017-9541-8_14</v>
      </c>
      <c r="BG852" t="s">
        <v>16164</v>
      </c>
      <c r="BH852" t="s">
        <v>74</v>
      </c>
      <c r="BI852">
        <v>38</v>
      </c>
      <c r="BJ852" t="s">
        <v>13865</v>
      </c>
      <c r="BK852" t="s">
        <v>15510</v>
      </c>
      <c r="BL852" t="s">
        <v>7144</v>
      </c>
      <c r="BM852" t="s">
        <v>16165</v>
      </c>
      <c r="BN852" t="s">
        <v>74</v>
      </c>
      <c r="BO852" t="s">
        <v>74</v>
      </c>
      <c r="BP852" t="s">
        <v>74</v>
      </c>
      <c r="BQ852" t="s">
        <v>74</v>
      </c>
      <c r="BR852" t="s">
        <v>104</v>
      </c>
      <c r="BS852" t="s">
        <v>16166</v>
      </c>
      <c r="BT852" t="str">
        <f>HYPERLINK("https%3A%2F%2Fwww.webofscience.com%2Fwos%2Fwoscc%2Ffull-record%2FWOS:000373556200015","View Full Record in Web of Science")</f>
        <v>View Full Record in Web of Science</v>
      </c>
    </row>
    <row r="853" spans="1:72" x14ac:dyDescent="0.15">
      <c r="A853" t="s">
        <v>15978</v>
      </c>
      <c r="B853" t="s">
        <v>16167</v>
      </c>
      <c r="C853" t="s">
        <v>16167</v>
      </c>
      <c r="D853" t="s">
        <v>74</v>
      </c>
      <c r="E853" t="s">
        <v>74</v>
      </c>
      <c r="F853" t="s">
        <v>16168</v>
      </c>
      <c r="G853" t="s">
        <v>16167</v>
      </c>
      <c r="H853" t="s">
        <v>74</v>
      </c>
      <c r="I853" t="s">
        <v>16169</v>
      </c>
      <c r="J853" t="s">
        <v>16170</v>
      </c>
      <c r="K853" t="s">
        <v>16171</v>
      </c>
      <c r="L853" t="s">
        <v>74</v>
      </c>
      <c r="M853" t="s">
        <v>78</v>
      </c>
      <c r="N853" t="s">
        <v>15564</v>
      </c>
      <c r="O853" t="s">
        <v>74</v>
      </c>
      <c r="P853" t="s">
        <v>74</v>
      </c>
      <c r="Q853" t="s">
        <v>74</v>
      </c>
      <c r="R853" t="s">
        <v>74</v>
      </c>
      <c r="S853" t="s">
        <v>74</v>
      </c>
      <c r="T853" t="s">
        <v>16172</v>
      </c>
      <c r="U853" t="s">
        <v>16173</v>
      </c>
      <c r="V853" t="s">
        <v>16174</v>
      </c>
      <c r="W853" t="s">
        <v>16175</v>
      </c>
      <c r="X853" t="s">
        <v>2050</v>
      </c>
      <c r="Y853" t="s">
        <v>16176</v>
      </c>
      <c r="Z853" t="s">
        <v>16177</v>
      </c>
      <c r="AA853" t="s">
        <v>74</v>
      </c>
      <c r="AB853" t="s">
        <v>16178</v>
      </c>
      <c r="AC853" t="s">
        <v>74</v>
      </c>
      <c r="AD853" t="s">
        <v>74</v>
      </c>
      <c r="AE853" t="s">
        <v>74</v>
      </c>
      <c r="AF853" t="s">
        <v>74</v>
      </c>
      <c r="AG853">
        <v>467</v>
      </c>
      <c r="AH853">
        <v>12</v>
      </c>
      <c r="AI853">
        <v>12</v>
      </c>
      <c r="AJ853">
        <v>0</v>
      </c>
      <c r="AK853">
        <v>1</v>
      </c>
      <c r="AL853" t="s">
        <v>16179</v>
      </c>
      <c r="AM853" t="s">
        <v>16180</v>
      </c>
      <c r="AN853" t="s">
        <v>16181</v>
      </c>
      <c r="AO853" t="s">
        <v>16182</v>
      </c>
      <c r="AP853" t="s">
        <v>74</v>
      </c>
      <c r="AQ853" t="s">
        <v>16183</v>
      </c>
      <c r="AR853" t="s">
        <v>16184</v>
      </c>
      <c r="AS853" t="s">
        <v>16185</v>
      </c>
      <c r="AT853" t="s">
        <v>74</v>
      </c>
      <c r="AU853">
        <v>2015</v>
      </c>
      <c r="AV853">
        <v>47</v>
      </c>
      <c r="AW853" t="s">
        <v>74</v>
      </c>
      <c r="AX853" t="s">
        <v>74</v>
      </c>
      <c r="AY853" t="s">
        <v>74</v>
      </c>
      <c r="AZ853" t="s">
        <v>74</v>
      </c>
      <c r="BA853" t="s">
        <v>74</v>
      </c>
      <c r="BB853">
        <v>1</v>
      </c>
      <c r="BC853">
        <v>92</v>
      </c>
      <c r="BD853" t="s">
        <v>74</v>
      </c>
      <c r="BE853" t="s">
        <v>74</v>
      </c>
      <c r="BF853" t="s">
        <v>74</v>
      </c>
      <c r="BG853" t="s">
        <v>74</v>
      </c>
      <c r="BH853" t="s">
        <v>74</v>
      </c>
      <c r="BI853">
        <v>92</v>
      </c>
      <c r="BJ853" t="s">
        <v>1215</v>
      </c>
      <c r="BK853" t="s">
        <v>15510</v>
      </c>
      <c r="BL853" t="s">
        <v>1215</v>
      </c>
      <c r="BM853" t="s">
        <v>16186</v>
      </c>
      <c r="BN853" t="s">
        <v>74</v>
      </c>
      <c r="BO853" t="s">
        <v>74</v>
      </c>
      <c r="BP853" t="s">
        <v>74</v>
      </c>
      <c r="BQ853" t="s">
        <v>74</v>
      </c>
      <c r="BR853" t="s">
        <v>104</v>
      </c>
      <c r="BS853" t="s">
        <v>16187</v>
      </c>
      <c r="BT853" t="str">
        <f>HYPERLINK("https%3A%2F%2Fwww.webofscience.com%2Fwos%2Fwoscc%2Ffull-record%2FWOS:000354499500001","View Full Record in Web of Science")</f>
        <v>View Full Record in Web of Science</v>
      </c>
    </row>
    <row r="854" spans="1:72" x14ac:dyDescent="0.15">
      <c r="A854" t="s">
        <v>15464</v>
      </c>
      <c r="B854" t="s">
        <v>16188</v>
      </c>
      <c r="C854" t="s">
        <v>74</v>
      </c>
      <c r="D854" t="s">
        <v>74</v>
      </c>
      <c r="E854" t="s">
        <v>15529</v>
      </c>
      <c r="F854" t="s">
        <v>16189</v>
      </c>
      <c r="G854" t="s">
        <v>74</v>
      </c>
      <c r="H854" t="s">
        <v>74</v>
      </c>
      <c r="I854" t="s">
        <v>16190</v>
      </c>
      <c r="J854" t="s">
        <v>16191</v>
      </c>
      <c r="K854" t="s">
        <v>16192</v>
      </c>
      <c r="L854" t="s">
        <v>74</v>
      </c>
      <c r="M854" t="s">
        <v>78</v>
      </c>
      <c r="N854" t="s">
        <v>15471</v>
      </c>
      <c r="O854" t="s">
        <v>16193</v>
      </c>
      <c r="P854" t="s">
        <v>16194</v>
      </c>
      <c r="Q854" t="s">
        <v>16195</v>
      </c>
      <c r="R854" t="s">
        <v>74</v>
      </c>
      <c r="S854" t="s">
        <v>74</v>
      </c>
      <c r="T854" t="s">
        <v>16196</v>
      </c>
      <c r="U854" t="s">
        <v>74</v>
      </c>
      <c r="V854" t="s">
        <v>16197</v>
      </c>
      <c r="W854" t="s">
        <v>16198</v>
      </c>
      <c r="X854" t="s">
        <v>16199</v>
      </c>
      <c r="Y854" t="s">
        <v>16200</v>
      </c>
      <c r="Z854" t="s">
        <v>74</v>
      </c>
      <c r="AA854" t="s">
        <v>74</v>
      </c>
      <c r="AB854" t="s">
        <v>74</v>
      </c>
      <c r="AC854" t="s">
        <v>74</v>
      </c>
      <c r="AD854" t="s">
        <v>74</v>
      </c>
      <c r="AE854" t="s">
        <v>74</v>
      </c>
      <c r="AF854" t="s">
        <v>74</v>
      </c>
      <c r="AG854">
        <v>3</v>
      </c>
      <c r="AH854">
        <v>0</v>
      </c>
      <c r="AI854">
        <v>0</v>
      </c>
      <c r="AJ854">
        <v>1</v>
      </c>
      <c r="AK854">
        <v>5</v>
      </c>
      <c r="AL854" t="s">
        <v>15529</v>
      </c>
      <c r="AM854" t="s">
        <v>121</v>
      </c>
      <c r="AN854" t="s">
        <v>15530</v>
      </c>
      <c r="AO854" t="s">
        <v>16201</v>
      </c>
      <c r="AP854" t="s">
        <v>74</v>
      </c>
      <c r="AQ854" t="s">
        <v>16202</v>
      </c>
      <c r="AR854" t="s">
        <v>16203</v>
      </c>
      <c r="AS854" t="s">
        <v>74</v>
      </c>
      <c r="AT854" t="s">
        <v>74</v>
      </c>
      <c r="AU854">
        <v>2015</v>
      </c>
      <c r="AV854" t="s">
        <v>74</v>
      </c>
      <c r="AW854" t="s">
        <v>74</v>
      </c>
      <c r="AX854" t="s">
        <v>74</v>
      </c>
      <c r="AY854" t="s">
        <v>74</v>
      </c>
      <c r="AZ854" t="s">
        <v>74</v>
      </c>
      <c r="BA854" t="s">
        <v>74</v>
      </c>
      <c r="BB854">
        <v>762</v>
      </c>
      <c r="BC854">
        <v>765</v>
      </c>
      <c r="BD854" t="s">
        <v>74</v>
      </c>
      <c r="BE854" t="s">
        <v>74</v>
      </c>
      <c r="BF854" t="s">
        <v>74</v>
      </c>
      <c r="BG854" t="s">
        <v>74</v>
      </c>
      <c r="BH854" t="s">
        <v>74</v>
      </c>
      <c r="BI854">
        <v>4</v>
      </c>
      <c r="BJ854" t="s">
        <v>16204</v>
      </c>
      <c r="BK854" t="s">
        <v>15487</v>
      </c>
      <c r="BL854" t="s">
        <v>16205</v>
      </c>
      <c r="BM854" t="s">
        <v>16206</v>
      </c>
      <c r="BN854" t="s">
        <v>74</v>
      </c>
      <c r="BO854" t="s">
        <v>74</v>
      </c>
      <c r="BP854" t="s">
        <v>74</v>
      </c>
      <c r="BQ854" t="s">
        <v>74</v>
      </c>
      <c r="BR854" t="s">
        <v>104</v>
      </c>
      <c r="BS854" t="s">
        <v>16207</v>
      </c>
      <c r="BT854" t="str">
        <f>HYPERLINK("https%3A%2F%2Fwww.webofscience.com%2Fwos%2Fwoscc%2Ffull-record%2FWOS:000371696700191","View Full Record in Web of Science")</f>
        <v>View Full Record in Web of Science</v>
      </c>
    </row>
    <row r="855" spans="1:72" x14ac:dyDescent="0.15">
      <c r="A855" t="s">
        <v>15464</v>
      </c>
      <c r="B855" t="s">
        <v>16208</v>
      </c>
      <c r="C855" t="s">
        <v>74</v>
      </c>
      <c r="D855" t="s">
        <v>74</v>
      </c>
      <c r="E855" t="s">
        <v>15529</v>
      </c>
      <c r="F855" t="s">
        <v>16209</v>
      </c>
      <c r="G855" t="s">
        <v>74</v>
      </c>
      <c r="H855" t="s">
        <v>74</v>
      </c>
      <c r="I855" t="s">
        <v>16210</v>
      </c>
      <c r="J855" t="s">
        <v>16191</v>
      </c>
      <c r="K855" t="s">
        <v>16192</v>
      </c>
      <c r="L855" t="s">
        <v>74</v>
      </c>
      <c r="M855" t="s">
        <v>78</v>
      </c>
      <c r="N855" t="s">
        <v>15471</v>
      </c>
      <c r="O855" t="s">
        <v>16193</v>
      </c>
      <c r="P855" t="s">
        <v>16194</v>
      </c>
      <c r="Q855" t="s">
        <v>16195</v>
      </c>
      <c r="R855" t="s">
        <v>74</v>
      </c>
      <c r="S855" t="s">
        <v>74</v>
      </c>
      <c r="T855" t="s">
        <v>16211</v>
      </c>
      <c r="U855" t="s">
        <v>16212</v>
      </c>
      <c r="V855" t="s">
        <v>16213</v>
      </c>
      <c r="W855" t="s">
        <v>16214</v>
      </c>
      <c r="X855" t="s">
        <v>16215</v>
      </c>
      <c r="Y855" t="s">
        <v>16216</v>
      </c>
      <c r="Z855" t="s">
        <v>74</v>
      </c>
      <c r="AA855" t="s">
        <v>74</v>
      </c>
      <c r="AB855" t="s">
        <v>74</v>
      </c>
      <c r="AC855" t="s">
        <v>74</v>
      </c>
      <c r="AD855" t="s">
        <v>74</v>
      </c>
      <c r="AE855" t="s">
        <v>74</v>
      </c>
      <c r="AF855" t="s">
        <v>74</v>
      </c>
      <c r="AG855">
        <v>13</v>
      </c>
      <c r="AH855">
        <v>0</v>
      </c>
      <c r="AI855">
        <v>0</v>
      </c>
      <c r="AJ855">
        <v>0</v>
      </c>
      <c r="AK855">
        <v>4</v>
      </c>
      <c r="AL855" t="s">
        <v>15529</v>
      </c>
      <c r="AM855" t="s">
        <v>121</v>
      </c>
      <c r="AN855" t="s">
        <v>15530</v>
      </c>
      <c r="AO855" t="s">
        <v>16201</v>
      </c>
      <c r="AP855" t="s">
        <v>74</v>
      </c>
      <c r="AQ855" t="s">
        <v>16202</v>
      </c>
      <c r="AR855" t="s">
        <v>16203</v>
      </c>
      <c r="AS855" t="s">
        <v>74</v>
      </c>
      <c r="AT855" t="s">
        <v>74</v>
      </c>
      <c r="AU855">
        <v>2015</v>
      </c>
      <c r="AV855" t="s">
        <v>74</v>
      </c>
      <c r="AW855" t="s">
        <v>74</v>
      </c>
      <c r="AX855" t="s">
        <v>74</v>
      </c>
      <c r="AY855" t="s">
        <v>74</v>
      </c>
      <c r="AZ855" t="s">
        <v>74</v>
      </c>
      <c r="BA855" t="s">
        <v>74</v>
      </c>
      <c r="BB855">
        <v>2064</v>
      </c>
      <c r="BC855">
        <v>2067</v>
      </c>
      <c r="BD855" t="s">
        <v>74</v>
      </c>
      <c r="BE855" t="s">
        <v>74</v>
      </c>
      <c r="BF855" t="s">
        <v>74</v>
      </c>
      <c r="BG855" t="s">
        <v>74</v>
      </c>
      <c r="BH855" t="s">
        <v>74</v>
      </c>
      <c r="BI855">
        <v>4</v>
      </c>
      <c r="BJ855" t="s">
        <v>16204</v>
      </c>
      <c r="BK855" t="s">
        <v>15487</v>
      </c>
      <c r="BL855" t="s">
        <v>16205</v>
      </c>
      <c r="BM855" t="s">
        <v>16206</v>
      </c>
      <c r="BN855" t="s">
        <v>74</v>
      </c>
      <c r="BO855" t="s">
        <v>74</v>
      </c>
      <c r="BP855" t="s">
        <v>74</v>
      </c>
      <c r="BQ855" t="s">
        <v>74</v>
      </c>
      <c r="BR855" t="s">
        <v>104</v>
      </c>
      <c r="BS855" t="s">
        <v>16217</v>
      </c>
      <c r="BT855" t="str">
        <f>HYPERLINK("https%3A%2F%2Fwww.webofscience.com%2Fwos%2Fwoscc%2Ffull-record%2FWOS:000371696702041","View Full Record in Web of Science")</f>
        <v>View Full Record in Web of Science</v>
      </c>
    </row>
    <row r="856" spans="1:72" x14ac:dyDescent="0.15">
      <c r="A856" t="s">
        <v>15464</v>
      </c>
      <c r="B856" t="s">
        <v>16218</v>
      </c>
      <c r="C856" t="s">
        <v>74</v>
      </c>
      <c r="D856" t="s">
        <v>74</v>
      </c>
      <c r="E856" t="s">
        <v>15529</v>
      </c>
      <c r="F856" t="s">
        <v>16219</v>
      </c>
      <c r="G856" t="s">
        <v>74</v>
      </c>
      <c r="H856" t="s">
        <v>74</v>
      </c>
      <c r="I856" t="s">
        <v>16220</v>
      </c>
      <c r="J856" t="s">
        <v>16191</v>
      </c>
      <c r="K856" t="s">
        <v>16192</v>
      </c>
      <c r="L856" t="s">
        <v>74</v>
      </c>
      <c r="M856" t="s">
        <v>78</v>
      </c>
      <c r="N856" t="s">
        <v>15471</v>
      </c>
      <c r="O856" t="s">
        <v>16193</v>
      </c>
      <c r="P856" t="s">
        <v>16194</v>
      </c>
      <c r="Q856" t="s">
        <v>16195</v>
      </c>
      <c r="R856" t="s">
        <v>74</v>
      </c>
      <c r="S856" t="s">
        <v>74</v>
      </c>
      <c r="T856" t="s">
        <v>16221</v>
      </c>
      <c r="U856" t="s">
        <v>16222</v>
      </c>
      <c r="V856" t="s">
        <v>16223</v>
      </c>
      <c r="W856" t="s">
        <v>16224</v>
      </c>
      <c r="X856" t="s">
        <v>16225</v>
      </c>
      <c r="Y856" t="s">
        <v>16226</v>
      </c>
      <c r="Z856" t="s">
        <v>74</v>
      </c>
      <c r="AA856" t="s">
        <v>16227</v>
      </c>
      <c r="AB856" t="s">
        <v>74</v>
      </c>
      <c r="AC856" t="s">
        <v>74</v>
      </c>
      <c r="AD856" t="s">
        <v>74</v>
      </c>
      <c r="AE856" t="s">
        <v>74</v>
      </c>
      <c r="AF856" t="s">
        <v>74</v>
      </c>
      <c r="AG856">
        <v>24</v>
      </c>
      <c r="AH856">
        <v>0</v>
      </c>
      <c r="AI856">
        <v>0</v>
      </c>
      <c r="AJ856">
        <v>0</v>
      </c>
      <c r="AK856">
        <v>5</v>
      </c>
      <c r="AL856" t="s">
        <v>15529</v>
      </c>
      <c r="AM856" t="s">
        <v>121</v>
      </c>
      <c r="AN856" t="s">
        <v>15530</v>
      </c>
      <c r="AO856" t="s">
        <v>16201</v>
      </c>
      <c r="AP856" t="s">
        <v>74</v>
      </c>
      <c r="AQ856" t="s">
        <v>16202</v>
      </c>
      <c r="AR856" t="s">
        <v>16203</v>
      </c>
      <c r="AS856" t="s">
        <v>74</v>
      </c>
      <c r="AT856" t="s">
        <v>74</v>
      </c>
      <c r="AU856">
        <v>2015</v>
      </c>
      <c r="AV856" t="s">
        <v>74</v>
      </c>
      <c r="AW856" t="s">
        <v>74</v>
      </c>
      <c r="AX856" t="s">
        <v>74</v>
      </c>
      <c r="AY856" t="s">
        <v>74</v>
      </c>
      <c r="AZ856" t="s">
        <v>74</v>
      </c>
      <c r="BA856" t="s">
        <v>74</v>
      </c>
      <c r="BB856">
        <v>2280</v>
      </c>
      <c r="BC856">
        <v>2283</v>
      </c>
      <c r="BD856" t="s">
        <v>74</v>
      </c>
      <c r="BE856" t="s">
        <v>74</v>
      </c>
      <c r="BF856" t="s">
        <v>74</v>
      </c>
      <c r="BG856" t="s">
        <v>74</v>
      </c>
      <c r="BH856" t="s">
        <v>74</v>
      </c>
      <c r="BI856">
        <v>4</v>
      </c>
      <c r="BJ856" t="s">
        <v>16204</v>
      </c>
      <c r="BK856" t="s">
        <v>15487</v>
      </c>
      <c r="BL856" t="s">
        <v>16205</v>
      </c>
      <c r="BM856" t="s">
        <v>16206</v>
      </c>
      <c r="BN856" t="s">
        <v>74</v>
      </c>
      <c r="BO856" t="s">
        <v>74</v>
      </c>
      <c r="BP856" t="s">
        <v>74</v>
      </c>
      <c r="BQ856" t="s">
        <v>74</v>
      </c>
      <c r="BR856" t="s">
        <v>104</v>
      </c>
      <c r="BS856" t="s">
        <v>16228</v>
      </c>
      <c r="BT856" t="str">
        <f>HYPERLINK("https%3A%2F%2Fwww.webofscience.com%2Fwos%2Fwoscc%2Ffull-record%2FWOS:000371696702094","View Full Record in Web of Science")</f>
        <v>View Full Record in Web of Science</v>
      </c>
    </row>
    <row r="857" spans="1:72" x14ac:dyDescent="0.15">
      <c r="A857" t="s">
        <v>15464</v>
      </c>
      <c r="B857" t="s">
        <v>16229</v>
      </c>
      <c r="C857" t="s">
        <v>74</v>
      </c>
      <c r="D857" t="s">
        <v>74</v>
      </c>
      <c r="E857" t="s">
        <v>15529</v>
      </c>
      <c r="F857" t="s">
        <v>16230</v>
      </c>
      <c r="G857" t="s">
        <v>74</v>
      </c>
      <c r="H857" t="s">
        <v>74</v>
      </c>
      <c r="I857" t="s">
        <v>16231</v>
      </c>
      <c r="J857" t="s">
        <v>16191</v>
      </c>
      <c r="K857" t="s">
        <v>16192</v>
      </c>
      <c r="L857" t="s">
        <v>74</v>
      </c>
      <c r="M857" t="s">
        <v>78</v>
      </c>
      <c r="N857" t="s">
        <v>15471</v>
      </c>
      <c r="O857" t="s">
        <v>16193</v>
      </c>
      <c r="P857" t="s">
        <v>16194</v>
      </c>
      <c r="Q857" t="s">
        <v>16195</v>
      </c>
      <c r="R857" t="s">
        <v>74</v>
      </c>
      <c r="S857" t="s">
        <v>74</v>
      </c>
      <c r="T857" t="s">
        <v>16232</v>
      </c>
      <c r="U857" t="s">
        <v>74</v>
      </c>
      <c r="V857" t="s">
        <v>16233</v>
      </c>
      <c r="W857" t="s">
        <v>16234</v>
      </c>
      <c r="X857" t="s">
        <v>16235</v>
      </c>
      <c r="Y857" t="s">
        <v>16236</v>
      </c>
      <c r="Z857" t="s">
        <v>74</v>
      </c>
      <c r="AA857" t="s">
        <v>16237</v>
      </c>
      <c r="AB857" t="s">
        <v>16238</v>
      </c>
      <c r="AC857" t="s">
        <v>74</v>
      </c>
      <c r="AD857" t="s">
        <v>74</v>
      </c>
      <c r="AE857" t="s">
        <v>74</v>
      </c>
      <c r="AF857" t="s">
        <v>74</v>
      </c>
      <c r="AG857">
        <v>8</v>
      </c>
      <c r="AH857">
        <v>0</v>
      </c>
      <c r="AI857">
        <v>0</v>
      </c>
      <c r="AJ857">
        <v>0</v>
      </c>
      <c r="AK857">
        <v>1</v>
      </c>
      <c r="AL857" t="s">
        <v>15529</v>
      </c>
      <c r="AM857" t="s">
        <v>121</v>
      </c>
      <c r="AN857" t="s">
        <v>15530</v>
      </c>
      <c r="AO857" t="s">
        <v>16201</v>
      </c>
      <c r="AP857" t="s">
        <v>74</v>
      </c>
      <c r="AQ857" t="s">
        <v>16202</v>
      </c>
      <c r="AR857" t="s">
        <v>16203</v>
      </c>
      <c r="AS857" t="s">
        <v>74</v>
      </c>
      <c r="AT857" t="s">
        <v>74</v>
      </c>
      <c r="AU857">
        <v>2015</v>
      </c>
      <c r="AV857" t="s">
        <v>74</v>
      </c>
      <c r="AW857" t="s">
        <v>74</v>
      </c>
      <c r="AX857" t="s">
        <v>74</v>
      </c>
      <c r="AY857" t="s">
        <v>74</v>
      </c>
      <c r="AZ857" t="s">
        <v>74</v>
      </c>
      <c r="BA857" t="s">
        <v>74</v>
      </c>
      <c r="BB857">
        <v>4045</v>
      </c>
      <c r="BC857">
        <v>4048</v>
      </c>
      <c r="BD857" t="s">
        <v>74</v>
      </c>
      <c r="BE857" t="s">
        <v>74</v>
      </c>
      <c r="BF857" t="s">
        <v>74</v>
      </c>
      <c r="BG857" t="s">
        <v>74</v>
      </c>
      <c r="BH857" t="s">
        <v>74</v>
      </c>
      <c r="BI857">
        <v>4</v>
      </c>
      <c r="BJ857" t="s">
        <v>16204</v>
      </c>
      <c r="BK857" t="s">
        <v>15487</v>
      </c>
      <c r="BL857" t="s">
        <v>16205</v>
      </c>
      <c r="BM857" t="s">
        <v>16206</v>
      </c>
      <c r="BN857" t="s">
        <v>74</v>
      </c>
      <c r="BO857" t="s">
        <v>74</v>
      </c>
      <c r="BP857" t="s">
        <v>74</v>
      </c>
      <c r="BQ857" t="s">
        <v>74</v>
      </c>
      <c r="BR857" t="s">
        <v>104</v>
      </c>
      <c r="BS857" t="s">
        <v>16239</v>
      </c>
      <c r="BT857" t="str">
        <f>HYPERLINK("https%3A%2F%2Fwww.webofscience.com%2Fwos%2Fwoscc%2Ffull-record%2FWOS:000371696704032","View Full Record in Web of Science")</f>
        <v>View Full Record in Web of Science</v>
      </c>
    </row>
    <row r="858" spans="1:72" x14ac:dyDescent="0.15">
      <c r="A858" t="s">
        <v>15464</v>
      </c>
      <c r="B858" t="s">
        <v>16240</v>
      </c>
      <c r="C858" t="s">
        <v>74</v>
      </c>
      <c r="D858" t="s">
        <v>74</v>
      </c>
      <c r="E858" t="s">
        <v>15529</v>
      </c>
      <c r="F858" t="s">
        <v>16241</v>
      </c>
      <c r="G858" t="s">
        <v>74</v>
      </c>
      <c r="H858" t="s">
        <v>74</v>
      </c>
      <c r="I858" t="s">
        <v>16242</v>
      </c>
      <c r="J858" t="s">
        <v>16191</v>
      </c>
      <c r="K858" t="s">
        <v>16192</v>
      </c>
      <c r="L858" t="s">
        <v>74</v>
      </c>
      <c r="M858" t="s">
        <v>78</v>
      </c>
      <c r="N858" t="s">
        <v>15471</v>
      </c>
      <c r="O858" t="s">
        <v>16193</v>
      </c>
      <c r="P858" t="s">
        <v>16194</v>
      </c>
      <c r="Q858" t="s">
        <v>16195</v>
      </c>
      <c r="R858" t="s">
        <v>74</v>
      </c>
      <c r="S858" t="s">
        <v>74</v>
      </c>
      <c r="T858" t="s">
        <v>16243</v>
      </c>
      <c r="U858" t="s">
        <v>74</v>
      </c>
      <c r="V858" t="s">
        <v>16244</v>
      </c>
      <c r="W858" t="s">
        <v>16245</v>
      </c>
      <c r="X858" t="s">
        <v>16246</v>
      </c>
      <c r="Y858" t="s">
        <v>16247</v>
      </c>
      <c r="Z858" t="s">
        <v>16248</v>
      </c>
      <c r="AA858" t="s">
        <v>16249</v>
      </c>
      <c r="AB858" t="s">
        <v>16250</v>
      </c>
      <c r="AC858" t="s">
        <v>74</v>
      </c>
      <c r="AD858" t="s">
        <v>74</v>
      </c>
      <c r="AE858" t="s">
        <v>74</v>
      </c>
      <c r="AF858" t="s">
        <v>74</v>
      </c>
      <c r="AG858">
        <v>9</v>
      </c>
      <c r="AH858">
        <v>1</v>
      </c>
      <c r="AI858">
        <v>1</v>
      </c>
      <c r="AJ858">
        <v>0</v>
      </c>
      <c r="AK858">
        <v>3</v>
      </c>
      <c r="AL858" t="s">
        <v>15529</v>
      </c>
      <c r="AM858" t="s">
        <v>121</v>
      </c>
      <c r="AN858" t="s">
        <v>15530</v>
      </c>
      <c r="AO858" t="s">
        <v>16201</v>
      </c>
      <c r="AP858" t="s">
        <v>74</v>
      </c>
      <c r="AQ858" t="s">
        <v>16202</v>
      </c>
      <c r="AR858" t="s">
        <v>16203</v>
      </c>
      <c r="AS858" t="s">
        <v>74</v>
      </c>
      <c r="AT858" t="s">
        <v>74</v>
      </c>
      <c r="AU858">
        <v>2015</v>
      </c>
      <c r="AV858" t="s">
        <v>74</v>
      </c>
      <c r="AW858" t="s">
        <v>74</v>
      </c>
      <c r="AX858" t="s">
        <v>74</v>
      </c>
      <c r="AY858" t="s">
        <v>74</v>
      </c>
      <c r="AZ858" t="s">
        <v>74</v>
      </c>
      <c r="BA858" t="s">
        <v>74</v>
      </c>
      <c r="BB858">
        <v>5178</v>
      </c>
      <c r="BC858">
        <v>5181</v>
      </c>
      <c r="BD858" t="s">
        <v>74</v>
      </c>
      <c r="BE858" t="s">
        <v>74</v>
      </c>
      <c r="BF858" t="s">
        <v>74</v>
      </c>
      <c r="BG858" t="s">
        <v>74</v>
      </c>
      <c r="BH858" t="s">
        <v>74</v>
      </c>
      <c r="BI858">
        <v>4</v>
      </c>
      <c r="BJ858" t="s">
        <v>16204</v>
      </c>
      <c r="BK858" t="s">
        <v>15487</v>
      </c>
      <c r="BL858" t="s">
        <v>16205</v>
      </c>
      <c r="BM858" t="s">
        <v>16206</v>
      </c>
      <c r="BN858" t="s">
        <v>74</v>
      </c>
      <c r="BO858" t="s">
        <v>248</v>
      </c>
      <c r="BP858" t="s">
        <v>74</v>
      </c>
      <c r="BQ858" t="s">
        <v>74</v>
      </c>
      <c r="BR858" t="s">
        <v>104</v>
      </c>
      <c r="BS858" t="s">
        <v>16251</v>
      </c>
      <c r="BT858" t="str">
        <f>HYPERLINK("https%3A%2F%2Fwww.webofscience.com%2Fwos%2Fwoscc%2Ffull-record%2FWOS:000371696705062","View Full Record in Web of Science")</f>
        <v>View Full Record in Web of Science</v>
      </c>
    </row>
    <row r="859" spans="1:72" x14ac:dyDescent="0.15">
      <c r="A859" t="s">
        <v>15464</v>
      </c>
      <c r="B859" t="s">
        <v>16252</v>
      </c>
      <c r="C859" t="s">
        <v>74</v>
      </c>
      <c r="D859" t="s">
        <v>74</v>
      </c>
      <c r="E859" t="s">
        <v>15529</v>
      </c>
      <c r="F859" t="s">
        <v>16253</v>
      </c>
      <c r="G859" t="s">
        <v>74</v>
      </c>
      <c r="H859" t="s">
        <v>74</v>
      </c>
      <c r="I859" t="s">
        <v>16254</v>
      </c>
      <c r="J859" t="s">
        <v>16191</v>
      </c>
      <c r="K859" t="s">
        <v>16192</v>
      </c>
      <c r="L859" t="s">
        <v>74</v>
      </c>
      <c r="M859" t="s">
        <v>78</v>
      </c>
      <c r="N859" t="s">
        <v>15471</v>
      </c>
      <c r="O859" t="s">
        <v>16193</v>
      </c>
      <c r="P859" t="s">
        <v>16194</v>
      </c>
      <c r="Q859" t="s">
        <v>16195</v>
      </c>
      <c r="R859" t="s">
        <v>74</v>
      </c>
      <c r="S859" t="s">
        <v>74</v>
      </c>
      <c r="T859" t="s">
        <v>16255</v>
      </c>
      <c r="U859" t="s">
        <v>16256</v>
      </c>
      <c r="V859" t="s">
        <v>16257</v>
      </c>
      <c r="W859" t="s">
        <v>16258</v>
      </c>
      <c r="X859" t="s">
        <v>16259</v>
      </c>
      <c r="Y859" t="s">
        <v>16260</v>
      </c>
      <c r="Z859" t="s">
        <v>74</v>
      </c>
      <c r="AA859" t="s">
        <v>16261</v>
      </c>
      <c r="AB859" t="s">
        <v>74</v>
      </c>
      <c r="AC859" t="s">
        <v>74</v>
      </c>
      <c r="AD859" t="s">
        <v>74</v>
      </c>
      <c r="AE859" t="s">
        <v>74</v>
      </c>
      <c r="AF859" t="s">
        <v>74</v>
      </c>
      <c r="AG859">
        <v>12</v>
      </c>
      <c r="AH859">
        <v>0</v>
      </c>
      <c r="AI859">
        <v>0</v>
      </c>
      <c r="AJ859">
        <v>1</v>
      </c>
      <c r="AK859">
        <v>8</v>
      </c>
      <c r="AL859" t="s">
        <v>15529</v>
      </c>
      <c r="AM859" t="s">
        <v>121</v>
      </c>
      <c r="AN859" t="s">
        <v>15530</v>
      </c>
      <c r="AO859" t="s">
        <v>16201</v>
      </c>
      <c r="AP859" t="s">
        <v>74</v>
      </c>
      <c r="AQ859" t="s">
        <v>16202</v>
      </c>
      <c r="AR859" t="s">
        <v>16203</v>
      </c>
      <c r="AS859" t="s">
        <v>74</v>
      </c>
      <c r="AT859" t="s">
        <v>74</v>
      </c>
      <c r="AU859">
        <v>2015</v>
      </c>
      <c r="AV859" t="s">
        <v>74</v>
      </c>
      <c r="AW859" t="s">
        <v>74</v>
      </c>
      <c r="AX859" t="s">
        <v>74</v>
      </c>
      <c r="AY859" t="s">
        <v>74</v>
      </c>
      <c r="AZ859" t="s">
        <v>74</v>
      </c>
      <c r="BA859" t="s">
        <v>74</v>
      </c>
      <c r="BB859">
        <v>5208</v>
      </c>
      <c r="BC859">
        <v>5211</v>
      </c>
      <c r="BD859" t="s">
        <v>74</v>
      </c>
      <c r="BE859" t="s">
        <v>74</v>
      </c>
      <c r="BF859" t="s">
        <v>74</v>
      </c>
      <c r="BG859" t="s">
        <v>74</v>
      </c>
      <c r="BH859" t="s">
        <v>74</v>
      </c>
      <c r="BI859">
        <v>4</v>
      </c>
      <c r="BJ859" t="s">
        <v>16204</v>
      </c>
      <c r="BK859" t="s">
        <v>15487</v>
      </c>
      <c r="BL859" t="s">
        <v>16205</v>
      </c>
      <c r="BM859" t="s">
        <v>16206</v>
      </c>
      <c r="BN859" t="s">
        <v>74</v>
      </c>
      <c r="BO859" t="s">
        <v>74</v>
      </c>
      <c r="BP859" t="s">
        <v>74</v>
      </c>
      <c r="BQ859" t="s">
        <v>74</v>
      </c>
      <c r="BR859" t="s">
        <v>104</v>
      </c>
      <c r="BS859" t="s">
        <v>16262</v>
      </c>
      <c r="BT859" t="str">
        <f>HYPERLINK("https%3A%2F%2Fwww.webofscience.com%2Fwos%2Fwoscc%2Ffull-record%2FWOS:000371696705070","View Full Record in Web of Science")</f>
        <v>View Full Record in Web of Science</v>
      </c>
    </row>
    <row r="860" spans="1:72" x14ac:dyDescent="0.15">
      <c r="A860" t="s">
        <v>72</v>
      </c>
      <c r="B860" t="s">
        <v>16263</v>
      </c>
      <c r="C860" t="s">
        <v>74</v>
      </c>
      <c r="D860" t="s">
        <v>74</v>
      </c>
      <c r="E860" t="s">
        <v>74</v>
      </c>
      <c r="F860" t="s">
        <v>16264</v>
      </c>
      <c r="G860" t="s">
        <v>74</v>
      </c>
      <c r="H860" t="s">
        <v>74</v>
      </c>
      <c r="I860" t="s">
        <v>16265</v>
      </c>
      <c r="J860" t="s">
        <v>16266</v>
      </c>
      <c r="K860" t="s">
        <v>74</v>
      </c>
      <c r="L860" t="s">
        <v>74</v>
      </c>
      <c r="M860" t="s">
        <v>78</v>
      </c>
      <c r="N860" t="s">
        <v>79</v>
      </c>
      <c r="O860" t="s">
        <v>74</v>
      </c>
      <c r="P860" t="s">
        <v>74</v>
      </c>
      <c r="Q860" t="s">
        <v>74</v>
      </c>
      <c r="R860" t="s">
        <v>74</v>
      </c>
      <c r="S860" t="s">
        <v>74</v>
      </c>
      <c r="T860" t="s">
        <v>16267</v>
      </c>
      <c r="U860" t="s">
        <v>16268</v>
      </c>
      <c r="V860" t="s">
        <v>16269</v>
      </c>
      <c r="W860" t="s">
        <v>16270</v>
      </c>
      <c r="X860" t="s">
        <v>16271</v>
      </c>
      <c r="Y860" t="s">
        <v>16272</v>
      </c>
      <c r="Z860" t="s">
        <v>16273</v>
      </c>
      <c r="AA860" t="s">
        <v>74</v>
      </c>
      <c r="AB860" t="s">
        <v>16274</v>
      </c>
      <c r="AC860" t="s">
        <v>16275</v>
      </c>
      <c r="AD860" t="s">
        <v>16275</v>
      </c>
      <c r="AE860" t="s">
        <v>16276</v>
      </c>
      <c r="AF860" t="s">
        <v>74</v>
      </c>
      <c r="AG860">
        <v>62</v>
      </c>
      <c r="AH860">
        <v>108</v>
      </c>
      <c r="AI860">
        <v>126</v>
      </c>
      <c r="AJ860">
        <v>3</v>
      </c>
      <c r="AK860">
        <v>61</v>
      </c>
      <c r="AL860" t="s">
        <v>2167</v>
      </c>
      <c r="AM860" t="s">
        <v>2168</v>
      </c>
      <c r="AN860" t="s">
        <v>2169</v>
      </c>
      <c r="AO860" t="s">
        <v>16277</v>
      </c>
      <c r="AP860" t="s">
        <v>16278</v>
      </c>
      <c r="AQ860" t="s">
        <v>74</v>
      </c>
      <c r="AR860" t="s">
        <v>16279</v>
      </c>
      <c r="AS860" t="s">
        <v>16280</v>
      </c>
      <c r="AT860" t="s">
        <v>74</v>
      </c>
      <c r="AU860">
        <v>2015</v>
      </c>
      <c r="AV860">
        <v>61</v>
      </c>
      <c r="AW860">
        <v>230</v>
      </c>
      <c r="AX860" t="s">
        <v>74</v>
      </c>
      <c r="AY860" t="s">
        <v>74</v>
      </c>
      <c r="AZ860" t="s">
        <v>74</v>
      </c>
      <c r="BA860" t="s">
        <v>74</v>
      </c>
      <c r="BB860">
        <v>1019</v>
      </c>
      <c r="BC860">
        <v>1036</v>
      </c>
      <c r="BD860" t="s">
        <v>74</v>
      </c>
      <c r="BE860" t="s">
        <v>16281</v>
      </c>
      <c r="BF860" t="str">
        <f>HYPERLINK("http://dx.doi.org/10.3189/2015JoG15J071","http://dx.doi.org/10.3189/2015JoG15J071")</f>
        <v>http://dx.doi.org/10.3189/2015JoG15J071</v>
      </c>
      <c r="BG860" t="s">
        <v>74</v>
      </c>
      <c r="BH860" t="s">
        <v>74</v>
      </c>
      <c r="BI860">
        <v>18</v>
      </c>
      <c r="BJ860" t="s">
        <v>795</v>
      </c>
      <c r="BK860" t="s">
        <v>100</v>
      </c>
      <c r="BL860" t="s">
        <v>796</v>
      </c>
      <c r="BM860" t="s">
        <v>16282</v>
      </c>
      <c r="BN860" t="s">
        <v>74</v>
      </c>
      <c r="BO860" t="s">
        <v>16283</v>
      </c>
      <c r="BP860" t="s">
        <v>74</v>
      </c>
      <c r="BQ860" t="s">
        <v>74</v>
      </c>
      <c r="BR860" t="s">
        <v>104</v>
      </c>
      <c r="BS860" t="s">
        <v>16284</v>
      </c>
      <c r="BT860" t="str">
        <f>HYPERLINK("https%3A%2F%2Fwww.webofscience.com%2Fwos%2Fwoscc%2Ffull-record%2FWOS:000371653600001","View Full Record in Web of Science")</f>
        <v>View Full Record in Web of Science</v>
      </c>
    </row>
    <row r="861" spans="1:72" x14ac:dyDescent="0.15">
      <c r="A861" t="s">
        <v>72</v>
      </c>
      <c r="B861" t="s">
        <v>16285</v>
      </c>
      <c r="C861" t="s">
        <v>74</v>
      </c>
      <c r="D861" t="s">
        <v>74</v>
      </c>
      <c r="E861" t="s">
        <v>74</v>
      </c>
      <c r="F861" t="s">
        <v>16286</v>
      </c>
      <c r="G861" t="s">
        <v>74</v>
      </c>
      <c r="H861" t="s">
        <v>74</v>
      </c>
      <c r="I861" t="s">
        <v>16287</v>
      </c>
      <c r="J861" t="s">
        <v>16266</v>
      </c>
      <c r="K861" t="s">
        <v>74</v>
      </c>
      <c r="L861" t="s">
        <v>74</v>
      </c>
      <c r="M861" t="s">
        <v>78</v>
      </c>
      <c r="N861" t="s">
        <v>79</v>
      </c>
      <c r="O861" t="s">
        <v>74</v>
      </c>
      <c r="P861" t="s">
        <v>74</v>
      </c>
      <c r="Q861" t="s">
        <v>74</v>
      </c>
      <c r="R861" t="s">
        <v>74</v>
      </c>
      <c r="S861" t="s">
        <v>74</v>
      </c>
      <c r="T861" t="s">
        <v>16288</v>
      </c>
      <c r="U861" t="s">
        <v>16289</v>
      </c>
      <c r="V861" t="s">
        <v>16290</v>
      </c>
      <c r="W861" t="s">
        <v>16291</v>
      </c>
      <c r="X861" t="s">
        <v>16292</v>
      </c>
      <c r="Y861" t="s">
        <v>16293</v>
      </c>
      <c r="Z861" t="s">
        <v>16294</v>
      </c>
      <c r="AA861" t="s">
        <v>74</v>
      </c>
      <c r="AB861" t="s">
        <v>74</v>
      </c>
      <c r="AC861" t="s">
        <v>74</v>
      </c>
      <c r="AD861" t="s">
        <v>74</v>
      </c>
      <c r="AE861" t="s">
        <v>74</v>
      </c>
      <c r="AF861" t="s">
        <v>74</v>
      </c>
      <c r="AG861">
        <v>24</v>
      </c>
      <c r="AH861">
        <v>16</v>
      </c>
      <c r="AI861">
        <v>18</v>
      </c>
      <c r="AJ861">
        <v>0</v>
      </c>
      <c r="AK861">
        <v>15</v>
      </c>
      <c r="AL861" t="s">
        <v>2167</v>
      </c>
      <c r="AM861" t="s">
        <v>2168</v>
      </c>
      <c r="AN861" t="s">
        <v>2169</v>
      </c>
      <c r="AO861" t="s">
        <v>16277</v>
      </c>
      <c r="AP861" t="s">
        <v>16278</v>
      </c>
      <c r="AQ861" t="s">
        <v>74</v>
      </c>
      <c r="AR861" t="s">
        <v>16279</v>
      </c>
      <c r="AS861" t="s">
        <v>16280</v>
      </c>
      <c r="AT861" t="s">
        <v>74</v>
      </c>
      <c r="AU861">
        <v>2015</v>
      </c>
      <c r="AV861">
        <v>61</v>
      </c>
      <c r="AW861">
        <v>230</v>
      </c>
      <c r="AX861" t="s">
        <v>74</v>
      </c>
      <c r="AY861" t="s">
        <v>74</v>
      </c>
      <c r="AZ861" t="s">
        <v>74</v>
      </c>
      <c r="BA861" t="s">
        <v>74</v>
      </c>
      <c r="BB861">
        <v>1037</v>
      </c>
      <c r="BC861">
        <v>1047</v>
      </c>
      <c r="BD861" t="s">
        <v>74</v>
      </c>
      <c r="BE861" t="s">
        <v>16295</v>
      </c>
      <c r="BF861" t="str">
        <f>HYPERLINK("http://dx.doi.org/10.3189/2015JoG14J182","http://dx.doi.org/10.3189/2015JoG14J182")</f>
        <v>http://dx.doi.org/10.3189/2015JoG14J182</v>
      </c>
      <c r="BG861" t="s">
        <v>74</v>
      </c>
      <c r="BH861" t="s">
        <v>74</v>
      </c>
      <c r="BI861">
        <v>11</v>
      </c>
      <c r="BJ861" t="s">
        <v>795</v>
      </c>
      <c r="BK861" t="s">
        <v>100</v>
      </c>
      <c r="BL861" t="s">
        <v>796</v>
      </c>
      <c r="BM861" t="s">
        <v>16282</v>
      </c>
      <c r="BN861" t="s">
        <v>74</v>
      </c>
      <c r="BO861" t="s">
        <v>156</v>
      </c>
      <c r="BP861" t="s">
        <v>74</v>
      </c>
      <c r="BQ861" t="s">
        <v>74</v>
      </c>
      <c r="BR861" t="s">
        <v>104</v>
      </c>
      <c r="BS861" t="s">
        <v>16296</v>
      </c>
      <c r="BT861" t="str">
        <f>HYPERLINK("https%3A%2F%2Fwww.webofscience.com%2Fwos%2Fwoscc%2Ffull-record%2FWOS:000371653600002","View Full Record in Web of Science")</f>
        <v>View Full Record in Web of Science</v>
      </c>
    </row>
    <row r="862" spans="1:72" x14ac:dyDescent="0.15">
      <c r="A862" t="s">
        <v>72</v>
      </c>
      <c r="B862" t="s">
        <v>16297</v>
      </c>
      <c r="C862" t="s">
        <v>74</v>
      </c>
      <c r="D862" t="s">
        <v>74</v>
      </c>
      <c r="E862" t="s">
        <v>74</v>
      </c>
      <c r="F862" t="s">
        <v>16298</v>
      </c>
      <c r="G862" t="s">
        <v>74</v>
      </c>
      <c r="H862" t="s">
        <v>74</v>
      </c>
      <c r="I862" t="s">
        <v>16299</v>
      </c>
      <c r="J862" t="s">
        <v>16266</v>
      </c>
      <c r="K862" t="s">
        <v>74</v>
      </c>
      <c r="L862" t="s">
        <v>74</v>
      </c>
      <c r="M862" t="s">
        <v>78</v>
      </c>
      <c r="N862" t="s">
        <v>79</v>
      </c>
      <c r="O862" t="s">
        <v>74</v>
      </c>
      <c r="P862" t="s">
        <v>74</v>
      </c>
      <c r="Q862" t="s">
        <v>74</v>
      </c>
      <c r="R862" t="s">
        <v>74</v>
      </c>
      <c r="S862" t="s">
        <v>74</v>
      </c>
      <c r="T862" t="s">
        <v>16300</v>
      </c>
      <c r="U862" t="s">
        <v>16301</v>
      </c>
      <c r="V862" t="s">
        <v>16302</v>
      </c>
      <c r="W862" t="s">
        <v>16303</v>
      </c>
      <c r="X862" t="s">
        <v>16304</v>
      </c>
      <c r="Y862" t="s">
        <v>16305</v>
      </c>
      <c r="Z862" t="s">
        <v>16306</v>
      </c>
      <c r="AA862" t="s">
        <v>16307</v>
      </c>
      <c r="AB862" t="s">
        <v>16308</v>
      </c>
      <c r="AC862" t="s">
        <v>16309</v>
      </c>
      <c r="AD862" t="s">
        <v>16310</v>
      </c>
      <c r="AE862" t="s">
        <v>16311</v>
      </c>
      <c r="AF862" t="s">
        <v>74</v>
      </c>
      <c r="AG862">
        <v>77</v>
      </c>
      <c r="AH862">
        <v>10</v>
      </c>
      <c r="AI862">
        <v>13</v>
      </c>
      <c r="AJ862">
        <v>0</v>
      </c>
      <c r="AK862">
        <v>13</v>
      </c>
      <c r="AL862" t="s">
        <v>2167</v>
      </c>
      <c r="AM862" t="s">
        <v>2168</v>
      </c>
      <c r="AN862" t="s">
        <v>2169</v>
      </c>
      <c r="AO862" t="s">
        <v>16277</v>
      </c>
      <c r="AP862" t="s">
        <v>16278</v>
      </c>
      <c r="AQ862" t="s">
        <v>74</v>
      </c>
      <c r="AR862" t="s">
        <v>16279</v>
      </c>
      <c r="AS862" t="s">
        <v>16280</v>
      </c>
      <c r="AT862" t="s">
        <v>74</v>
      </c>
      <c r="AU862">
        <v>2015</v>
      </c>
      <c r="AV862">
        <v>61</v>
      </c>
      <c r="AW862">
        <v>230</v>
      </c>
      <c r="AX862" t="s">
        <v>74</v>
      </c>
      <c r="AY862" t="s">
        <v>74</v>
      </c>
      <c r="AZ862" t="s">
        <v>74</v>
      </c>
      <c r="BA862" t="s">
        <v>74</v>
      </c>
      <c r="BB862">
        <v>1171</v>
      </c>
      <c r="BC862">
        <v>1182</v>
      </c>
      <c r="BD862" t="s">
        <v>74</v>
      </c>
      <c r="BE862" t="s">
        <v>16312</v>
      </c>
      <c r="BF862" t="str">
        <f>HYPERLINK("http://dx.doi.org/10.3189/2015JoG15J027","http://dx.doi.org/10.3189/2015JoG15J027")</f>
        <v>http://dx.doi.org/10.3189/2015JoG15J027</v>
      </c>
      <c r="BG862" t="s">
        <v>74</v>
      </c>
      <c r="BH862" t="s">
        <v>74</v>
      </c>
      <c r="BI862">
        <v>12</v>
      </c>
      <c r="BJ862" t="s">
        <v>795</v>
      </c>
      <c r="BK862" t="s">
        <v>100</v>
      </c>
      <c r="BL862" t="s">
        <v>796</v>
      </c>
      <c r="BM862" t="s">
        <v>16282</v>
      </c>
      <c r="BN862" t="s">
        <v>74</v>
      </c>
      <c r="BO862" t="s">
        <v>3356</v>
      </c>
      <c r="BP862" t="s">
        <v>74</v>
      </c>
      <c r="BQ862" t="s">
        <v>74</v>
      </c>
      <c r="BR862" t="s">
        <v>104</v>
      </c>
      <c r="BS862" t="s">
        <v>16313</v>
      </c>
      <c r="BT862" t="str">
        <f>HYPERLINK("https%3A%2F%2Fwww.webofscience.com%2Fwos%2Fwoscc%2Ffull-record%2FWOS:000371653600013","View Full Record in Web of Science")</f>
        <v>View Full Record in Web of Science</v>
      </c>
    </row>
    <row r="863" spans="1:72" x14ac:dyDescent="0.15">
      <c r="A863" t="s">
        <v>72</v>
      </c>
      <c r="B863" t="s">
        <v>16314</v>
      </c>
      <c r="C863" t="s">
        <v>74</v>
      </c>
      <c r="D863" t="s">
        <v>74</v>
      </c>
      <c r="E863" t="s">
        <v>74</v>
      </c>
      <c r="F863" t="s">
        <v>16315</v>
      </c>
      <c r="G863" t="s">
        <v>74</v>
      </c>
      <c r="H863" t="s">
        <v>74</v>
      </c>
      <c r="I863" t="s">
        <v>16316</v>
      </c>
      <c r="J863" t="s">
        <v>16266</v>
      </c>
      <c r="K863" t="s">
        <v>74</v>
      </c>
      <c r="L863" t="s">
        <v>74</v>
      </c>
      <c r="M863" t="s">
        <v>78</v>
      </c>
      <c r="N863" t="s">
        <v>79</v>
      </c>
      <c r="O863" t="s">
        <v>74</v>
      </c>
      <c r="P863" t="s">
        <v>74</v>
      </c>
      <c r="Q863" t="s">
        <v>74</v>
      </c>
      <c r="R863" t="s">
        <v>74</v>
      </c>
      <c r="S863" t="s">
        <v>74</v>
      </c>
      <c r="T863" t="s">
        <v>16317</v>
      </c>
      <c r="U863" t="s">
        <v>16318</v>
      </c>
      <c r="V863" t="s">
        <v>16319</v>
      </c>
      <c r="W863" t="s">
        <v>16320</v>
      </c>
      <c r="X863" t="s">
        <v>16321</v>
      </c>
      <c r="Y863" t="s">
        <v>16322</v>
      </c>
      <c r="Z863" t="s">
        <v>16323</v>
      </c>
      <c r="AA863" t="s">
        <v>16324</v>
      </c>
      <c r="AB863" t="s">
        <v>16325</v>
      </c>
      <c r="AC863" t="s">
        <v>16326</v>
      </c>
      <c r="AD863" t="s">
        <v>16327</v>
      </c>
      <c r="AE863" t="s">
        <v>16328</v>
      </c>
      <c r="AF863" t="s">
        <v>74</v>
      </c>
      <c r="AG863">
        <v>45</v>
      </c>
      <c r="AH863">
        <v>5</v>
      </c>
      <c r="AI863">
        <v>5</v>
      </c>
      <c r="AJ863">
        <v>1</v>
      </c>
      <c r="AK863">
        <v>7</v>
      </c>
      <c r="AL863" t="s">
        <v>16329</v>
      </c>
      <c r="AM863" t="s">
        <v>2168</v>
      </c>
      <c r="AN863" t="s">
        <v>16330</v>
      </c>
      <c r="AO863" t="s">
        <v>16277</v>
      </c>
      <c r="AP863" t="s">
        <v>16278</v>
      </c>
      <c r="AQ863" t="s">
        <v>74</v>
      </c>
      <c r="AR863" t="s">
        <v>16279</v>
      </c>
      <c r="AS863" t="s">
        <v>16280</v>
      </c>
      <c r="AT863" t="s">
        <v>74</v>
      </c>
      <c r="AU863">
        <v>2015</v>
      </c>
      <c r="AV863">
        <v>61</v>
      </c>
      <c r="AW863">
        <v>230</v>
      </c>
      <c r="AX863" t="s">
        <v>74</v>
      </c>
      <c r="AY863" t="s">
        <v>74</v>
      </c>
      <c r="AZ863" t="s">
        <v>74</v>
      </c>
      <c r="BA863" t="s">
        <v>74</v>
      </c>
      <c r="BB863">
        <v>1183</v>
      </c>
      <c r="BC863">
        <v>1193</v>
      </c>
      <c r="BD863" t="s">
        <v>74</v>
      </c>
      <c r="BE863" t="s">
        <v>16331</v>
      </c>
      <c r="BF863" t="str">
        <f>HYPERLINK("http://dx.doi.org/10.3189/2015JoG15J028","http://dx.doi.org/10.3189/2015JoG15J028")</f>
        <v>http://dx.doi.org/10.3189/2015JoG15J028</v>
      </c>
      <c r="BG863" t="s">
        <v>74</v>
      </c>
      <c r="BH863" t="s">
        <v>74</v>
      </c>
      <c r="BI863">
        <v>11</v>
      </c>
      <c r="BJ863" t="s">
        <v>795</v>
      </c>
      <c r="BK863" t="s">
        <v>100</v>
      </c>
      <c r="BL863" t="s">
        <v>796</v>
      </c>
      <c r="BM863" t="s">
        <v>16282</v>
      </c>
      <c r="BN863" t="s">
        <v>74</v>
      </c>
      <c r="BO863" t="s">
        <v>16332</v>
      </c>
      <c r="BP863" t="s">
        <v>74</v>
      </c>
      <c r="BQ863" t="s">
        <v>74</v>
      </c>
      <c r="BR863" t="s">
        <v>104</v>
      </c>
      <c r="BS863" t="s">
        <v>16333</v>
      </c>
      <c r="BT863" t="str">
        <f>HYPERLINK("https%3A%2F%2Fwww.webofscience.com%2Fwos%2Fwoscc%2Ffull-record%2FWOS:000371653600014","View Full Record in Web of Science")</f>
        <v>View Full Record in Web of Science</v>
      </c>
    </row>
    <row r="864" spans="1:72" x14ac:dyDescent="0.15">
      <c r="A864" t="s">
        <v>72</v>
      </c>
      <c r="B864" t="s">
        <v>16334</v>
      </c>
      <c r="C864" t="s">
        <v>74</v>
      </c>
      <c r="D864" t="s">
        <v>74</v>
      </c>
      <c r="E864" t="s">
        <v>74</v>
      </c>
      <c r="F864" t="s">
        <v>16335</v>
      </c>
      <c r="G864" t="s">
        <v>74</v>
      </c>
      <c r="H864" t="s">
        <v>74</v>
      </c>
      <c r="I864" t="s">
        <v>16336</v>
      </c>
      <c r="J864" t="s">
        <v>16337</v>
      </c>
      <c r="K864" t="s">
        <v>74</v>
      </c>
      <c r="L864" t="s">
        <v>74</v>
      </c>
      <c r="M864" t="s">
        <v>78</v>
      </c>
      <c r="N864" t="s">
        <v>79</v>
      </c>
      <c r="O864" t="s">
        <v>74</v>
      </c>
      <c r="P864" t="s">
        <v>74</v>
      </c>
      <c r="Q864" t="s">
        <v>74</v>
      </c>
      <c r="R864" t="s">
        <v>74</v>
      </c>
      <c r="S864" t="s">
        <v>74</v>
      </c>
      <c r="T864" t="s">
        <v>16338</v>
      </c>
      <c r="U864" t="s">
        <v>16339</v>
      </c>
      <c r="V864" t="s">
        <v>16340</v>
      </c>
      <c r="W864" t="s">
        <v>16341</v>
      </c>
      <c r="X864" t="s">
        <v>16342</v>
      </c>
      <c r="Y864" t="s">
        <v>16343</v>
      </c>
      <c r="Z864" t="s">
        <v>16344</v>
      </c>
      <c r="AA864" t="s">
        <v>16345</v>
      </c>
      <c r="AB864" t="s">
        <v>16346</v>
      </c>
      <c r="AC864" t="s">
        <v>16347</v>
      </c>
      <c r="AD864" t="s">
        <v>16348</v>
      </c>
      <c r="AE864" t="s">
        <v>16349</v>
      </c>
      <c r="AF864" t="s">
        <v>74</v>
      </c>
      <c r="AG864">
        <v>80</v>
      </c>
      <c r="AH864">
        <v>17</v>
      </c>
      <c r="AI864">
        <v>17</v>
      </c>
      <c r="AJ864">
        <v>3</v>
      </c>
      <c r="AK864">
        <v>14</v>
      </c>
      <c r="AL864" t="s">
        <v>1085</v>
      </c>
      <c r="AM864" t="s">
        <v>1086</v>
      </c>
      <c r="AN864" t="s">
        <v>1087</v>
      </c>
      <c r="AO864" t="s">
        <v>16350</v>
      </c>
      <c r="AP864" t="s">
        <v>16351</v>
      </c>
      <c r="AQ864" t="s">
        <v>74</v>
      </c>
      <c r="AR864" t="s">
        <v>16352</v>
      </c>
      <c r="AS864" t="s">
        <v>16353</v>
      </c>
      <c r="AT864" t="s">
        <v>74</v>
      </c>
      <c r="AU864">
        <v>2015</v>
      </c>
      <c r="AV864">
        <v>76</v>
      </c>
      <c r="AW864">
        <v>3</v>
      </c>
      <c r="AX864" t="s">
        <v>74</v>
      </c>
      <c r="AY864" t="s">
        <v>74</v>
      </c>
      <c r="AZ864" t="s">
        <v>74</v>
      </c>
      <c r="BA864" t="s">
        <v>74</v>
      </c>
      <c r="BB864">
        <v>219</v>
      </c>
      <c r="BC864">
        <v>232</v>
      </c>
      <c r="BD864" t="s">
        <v>74</v>
      </c>
      <c r="BE864" t="s">
        <v>16354</v>
      </c>
      <c r="BF864" t="str">
        <f>HYPERLINK("http://dx.doi.org/10.3354/ame01780","http://dx.doi.org/10.3354/ame01780")</f>
        <v>http://dx.doi.org/10.3354/ame01780</v>
      </c>
      <c r="BG864" t="s">
        <v>74</v>
      </c>
      <c r="BH864" t="s">
        <v>74</v>
      </c>
      <c r="BI864">
        <v>14</v>
      </c>
      <c r="BJ864" t="s">
        <v>6827</v>
      </c>
      <c r="BK864" t="s">
        <v>100</v>
      </c>
      <c r="BL864" t="s">
        <v>6828</v>
      </c>
      <c r="BM864" t="s">
        <v>16355</v>
      </c>
      <c r="BN864" t="s">
        <v>74</v>
      </c>
      <c r="BO864" t="s">
        <v>12233</v>
      </c>
      <c r="BP864" t="s">
        <v>74</v>
      </c>
      <c r="BQ864" t="s">
        <v>74</v>
      </c>
      <c r="BR864" t="s">
        <v>104</v>
      </c>
      <c r="BS864" t="s">
        <v>16356</v>
      </c>
      <c r="BT864" t="str">
        <f>HYPERLINK("https%3A%2F%2Fwww.webofscience.com%2Fwos%2Fwoscc%2Ffull-record%2FWOS:000371303900005","View Full Record in Web of Science")</f>
        <v>View Full Record in Web of Science</v>
      </c>
    </row>
    <row r="865" spans="1:72" x14ac:dyDescent="0.15">
      <c r="A865" t="s">
        <v>15464</v>
      </c>
      <c r="B865" t="s">
        <v>16357</v>
      </c>
      <c r="C865" t="s">
        <v>74</v>
      </c>
      <c r="D865" t="s">
        <v>74</v>
      </c>
      <c r="E865" t="s">
        <v>16358</v>
      </c>
      <c r="F865" t="s">
        <v>16359</v>
      </c>
      <c r="G865" t="s">
        <v>74</v>
      </c>
      <c r="H865" t="s">
        <v>74</v>
      </c>
      <c r="I865" t="s">
        <v>16360</v>
      </c>
      <c r="J865" t="s">
        <v>16361</v>
      </c>
      <c r="K865" t="s">
        <v>16362</v>
      </c>
      <c r="L865" t="s">
        <v>74</v>
      </c>
      <c r="M865" t="s">
        <v>78</v>
      </c>
      <c r="N865" t="s">
        <v>15471</v>
      </c>
      <c r="O865" t="s">
        <v>16363</v>
      </c>
      <c r="P865" t="s">
        <v>16364</v>
      </c>
      <c r="Q865" t="s">
        <v>16365</v>
      </c>
      <c r="R865" t="s">
        <v>74</v>
      </c>
      <c r="S865" t="s">
        <v>74</v>
      </c>
      <c r="T865" t="s">
        <v>16366</v>
      </c>
      <c r="U865" t="s">
        <v>16367</v>
      </c>
      <c r="V865" t="s">
        <v>16368</v>
      </c>
      <c r="W865" t="s">
        <v>16369</v>
      </c>
      <c r="X865" t="s">
        <v>16370</v>
      </c>
      <c r="Y865" t="s">
        <v>16371</v>
      </c>
      <c r="Z865" t="s">
        <v>74</v>
      </c>
      <c r="AA865" t="s">
        <v>16372</v>
      </c>
      <c r="AB865" t="s">
        <v>16373</v>
      </c>
      <c r="AC865" t="s">
        <v>74</v>
      </c>
      <c r="AD865" t="s">
        <v>74</v>
      </c>
      <c r="AE865" t="s">
        <v>74</v>
      </c>
      <c r="AF865" t="s">
        <v>74</v>
      </c>
      <c r="AG865">
        <v>12</v>
      </c>
      <c r="AH865">
        <v>0</v>
      </c>
      <c r="AI865">
        <v>0</v>
      </c>
      <c r="AJ865">
        <v>0</v>
      </c>
      <c r="AK865">
        <v>2</v>
      </c>
      <c r="AL865" t="s">
        <v>16374</v>
      </c>
      <c r="AM865" t="s">
        <v>16375</v>
      </c>
      <c r="AN865" t="s">
        <v>16376</v>
      </c>
      <c r="AO865" t="s">
        <v>16377</v>
      </c>
      <c r="AP865" t="s">
        <v>74</v>
      </c>
      <c r="AQ865" t="s">
        <v>16378</v>
      </c>
      <c r="AR865" t="s">
        <v>16379</v>
      </c>
      <c r="AS865" t="s">
        <v>74</v>
      </c>
      <c r="AT865" t="s">
        <v>74</v>
      </c>
      <c r="AU865">
        <v>2015</v>
      </c>
      <c r="AV865" t="s">
        <v>74</v>
      </c>
      <c r="AW865" t="s">
        <v>74</v>
      </c>
      <c r="AX865" t="s">
        <v>74</v>
      </c>
      <c r="AY865" t="s">
        <v>74</v>
      </c>
      <c r="AZ865" t="s">
        <v>74</v>
      </c>
      <c r="BA865" t="s">
        <v>74</v>
      </c>
      <c r="BB865">
        <v>19</v>
      </c>
      <c r="BC865">
        <v>24</v>
      </c>
      <c r="BD865" t="s">
        <v>74</v>
      </c>
      <c r="BE865" t="s">
        <v>74</v>
      </c>
      <c r="BF865" t="s">
        <v>74</v>
      </c>
      <c r="BG865" t="s">
        <v>74</v>
      </c>
      <c r="BH865" t="s">
        <v>74</v>
      </c>
      <c r="BI865">
        <v>6</v>
      </c>
      <c r="BJ865" t="s">
        <v>219</v>
      </c>
      <c r="BK865" t="s">
        <v>15487</v>
      </c>
      <c r="BL865" t="s">
        <v>220</v>
      </c>
      <c r="BM865" t="s">
        <v>16380</v>
      </c>
      <c r="BN865" t="s">
        <v>74</v>
      </c>
      <c r="BO865" t="s">
        <v>74</v>
      </c>
      <c r="BP865" t="s">
        <v>74</v>
      </c>
      <c r="BQ865" t="s">
        <v>74</v>
      </c>
      <c r="BR865" t="s">
        <v>104</v>
      </c>
      <c r="BS865" t="s">
        <v>16381</v>
      </c>
      <c r="BT865" t="str">
        <f>HYPERLINK("https%3A%2F%2Fwww.webofscience.com%2Fwos%2Fwoscc%2Ffull-record%2FWOS:000370813400003","View Full Record in Web of Science")</f>
        <v>View Full Record in Web of Science</v>
      </c>
    </row>
    <row r="866" spans="1:72" x14ac:dyDescent="0.15">
      <c r="A866" t="s">
        <v>15464</v>
      </c>
      <c r="B866" t="s">
        <v>16382</v>
      </c>
      <c r="C866" t="s">
        <v>74</v>
      </c>
      <c r="D866" t="s">
        <v>74</v>
      </c>
      <c r="E866" t="s">
        <v>16358</v>
      </c>
      <c r="F866" t="s">
        <v>16383</v>
      </c>
      <c r="G866" t="s">
        <v>74</v>
      </c>
      <c r="H866" t="s">
        <v>74</v>
      </c>
      <c r="I866" t="s">
        <v>16384</v>
      </c>
      <c r="J866" t="s">
        <v>16361</v>
      </c>
      <c r="K866" t="s">
        <v>16362</v>
      </c>
      <c r="L866" t="s">
        <v>74</v>
      </c>
      <c r="M866" t="s">
        <v>78</v>
      </c>
      <c r="N866" t="s">
        <v>15471</v>
      </c>
      <c r="O866" t="s">
        <v>16363</v>
      </c>
      <c r="P866" t="s">
        <v>16364</v>
      </c>
      <c r="Q866" t="s">
        <v>16365</v>
      </c>
      <c r="R866" t="s">
        <v>74</v>
      </c>
      <c r="S866" t="s">
        <v>74</v>
      </c>
      <c r="T866" t="s">
        <v>16385</v>
      </c>
      <c r="U866" t="s">
        <v>74</v>
      </c>
      <c r="V866" t="s">
        <v>16386</v>
      </c>
      <c r="W866" t="s">
        <v>16387</v>
      </c>
      <c r="X866" t="s">
        <v>16388</v>
      </c>
      <c r="Y866" t="s">
        <v>16389</v>
      </c>
      <c r="Z866" t="s">
        <v>74</v>
      </c>
      <c r="AA866" t="s">
        <v>16390</v>
      </c>
      <c r="AB866" t="s">
        <v>74</v>
      </c>
      <c r="AC866" t="s">
        <v>74</v>
      </c>
      <c r="AD866" t="s">
        <v>74</v>
      </c>
      <c r="AE866" t="s">
        <v>74</v>
      </c>
      <c r="AF866" t="s">
        <v>74</v>
      </c>
      <c r="AG866">
        <v>7</v>
      </c>
      <c r="AH866">
        <v>0</v>
      </c>
      <c r="AI866">
        <v>0</v>
      </c>
      <c r="AJ866">
        <v>0</v>
      </c>
      <c r="AK866">
        <v>2</v>
      </c>
      <c r="AL866" t="s">
        <v>16374</v>
      </c>
      <c r="AM866" t="s">
        <v>16375</v>
      </c>
      <c r="AN866" t="s">
        <v>16376</v>
      </c>
      <c r="AO866" t="s">
        <v>16377</v>
      </c>
      <c r="AP866" t="s">
        <v>74</v>
      </c>
      <c r="AQ866" t="s">
        <v>16378</v>
      </c>
      <c r="AR866" t="s">
        <v>16379</v>
      </c>
      <c r="AS866" t="s">
        <v>74</v>
      </c>
      <c r="AT866" t="s">
        <v>74</v>
      </c>
      <c r="AU866">
        <v>2015</v>
      </c>
      <c r="AV866" t="s">
        <v>74</v>
      </c>
      <c r="AW866" t="s">
        <v>74</v>
      </c>
      <c r="AX866" t="s">
        <v>74</v>
      </c>
      <c r="AY866" t="s">
        <v>74</v>
      </c>
      <c r="AZ866" t="s">
        <v>74</v>
      </c>
      <c r="BA866" t="s">
        <v>74</v>
      </c>
      <c r="BB866">
        <v>685</v>
      </c>
      <c r="BC866">
        <v>692</v>
      </c>
      <c r="BD866" t="s">
        <v>74</v>
      </c>
      <c r="BE866" t="s">
        <v>74</v>
      </c>
      <c r="BF866" t="s">
        <v>74</v>
      </c>
      <c r="BG866" t="s">
        <v>74</v>
      </c>
      <c r="BH866" t="s">
        <v>74</v>
      </c>
      <c r="BI866">
        <v>8</v>
      </c>
      <c r="BJ866" t="s">
        <v>219</v>
      </c>
      <c r="BK866" t="s">
        <v>15487</v>
      </c>
      <c r="BL866" t="s">
        <v>220</v>
      </c>
      <c r="BM866" t="s">
        <v>16380</v>
      </c>
      <c r="BN866" t="s">
        <v>74</v>
      </c>
      <c r="BO866" t="s">
        <v>74</v>
      </c>
      <c r="BP866" t="s">
        <v>74</v>
      </c>
      <c r="BQ866" t="s">
        <v>74</v>
      </c>
      <c r="BR866" t="s">
        <v>104</v>
      </c>
      <c r="BS866" t="s">
        <v>16391</v>
      </c>
      <c r="BT866" t="str">
        <f>HYPERLINK("https%3A%2F%2Fwww.webofscience.com%2Fwos%2Fwoscc%2Ffull-record%2FWOS:000370813400090","View Full Record in Web of Science")</f>
        <v>View Full Record in Web of Science</v>
      </c>
    </row>
    <row r="867" spans="1:72" x14ac:dyDescent="0.15">
      <c r="A867" t="s">
        <v>72</v>
      </c>
      <c r="B867" t="s">
        <v>16392</v>
      </c>
      <c r="C867" t="s">
        <v>74</v>
      </c>
      <c r="D867" t="s">
        <v>74</v>
      </c>
      <c r="E867" t="s">
        <v>74</v>
      </c>
      <c r="F867" t="s">
        <v>16393</v>
      </c>
      <c r="G867" t="s">
        <v>74</v>
      </c>
      <c r="H867" t="s">
        <v>74</v>
      </c>
      <c r="I867" t="s">
        <v>16394</v>
      </c>
      <c r="J867" t="s">
        <v>16395</v>
      </c>
      <c r="K867" t="s">
        <v>74</v>
      </c>
      <c r="L867" t="s">
        <v>74</v>
      </c>
      <c r="M867" t="s">
        <v>78</v>
      </c>
      <c r="N867" t="s">
        <v>79</v>
      </c>
      <c r="O867" t="s">
        <v>74</v>
      </c>
      <c r="P867" t="s">
        <v>74</v>
      </c>
      <c r="Q867" t="s">
        <v>74</v>
      </c>
      <c r="R867" t="s">
        <v>74</v>
      </c>
      <c r="S867" t="s">
        <v>74</v>
      </c>
      <c r="T867" t="s">
        <v>16396</v>
      </c>
      <c r="U867" t="s">
        <v>16397</v>
      </c>
      <c r="V867" t="s">
        <v>16398</v>
      </c>
      <c r="W867" t="s">
        <v>16399</v>
      </c>
      <c r="X867" t="s">
        <v>16400</v>
      </c>
      <c r="Y867" t="s">
        <v>16401</v>
      </c>
      <c r="Z867" t="s">
        <v>16402</v>
      </c>
      <c r="AA867" t="s">
        <v>11053</v>
      </c>
      <c r="AB867" t="s">
        <v>74</v>
      </c>
      <c r="AC867" t="s">
        <v>16403</v>
      </c>
      <c r="AD867" t="s">
        <v>16404</v>
      </c>
      <c r="AE867" t="s">
        <v>16405</v>
      </c>
      <c r="AF867" t="s">
        <v>74</v>
      </c>
      <c r="AG867">
        <v>65</v>
      </c>
      <c r="AH867">
        <v>4</v>
      </c>
      <c r="AI867">
        <v>4</v>
      </c>
      <c r="AJ867">
        <v>0</v>
      </c>
      <c r="AK867">
        <v>4</v>
      </c>
      <c r="AL867" t="s">
        <v>16406</v>
      </c>
      <c r="AM867" t="s">
        <v>16407</v>
      </c>
      <c r="AN867" t="s">
        <v>16408</v>
      </c>
      <c r="AO867" t="s">
        <v>16409</v>
      </c>
      <c r="AP867" t="s">
        <v>74</v>
      </c>
      <c r="AQ867" t="s">
        <v>74</v>
      </c>
      <c r="AR867" t="s">
        <v>16410</v>
      </c>
      <c r="AS867" t="s">
        <v>16411</v>
      </c>
      <c r="AT867" t="s">
        <v>15921</v>
      </c>
      <c r="AU867">
        <v>2015</v>
      </c>
      <c r="AV867">
        <v>7</v>
      </c>
      <c r="AW867">
        <v>1</v>
      </c>
      <c r="AX867" t="s">
        <v>74</v>
      </c>
      <c r="AY867" t="s">
        <v>74</v>
      </c>
      <c r="AZ867" t="s">
        <v>74</v>
      </c>
      <c r="BA867" t="s">
        <v>74</v>
      </c>
      <c r="BB867">
        <v>264</v>
      </c>
      <c r="BC867">
        <v>288</v>
      </c>
      <c r="BD867" t="s">
        <v>74</v>
      </c>
      <c r="BE867" t="s">
        <v>16412</v>
      </c>
      <c r="BF867" t="str">
        <f>HYPERLINK("http://dx.doi.org/10.1515/geo-2015-0014","http://dx.doi.org/10.1515/geo-2015-0014")</f>
        <v>http://dx.doi.org/10.1515/geo-2015-0014</v>
      </c>
      <c r="BG867" t="s">
        <v>74</v>
      </c>
      <c r="BH867" t="s">
        <v>74</v>
      </c>
      <c r="BI867">
        <v>25</v>
      </c>
      <c r="BJ867" t="s">
        <v>219</v>
      </c>
      <c r="BK867" t="s">
        <v>100</v>
      </c>
      <c r="BL867" t="s">
        <v>220</v>
      </c>
      <c r="BM867" t="s">
        <v>16413</v>
      </c>
      <c r="BN867" t="s">
        <v>74</v>
      </c>
      <c r="BO867" t="s">
        <v>4689</v>
      </c>
      <c r="BP867" t="s">
        <v>74</v>
      </c>
      <c r="BQ867" t="s">
        <v>74</v>
      </c>
      <c r="BR867" t="s">
        <v>104</v>
      </c>
      <c r="BS867" t="s">
        <v>16414</v>
      </c>
      <c r="BT867" t="str">
        <f>HYPERLINK("https%3A%2F%2Fwww.webofscience.com%2Fwos%2Fwoscc%2Ffull-record%2FWOS:000371283800017","View Full Record in Web of Science")</f>
        <v>View Full Record in Web of Science</v>
      </c>
    </row>
    <row r="868" spans="1:72" x14ac:dyDescent="0.15">
      <c r="A868" t="s">
        <v>72</v>
      </c>
      <c r="B868" t="s">
        <v>16415</v>
      </c>
      <c r="C868" t="s">
        <v>74</v>
      </c>
      <c r="D868" t="s">
        <v>74</v>
      </c>
      <c r="E868" t="s">
        <v>74</v>
      </c>
      <c r="F868" t="s">
        <v>16416</v>
      </c>
      <c r="G868" t="s">
        <v>74</v>
      </c>
      <c r="H868" t="s">
        <v>74</v>
      </c>
      <c r="I868" t="s">
        <v>16417</v>
      </c>
      <c r="J868" t="s">
        <v>16418</v>
      </c>
      <c r="K868" t="s">
        <v>74</v>
      </c>
      <c r="L868" t="s">
        <v>74</v>
      </c>
      <c r="M868" t="s">
        <v>78</v>
      </c>
      <c r="N868" t="s">
        <v>79</v>
      </c>
      <c r="O868" t="s">
        <v>74</v>
      </c>
      <c r="P868" t="s">
        <v>74</v>
      </c>
      <c r="Q868" t="s">
        <v>74</v>
      </c>
      <c r="R868" t="s">
        <v>74</v>
      </c>
      <c r="S868" t="s">
        <v>74</v>
      </c>
      <c r="T868" t="s">
        <v>74</v>
      </c>
      <c r="U868" t="s">
        <v>16419</v>
      </c>
      <c r="V868" t="s">
        <v>16420</v>
      </c>
      <c r="W868" t="s">
        <v>16421</v>
      </c>
      <c r="X868" t="s">
        <v>16422</v>
      </c>
      <c r="Y868" t="s">
        <v>16423</v>
      </c>
      <c r="Z868" t="s">
        <v>16424</v>
      </c>
      <c r="AA868" t="s">
        <v>74</v>
      </c>
      <c r="AB868" t="s">
        <v>16425</v>
      </c>
      <c r="AC868" t="s">
        <v>74</v>
      </c>
      <c r="AD868" t="s">
        <v>74</v>
      </c>
      <c r="AE868" t="s">
        <v>74</v>
      </c>
      <c r="AF868" t="s">
        <v>74</v>
      </c>
      <c r="AG868">
        <v>21</v>
      </c>
      <c r="AH868">
        <v>12</v>
      </c>
      <c r="AI868">
        <v>14</v>
      </c>
      <c r="AJ868">
        <v>0</v>
      </c>
      <c r="AK868">
        <v>2</v>
      </c>
      <c r="AL868" t="s">
        <v>16426</v>
      </c>
      <c r="AM868" t="s">
        <v>16427</v>
      </c>
      <c r="AN868" t="s">
        <v>16428</v>
      </c>
      <c r="AO868" t="s">
        <v>16429</v>
      </c>
      <c r="AP868" t="s">
        <v>16430</v>
      </c>
      <c r="AQ868" t="s">
        <v>74</v>
      </c>
      <c r="AR868" t="s">
        <v>16418</v>
      </c>
      <c r="AS868" t="s">
        <v>16431</v>
      </c>
      <c r="AT868" t="s">
        <v>74</v>
      </c>
      <c r="AU868">
        <v>2015</v>
      </c>
      <c r="AV868">
        <v>45</v>
      </c>
      <c r="AW868">
        <v>1</v>
      </c>
      <c r="AX868" t="s">
        <v>74</v>
      </c>
      <c r="AY868" t="s">
        <v>74</v>
      </c>
      <c r="AZ868" t="s">
        <v>74</v>
      </c>
      <c r="BA868" t="s">
        <v>74</v>
      </c>
      <c r="BB868" t="s">
        <v>74</v>
      </c>
      <c r="BC868" t="s">
        <v>74</v>
      </c>
      <c r="BD868">
        <v>148</v>
      </c>
      <c r="BE868" t="s">
        <v>16432</v>
      </c>
      <c r="BF868" t="str">
        <f>HYPERLINK("http://dx.doi.org/10.4102/abc.v45i1.148","http://dx.doi.org/10.4102/abc.v45i1.148")</f>
        <v>http://dx.doi.org/10.4102/abc.v45i1.148</v>
      </c>
      <c r="BG868" t="s">
        <v>74</v>
      </c>
      <c r="BH868" t="s">
        <v>74</v>
      </c>
      <c r="BI868">
        <v>4</v>
      </c>
      <c r="BJ868" t="s">
        <v>679</v>
      </c>
      <c r="BK868" t="s">
        <v>100</v>
      </c>
      <c r="BL868" t="s">
        <v>679</v>
      </c>
      <c r="BM868" t="s">
        <v>16433</v>
      </c>
      <c r="BN868" t="s">
        <v>74</v>
      </c>
      <c r="BO868" t="s">
        <v>12815</v>
      </c>
      <c r="BP868" t="s">
        <v>74</v>
      </c>
      <c r="BQ868" t="s">
        <v>74</v>
      </c>
      <c r="BR868" t="s">
        <v>104</v>
      </c>
      <c r="BS868" t="s">
        <v>16434</v>
      </c>
      <c r="BT868" t="str">
        <f>HYPERLINK("https%3A%2F%2Fwww.webofscience.com%2Fwos%2Fwoscc%2Ffull-record%2FWOS:000369826500003","View Full Record in Web of Science")</f>
        <v>View Full Record in Web of Science</v>
      </c>
    </row>
    <row r="869" spans="1:72" x14ac:dyDescent="0.15">
      <c r="A869" t="s">
        <v>72</v>
      </c>
      <c r="B869" t="s">
        <v>16435</v>
      </c>
      <c r="C869" t="s">
        <v>74</v>
      </c>
      <c r="D869" t="s">
        <v>74</v>
      </c>
      <c r="E869" t="s">
        <v>74</v>
      </c>
      <c r="F869" t="s">
        <v>16436</v>
      </c>
      <c r="G869" t="s">
        <v>74</v>
      </c>
      <c r="H869" t="s">
        <v>74</v>
      </c>
      <c r="I869" t="s">
        <v>16437</v>
      </c>
      <c r="J869" t="s">
        <v>16438</v>
      </c>
      <c r="K869" t="s">
        <v>74</v>
      </c>
      <c r="L869" t="s">
        <v>74</v>
      </c>
      <c r="M869" t="s">
        <v>78</v>
      </c>
      <c r="N869" t="s">
        <v>79</v>
      </c>
      <c r="O869" t="s">
        <v>74</v>
      </c>
      <c r="P869" t="s">
        <v>74</v>
      </c>
      <c r="Q869" t="s">
        <v>74</v>
      </c>
      <c r="R869" t="s">
        <v>74</v>
      </c>
      <c r="S869" t="s">
        <v>74</v>
      </c>
      <c r="T869" t="s">
        <v>74</v>
      </c>
      <c r="U869" t="s">
        <v>16439</v>
      </c>
      <c r="V869" t="s">
        <v>16440</v>
      </c>
      <c r="W869" t="s">
        <v>16441</v>
      </c>
      <c r="X869" t="s">
        <v>16442</v>
      </c>
      <c r="Y869" t="s">
        <v>16443</v>
      </c>
      <c r="Z869" t="s">
        <v>16444</v>
      </c>
      <c r="AA869" t="s">
        <v>16445</v>
      </c>
      <c r="AB869" t="s">
        <v>74</v>
      </c>
      <c r="AC869" t="s">
        <v>16446</v>
      </c>
      <c r="AD869" t="s">
        <v>16447</v>
      </c>
      <c r="AE869" t="s">
        <v>16448</v>
      </c>
      <c r="AF869" t="s">
        <v>74</v>
      </c>
      <c r="AG869">
        <v>45</v>
      </c>
      <c r="AH869">
        <v>11</v>
      </c>
      <c r="AI869">
        <v>11</v>
      </c>
      <c r="AJ869">
        <v>1</v>
      </c>
      <c r="AK869">
        <v>22</v>
      </c>
      <c r="AL869" t="s">
        <v>16449</v>
      </c>
      <c r="AM869" t="s">
        <v>16450</v>
      </c>
      <c r="AN869" t="s">
        <v>16451</v>
      </c>
      <c r="AO869" t="s">
        <v>16452</v>
      </c>
      <c r="AP869" t="s">
        <v>74</v>
      </c>
      <c r="AQ869" t="s">
        <v>74</v>
      </c>
      <c r="AR869" t="s">
        <v>16453</v>
      </c>
      <c r="AS869" t="s">
        <v>16454</v>
      </c>
      <c r="AT869" t="s">
        <v>74</v>
      </c>
      <c r="AU869">
        <v>2015</v>
      </c>
      <c r="AV869">
        <v>22</v>
      </c>
      <c r="AW869" t="s">
        <v>74</v>
      </c>
      <c r="AX869" t="s">
        <v>74</v>
      </c>
      <c r="AY869" t="s">
        <v>74</v>
      </c>
      <c r="AZ869" t="s">
        <v>74</v>
      </c>
      <c r="BA869" t="s">
        <v>74</v>
      </c>
      <c r="BB869">
        <v>29</v>
      </c>
      <c r="BC869">
        <v>43</v>
      </c>
      <c r="BD869" t="s">
        <v>74</v>
      </c>
      <c r="BE869" t="s">
        <v>74</v>
      </c>
      <c r="BF869" t="s">
        <v>74</v>
      </c>
      <c r="BG869" t="s">
        <v>74</v>
      </c>
      <c r="BH869" t="s">
        <v>74</v>
      </c>
      <c r="BI869">
        <v>15</v>
      </c>
      <c r="BJ869" t="s">
        <v>2622</v>
      </c>
      <c r="BK869" t="s">
        <v>100</v>
      </c>
      <c r="BL869" t="s">
        <v>2622</v>
      </c>
      <c r="BM869" t="s">
        <v>16455</v>
      </c>
      <c r="BN869" t="s">
        <v>74</v>
      </c>
      <c r="BO869" t="s">
        <v>74</v>
      </c>
      <c r="BP869" t="s">
        <v>74</v>
      </c>
      <c r="BQ869" t="s">
        <v>74</v>
      </c>
      <c r="BR869" t="s">
        <v>104</v>
      </c>
      <c r="BS869" t="s">
        <v>16456</v>
      </c>
      <c r="BT869" t="str">
        <f>HYPERLINK("https%3A%2F%2Fwww.webofscience.com%2Fwos%2Fwoscc%2Ffull-record%2FWOS:000369884300003","View Full Record in Web of Science")</f>
        <v>View Full Record in Web of Science</v>
      </c>
    </row>
    <row r="870" spans="1:72" x14ac:dyDescent="0.15">
      <c r="A870" t="s">
        <v>72</v>
      </c>
      <c r="B870" t="s">
        <v>16457</v>
      </c>
      <c r="C870" t="s">
        <v>74</v>
      </c>
      <c r="D870" t="s">
        <v>74</v>
      </c>
      <c r="E870" t="s">
        <v>74</v>
      </c>
      <c r="F870" t="s">
        <v>16458</v>
      </c>
      <c r="G870" t="s">
        <v>74</v>
      </c>
      <c r="H870" t="s">
        <v>74</v>
      </c>
      <c r="I870" t="s">
        <v>16459</v>
      </c>
      <c r="J870" t="s">
        <v>1196</v>
      </c>
      <c r="K870" t="s">
        <v>74</v>
      </c>
      <c r="L870" t="s">
        <v>74</v>
      </c>
      <c r="M870" t="s">
        <v>78</v>
      </c>
      <c r="N870" t="s">
        <v>79</v>
      </c>
      <c r="O870" t="s">
        <v>74</v>
      </c>
      <c r="P870" t="s">
        <v>74</v>
      </c>
      <c r="Q870" t="s">
        <v>74</v>
      </c>
      <c r="R870" t="s">
        <v>74</v>
      </c>
      <c r="S870" t="s">
        <v>74</v>
      </c>
      <c r="T870" t="s">
        <v>74</v>
      </c>
      <c r="U870" t="s">
        <v>16460</v>
      </c>
      <c r="V870" t="s">
        <v>16461</v>
      </c>
      <c r="W870" t="s">
        <v>16462</v>
      </c>
      <c r="X870" t="s">
        <v>16463</v>
      </c>
      <c r="Y870" t="s">
        <v>16464</v>
      </c>
      <c r="Z870" t="s">
        <v>16465</v>
      </c>
      <c r="AA870" t="s">
        <v>16466</v>
      </c>
      <c r="AB870" t="s">
        <v>16467</v>
      </c>
      <c r="AC870" t="s">
        <v>16468</v>
      </c>
      <c r="AD870" t="s">
        <v>16469</v>
      </c>
      <c r="AE870" t="s">
        <v>16470</v>
      </c>
      <c r="AF870" t="s">
        <v>74</v>
      </c>
      <c r="AG870">
        <v>71</v>
      </c>
      <c r="AH870">
        <v>4</v>
      </c>
      <c r="AI870">
        <v>4</v>
      </c>
      <c r="AJ870">
        <v>0</v>
      </c>
      <c r="AK870">
        <v>8</v>
      </c>
      <c r="AL870" t="s">
        <v>1207</v>
      </c>
      <c r="AM870" t="s">
        <v>1208</v>
      </c>
      <c r="AN870" t="s">
        <v>1209</v>
      </c>
      <c r="AO870" t="s">
        <v>1210</v>
      </c>
      <c r="AP870" t="s">
        <v>1211</v>
      </c>
      <c r="AQ870" t="s">
        <v>74</v>
      </c>
      <c r="AR870" t="s">
        <v>1212</v>
      </c>
      <c r="AS870" t="s">
        <v>1213</v>
      </c>
      <c r="AT870" t="s">
        <v>74</v>
      </c>
      <c r="AU870">
        <v>2015</v>
      </c>
      <c r="AV870">
        <v>35</v>
      </c>
      <c r="AW870">
        <v>5</v>
      </c>
      <c r="AX870" t="s">
        <v>74</v>
      </c>
      <c r="AY870" t="s">
        <v>74</v>
      </c>
      <c r="AZ870" t="s">
        <v>74</v>
      </c>
      <c r="BA870" t="s">
        <v>74</v>
      </c>
      <c r="BB870" t="s">
        <v>74</v>
      </c>
      <c r="BC870" t="s">
        <v>74</v>
      </c>
      <c r="BD870" t="s">
        <v>16471</v>
      </c>
      <c r="BE870" t="s">
        <v>16472</v>
      </c>
      <c r="BF870" t="str">
        <f>HYPERLINK("http://dx.doi.org/10.1080/02724634.2015.981128","http://dx.doi.org/10.1080/02724634.2015.981128")</f>
        <v>http://dx.doi.org/10.1080/02724634.2015.981128</v>
      </c>
      <c r="BG870" t="s">
        <v>74</v>
      </c>
      <c r="BH870" t="s">
        <v>74</v>
      </c>
      <c r="BI870">
        <v>12</v>
      </c>
      <c r="BJ870" t="s">
        <v>1215</v>
      </c>
      <c r="BK870" t="s">
        <v>100</v>
      </c>
      <c r="BL870" t="s">
        <v>1215</v>
      </c>
      <c r="BM870" t="s">
        <v>16473</v>
      </c>
      <c r="BN870" t="s">
        <v>74</v>
      </c>
      <c r="BO870" t="s">
        <v>559</v>
      </c>
      <c r="BP870" t="s">
        <v>74</v>
      </c>
      <c r="BQ870" t="s">
        <v>74</v>
      </c>
      <c r="BR870" t="s">
        <v>104</v>
      </c>
      <c r="BS870" t="s">
        <v>16474</v>
      </c>
      <c r="BT870" t="str">
        <f>HYPERLINK("https%3A%2F%2Fwww.webofscience.com%2Fwos%2Fwoscc%2Ffull-record%2FWOS:000369818100017","View Full Record in Web of Science")</f>
        <v>View Full Record in Web of Science</v>
      </c>
    </row>
    <row r="871" spans="1:72" x14ac:dyDescent="0.15">
      <c r="A871" t="s">
        <v>72</v>
      </c>
      <c r="B871" t="s">
        <v>16475</v>
      </c>
      <c r="C871" t="s">
        <v>74</v>
      </c>
      <c r="D871" t="s">
        <v>74</v>
      </c>
      <c r="E871" t="s">
        <v>74</v>
      </c>
      <c r="F871" t="s">
        <v>16476</v>
      </c>
      <c r="G871" t="s">
        <v>74</v>
      </c>
      <c r="H871" t="s">
        <v>74</v>
      </c>
      <c r="I871" t="s">
        <v>16477</v>
      </c>
      <c r="J871" t="s">
        <v>1196</v>
      </c>
      <c r="K871" t="s">
        <v>74</v>
      </c>
      <c r="L871" t="s">
        <v>74</v>
      </c>
      <c r="M871" t="s">
        <v>78</v>
      </c>
      <c r="N871" t="s">
        <v>79</v>
      </c>
      <c r="O871" t="s">
        <v>74</v>
      </c>
      <c r="P871" t="s">
        <v>74</v>
      </c>
      <c r="Q871" t="s">
        <v>74</v>
      </c>
      <c r="R871" t="s">
        <v>74</v>
      </c>
      <c r="S871" t="s">
        <v>74</v>
      </c>
      <c r="T871" t="s">
        <v>74</v>
      </c>
      <c r="U871" t="s">
        <v>16478</v>
      </c>
      <c r="V871" t="s">
        <v>16479</v>
      </c>
      <c r="W871" t="s">
        <v>16480</v>
      </c>
      <c r="X871" t="s">
        <v>16481</v>
      </c>
      <c r="Y871" t="s">
        <v>16482</v>
      </c>
      <c r="Z871" t="s">
        <v>16483</v>
      </c>
      <c r="AA871" t="s">
        <v>74</v>
      </c>
      <c r="AB871" t="s">
        <v>74</v>
      </c>
      <c r="AC871" t="s">
        <v>16484</v>
      </c>
      <c r="AD871" t="s">
        <v>16485</v>
      </c>
      <c r="AE871" t="s">
        <v>16486</v>
      </c>
      <c r="AF871" t="s">
        <v>74</v>
      </c>
      <c r="AG871">
        <v>112</v>
      </c>
      <c r="AH871">
        <v>22</v>
      </c>
      <c r="AI871">
        <v>24</v>
      </c>
      <c r="AJ871">
        <v>0</v>
      </c>
      <c r="AK871">
        <v>15</v>
      </c>
      <c r="AL871" t="s">
        <v>1207</v>
      </c>
      <c r="AM871" t="s">
        <v>1208</v>
      </c>
      <c r="AN871" t="s">
        <v>1209</v>
      </c>
      <c r="AO871" t="s">
        <v>1210</v>
      </c>
      <c r="AP871" t="s">
        <v>1211</v>
      </c>
      <c r="AQ871" t="s">
        <v>74</v>
      </c>
      <c r="AR871" t="s">
        <v>1212</v>
      </c>
      <c r="AS871" t="s">
        <v>1213</v>
      </c>
      <c r="AT871" t="s">
        <v>74</v>
      </c>
      <c r="AU871">
        <v>2015</v>
      </c>
      <c r="AV871">
        <v>35</v>
      </c>
      <c r="AW871">
        <v>5</v>
      </c>
      <c r="AX871" t="s">
        <v>74</v>
      </c>
      <c r="AY871" t="s">
        <v>74</v>
      </c>
      <c r="AZ871" t="s">
        <v>74</v>
      </c>
      <c r="BA871" t="s">
        <v>74</v>
      </c>
      <c r="BB871" t="s">
        <v>74</v>
      </c>
      <c r="BC871" t="s">
        <v>74</v>
      </c>
      <c r="BD871" t="s">
        <v>16487</v>
      </c>
      <c r="BE871" t="s">
        <v>16488</v>
      </c>
      <c r="BF871" t="str">
        <f>HYPERLINK("http://dx.doi.org/10.1080/02724634.2015.981635","http://dx.doi.org/10.1080/02724634.2015.981635")</f>
        <v>http://dx.doi.org/10.1080/02724634.2015.981635</v>
      </c>
      <c r="BG871" t="s">
        <v>74</v>
      </c>
      <c r="BH871" t="s">
        <v>74</v>
      </c>
      <c r="BI871">
        <v>18</v>
      </c>
      <c r="BJ871" t="s">
        <v>1215</v>
      </c>
      <c r="BK871" t="s">
        <v>100</v>
      </c>
      <c r="BL871" t="s">
        <v>1215</v>
      </c>
      <c r="BM871" t="s">
        <v>16473</v>
      </c>
      <c r="BN871" t="s">
        <v>74</v>
      </c>
      <c r="BO871" t="s">
        <v>559</v>
      </c>
      <c r="BP871" t="s">
        <v>74</v>
      </c>
      <c r="BQ871" t="s">
        <v>74</v>
      </c>
      <c r="BR871" t="s">
        <v>104</v>
      </c>
      <c r="BS871" t="s">
        <v>16489</v>
      </c>
      <c r="BT871" t="str">
        <f>HYPERLINK("https%3A%2F%2Fwww.webofscience.com%2Fwos%2Fwoscc%2Ffull-record%2FWOS:000369818100019","View Full Record in Web of Science")</f>
        <v>View Full Record in Web of Science</v>
      </c>
    </row>
    <row r="872" spans="1:72" x14ac:dyDescent="0.15">
      <c r="A872" t="s">
        <v>72</v>
      </c>
      <c r="B872" t="s">
        <v>16490</v>
      </c>
      <c r="C872" t="s">
        <v>74</v>
      </c>
      <c r="D872" t="s">
        <v>74</v>
      </c>
      <c r="E872" t="s">
        <v>74</v>
      </c>
      <c r="F872" t="s">
        <v>16491</v>
      </c>
      <c r="G872" t="s">
        <v>74</v>
      </c>
      <c r="H872" t="s">
        <v>74</v>
      </c>
      <c r="I872" t="s">
        <v>16492</v>
      </c>
      <c r="J872" t="s">
        <v>16493</v>
      </c>
      <c r="K872" t="s">
        <v>74</v>
      </c>
      <c r="L872" t="s">
        <v>74</v>
      </c>
      <c r="M872" t="s">
        <v>78</v>
      </c>
      <c r="N872" t="s">
        <v>79</v>
      </c>
      <c r="O872" t="s">
        <v>74</v>
      </c>
      <c r="P872" t="s">
        <v>74</v>
      </c>
      <c r="Q872" t="s">
        <v>74</v>
      </c>
      <c r="R872" t="s">
        <v>74</v>
      </c>
      <c r="S872" t="s">
        <v>74</v>
      </c>
      <c r="T872" t="s">
        <v>16494</v>
      </c>
      <c r="U872" t="s">
        <v>16495</v>
      </c>
      <c r="V872" t="s">
        <v>16496</v>
      </c>
      <c r="W872" t="s">
        <v>16497</v>
      </c>
      <c r="X872" t="s">
        <v>16498</v>
      </c>
      <c r="Y872" t="s">
        <v>16499</v>
      </c>
      <c r="Z872" t="s">
        <v>16500</v>
      </c>
      <c r="AA872" t="s">
        <v>74</v>
      </c>
      <c r="AB872" t="s">
        <v>16501</v>
      </c>
      <c r="AC872" t="s">
        <v>16502</v>
      </c>
      <c r="AD872" t="s">
        <v>16503</v>
      </c>
      <c r="AE872" t="s">
        <v>16504</v>
      </c>
      <c r="AF872" t="s">
        <v>74</v>
      </c>
      <c r="AG872">
        <v>7</v>
      </c>
      <c r="AH872">
        <v>4</v>
      </c>
      <c r="AI872">
        <v>5</v>
      </c>
      <c r="AJ872">
        <v>0</v>
      </c>
      <c r="AK872">
        <v>9</v>
      </c>
      <c r="AL872" t="s">
        <v>1239</v>
      </c>
      <c r="AM872" t="s">
        <v>448</v>
      </c>
      <c r="AN872" t="s">
        <v>1240</v>
      </c>
      <c r="AO872" t="s">
        <v>16505</v>
      </c>
      <c r="AP872" t="s">
        <v>16506</v>
      </c>
      <c r="AQ872" t="s">
        <v>74</v>
      </c>
      <c r="AR872" t="s">
        <v>16507</v>
      </c>
      <c r="AS872" t="s">
        <v>16508</v>
      </c>
      <c r="AT872" t="s">
        <v>74</v>
      </c>
      <c r="AU872">
        <v>2015</v>
      </c>
      <c r="AV872">
        <v>26</v>
      </c>
      <c r="AW872">
        <v>6</v>
      </c>
      <c r="AX872" t="s">
        <v>74</v>
      </c>
      <c r="AY872" t="s">
        <v>74</v>
      </c>
      <c r="AZ872" t="s">
        <v>74</v>
      </c>
      <c r="BA872" t="s">
        <v>74</v>
      </c>
      <c r="BB872">
        <v>885</v>
      </c>
      <c r="BC872">
        <v>886</v>
      </c>
      <c r="BD872" t="s">
        <v>74</v>
      </c>
      <c r="BE872" t="s">
        <v>16509</v>
      </c>
      <c r="BF872" t="str">
        <f>HYPERLINK("http://dx.doi.org/10.3109/19401736.2013.861443","http://dx.doi.org/10.3109/19401736.2013.861443")</f>
        <v>http://dx.doi.org/10.3109/19401736.2013.861443</v>
      </c>
      <c r="BG872" t="s">
        <v>74</v>
      </c>
      <c r="BH872" t="s">
        <v>74</v>
      </c>
      <c r="BI872">
        <v>2</v>
      </c>
      <c r="BJ872" t="s">
        <v>9087</v>
      </c>
      <c r="BK872" t="s">
        <v>100</v>
      </c>
      <c r="BL872" t="s">
        <v>9087</v>
      </c>
      <c r="BM872" t="s">
        <v>16510</v>
      </c>
      <c r="BN872">
        <v>24409863</v>
      </c>
      <c r="BO872" t="s">
        <v>74</v>
      </c>
      <c r="BP872" t="s">
        <v>74</v>
      </c>
      <c r="BQ872" t="s">
        <v>74</v>
      </c>
      <c r="BR872" t="s">
        <v>104</v>
      </c>
      <c r="BS872" t="s">
        <v>16511</v>
      </c>
      <c r="BT872" t="str">
        <f>HYPERLINK("https%3A%2F%2Fwww.webofscience.com%2Fwos%2Fwoscc%2Ffull-record%2FWOS:000369834600035","View Full Record in Web of Science")</f>
        <v>View Full Record in Web of Science</v>
      </c>
    </row>
    <row r="873" spans="1:72" x14ac:dyDescent="0.15">
      <c r="A873" t="s">
        <v>72</v>
      </c>
      <c r="B873" t="s">
        <v>16512</v>
      </c>
      <c r="C873" t="s">
        <v>74</v>
      </c>
      <c r="D873" t="s">
        <v>74</v>
      </c>
      <c r="E873" t="s">
        <v>74</v>
      </c>
      <c r="F873" t="s">
        <v>16513</v>
      </c>
      <c r="G873" t="s">
        <v>74</v>
      </c>
      <c r="H873" t="s">
        <v>74</v>
      </c>
      <c r="I873" t="s">
        <v>16514</v>
      </c>
      <c r="J873" t="s">
        <v>16493</v>
      </c>
      <c r="K873" t="s">
        <v>74</v>
      </c>
      <c r="L873" t="s">
        <v>74</v>
      </c>
      <c r="M873" t="s">
        <v>78</v>
      </c>
      <c r="N873" t="s">
        <v>79</v>
      </c>
      <c r="O873" t="s">
        <v>74</v>
      </c>
      <c r="P873" t="s">
        <v>74</v>
      </c>
      <c r="Q873" t="s">
        <v>74</v>
      </c>
      <c r="R873" t="s">
        <v>74</v>
      </c>
      <c r="S873" t="s">
        <v>74</v>
      </c>
      <c r="T873" t="s">
        <v>16515</v>
      </c>
      <c r="U873" t="s">
        <v>16516</v>
      </c>
      <c r="V873" t="s">
        <v>16517</v>
      </c>
      <c r="W873" t="s">
        <v>16518</v>
      </c>
      <c r="X873" t="s">
        <v>16498</v>
      </c>
      <c r="Y873" t="s">
        <v>16499</v>
      </c>
      <c r="Z873" t="s">
        <v>16500</v>
      </c>
      <c r="AA873" t="s">
        <v>74</v>
      </c>
      <c r="AB873" t="s">
        <v>16519</v>
      </c>
      <c r="AC873" t="s">
        <v>16502</v>
      </c>
      <c r="AD873" t="s">
        <v>16503</v>
      </c>
      <c r="AE873" t="s">
        <v>16504</v>
      </c>
      <c r="AF873" t="s">
        <v>74</v>
      </c>
      <c r="AG873">
        <v>11</v>
      </c>
      <c r="AH873">
        <v>5</v>
      </c>
      <c r="AI873">
        <v>5</v>
      </c>
      <c r="AJ873">
        <v>0</v>
      </c>
      <c r="AK873">
        <v>11</v>
      </c>
      <c r="AL873" t="s">
        <v>1239</v>
      </c>
      <c r="AM873" t="s">
        <v>448</v>
      </c>
      <c r="AN873" t="s">
        <v>5095</v>
      </c>
      <c r="AO873" t="s">
        <v>16505</v>
      </c>
      <c r="AP873" t="s">
        <v>16506</v>
      </c>
      <c r="AQ873" t="s">
        <v>74</v>
      </c>
      <c r="AR873" t="s">
        <v>16507</v>
      </c>
      <c r="AS873" t="s">
        <v>16508</v>
      </c>
      <c r="AT873" t="s">
        <v>74</v>
      </c>
      <c r="AU873">
        <v>2015</v>
      </c>
      <c r="AV873">
        <v>26</v>
      </c>
      <c r="AW873">
        <v>6</v>
      </c>
      <c r="AX873" t="s">
        <v>74</v>
      </c>
      <c r="AY873" t="s">
        <v>74</v>
      </c>
      <c r="AZ873" t="s">
        <v>74</v>
      </c>
      <c r="BA873" t="s">
        <v>74</v>
      </c>
      <c r="BB873">
        <v>887</v>
      </c>
      <c r="BC873">
        <v>888</v>
      </c>
      <c r="BD873" t="s">
        <v>74</v>
      </c>
      <c r="BE873" t="s">
        <v>16520</v>
      </c>
      <c r="BF873" t="str">
        <f>HYPERLINK("http://dx.doi.org/10.3109/19401736.2013.861444","http://dx.doi.org/10.3109/19401736.2013.861444")</f>
        <v>http://dx.doi.org/10.3109/19401736.2013.861444</v>
      </c>
      <c r="BG873" t="s">
        <v>74</v>
      </c>
      <c r="BH873" t="s">
        <v>74</v>
      </c>
      <c r="BI873">
        <v>2</v>
      </c>
      <c r="BJ873" t="s">
        <v>9087</v>
      </c>
      <c r="BK873" t="s">
        <v>100</v>
      </c>
      <c r="BL873" t="s">
        <v>9087</v>
      </c>
      <c r="BM873" t="s">
        <v>16510</v>
      </c>
      <c r="BN873">
        <v>24409864</v>
      </c>
      <c r="BO873" t="s">
        <v>74</v>
      </c>
      <c r="BP873" t="s">
        <v>74</v>
      </c>
      <c r="BQ873" t="s">
        <v>74</v>
      </c>
      <c r="BR873" t="s">
        <v>104</v>
      </c>
      <c r="BS873" t="s">
        <v>16521</v>
      </c>
      <c r="BT873" t="str">
        <f>HYPERLINK("https%3A%2F%2Fwww.webofscience.com%2Fwos%2Fwoscc%2Ffull-record%2FWOS:000369834600036","View Full Record in Web of Science")</f>
        <v>View Full Record in Web of Science</v>
      </c>
    </row>
    <row r="874" spans="1:72" x14ac:dyDescent="0.15">
      <c r="A874" t="s">
        <v>72</v>
      </c>
      <c r="B874" t="s">
        <v>16522</v>
      </c>
      <c r="C874" t="s">
        <v>74</v>
      </c>
      <c r="D874" t="s">
        <v>74</v>
      </c>
      <c r="E874" t="s">
        <v>74</v>
      </c>
      <c r="F874" t="s">
        <v>16523</v>
      </c>
      <c r="G874" t="s">
        <v>74</v>
      </c>
      <c r="H874" t="s">
        <v>74</v>
      </c>
      <c r="I874" t="s">
        <v>16524</v>
      </c>
      <c r="J874" t="s">
        <v>16525</v>
      </c>
      <c r="K874" t="s">
        <v>74</v>
      </c>
      <c r="L874" t="s">
        <v>74</v>
      </c>
      <c r="M874" t="s">
        <v>78</v>
      </c>
      <c r="N874" t="s">
        <v>79</v>
      </c>
      <c r="O874" t="s">
        <v>74</v>
      </c>
      <c r="P874" t="s">
        <v>74</v>
      </c>
      <c r="Q874" t="s">
        <v>74</v>
      </c>
      <c r="R874" t="s">
        <v>74</v>
      </c>
      <c r="S874" t="s">
        <v>74</v>
      </c>
      <c r="T874" t="s">
        <v>16526</v>
      </c>
      <c r="U874" t="s">
        <v>74</v>
      </c>
      <c r="V874" t="s">
        <v>16527</v>
      </c>
      <c r="W874" t="s">
        <v>16528</v>
      </c>
      <c r="X874" t="s">
        <v>2613</v>
      </c>
      <c r="Y874" t="s">
        <v>16529</v>
      </c>
      <c r="Z874" t="s">
        <v>74</v>
      </c>
      <c r="AA874" t="s">
        <v>74</v>
      </c>
      <c r="AB874" t="s">
        <v>74</v>
      </c>
      <c r="AC874" t="s">
        <v>74</v>
      </c>
      <c r="AD874" t="s">
        <v>74</v>
      </c>
      <c r="AE874" t="s">
        <v>74</v>
      </c>
      <c r="AF874" t="s">
        <v>74</v>
      </c>
      <c r="AG874">
        <v>54</v>
      </c>
      <c r="AH874">
        <v>7</v>
      </c>
      <c r="AI874">
        <v>7</v>
      </c>
      <c r="AJ874">
        <v>0</v>
      </c>
      <c r="AK874">
        <v>20</v>
      </c>
      <c r="AL874" t="s">
        <v>1207</v>
      </c>
      <c r="AM874" t="s">
        <v>1208</v>
      </c>
      <c r="AN874" t="s">
        <v>1209</v>
      </c>
      <c r="AO874" t="s">
        <v>16530</v>
      </c>
      <c r="AP874" t="s">
        <v>16531</v>
      </c>
      <c r="AQ874" t="s">
        <v>74</v>
      </c>
      <c r="AR874" t="s">
        <v>16532</v>
      </c>
      <c r="AS874" t="s">
        <v>16533</v>
      </c>
      <c r="AT874" t="s">
        <v>74</v>
      </c>
      <c r="AU874">
        <v>2015</v>
      </c>
      <c r="AV874">
        <v>46</v>
      </c>
      <c r="AW874">
        <v>3</v>
      </c>
      <c r="AX874" t="s">
        <v>74</v>
      </c>
      <c r="AY874" t="s">
        <v>74</v>
      </c>
      <c r="AZ874" t="s">
        <v>74</v>
      </c>
      <c r="BA874" t="s">
        <v>74</v>
      </c>
      <c r="BB874">
        <v>188</v>
      </c>
      <c r="BC874">
        <v>207</v>
      </c>
      <c r="BD874" t="s">
        <v>74</v>
      </c>
      <c r="BE874" t="s">
        <v>16534</v>
      </c>
      <c r="BF874" t="str">
        <f>HYPERLINK("http://dx.doi.org/10.1080/00908320.2015.1054733","http://dx.doi.org/10.1080/00908320.2015.1054733")</f>
        <v>http://dx.doi.org/10.1080/00908320.2015.1054733</v>
      </c>
      <c r="BG874" t="s">
        <v>74</v>
      </c>
      <c r="BH874" t="s">
        <v>74</v>
      </c>
      <c r="BI874">
        <v>20</v>
      </c>
      <c r="BJ874" t="s">
        <v>16535</v>
      </c>
      <c r="BK874" t="s">
        <v>1189</v>
      </c>
      <c r="BL874" t="s">
        <v>16536</v>
      </c>
      <c r="BM874" t="s">
        <v>16537</v>
      </c>
      <c r="BN874" t="s">
        <v>74</v>
      </c>
      <c r="BO874" t="s">
        <v>74</v>
      </c>
      <c r="BP874" t="s">
        <v>74</v>
      </c>
      <c r="BQ874" t="s">
        <v>74</v>
      </c>
      <c r="BR874" t="s">
        <v>104</v>
      </c>
      <c r="BS874" t="s">
        <v>16538</v>
      </c>
      <c r="BT874" t="str">
        <f>HYPERLINK("https%3A%2F%2Fwww.webofscience.com%2Fwos%2Fwoscc%2Ffull-record%2FWOS:000369823900002","View Full Record in Web of Science")</f>
        <v>View Full Record in Web of Science</v>
      </c>
    </row>
    <row r="875" spans="1:72" x14ac:dyDescent="0.15">
      <c r="A875" t="s">
        <v>72</v>
      </c>
      <c r="B875" t="s">
        <v>16539</v>
      </c>
      <c r="C875" t="s">
        <v>74</v>
      </c>
      <c r="D875" t="s">
        <v>74</v>
      </c>
      <c r="E875" t="s">
        <v>74</v>
      </c>
      <c r="F875" t="s">
        <v>16540</v>
      </c>
      <c r="G875" t="s">
        <v>74</v>
      </c>
      <c r="H875" t="s">
        <v>74</v>
      </c>
      <c r="I875" t="s">
        <v>16541</v>
      </c>
      <c r="J875" t="s">
        <v>16542</v>
      </c>
      <c r="K875" t="s">
        <v>74</v>
      </c>
      <c r="L875" t="s">
        <v>74</v>
      </c>
      <c r="M875" t="s">
        <v>78</v>
      </c>
      <c r="N875" t="s">
        <v>79</v>
      </c>
      <c r="O875" t="s">
        <v>74</v>
      </c>
      <c r="P875" t="s">
        <v>74</v>
      </c>
      <c r="Q875" t="s">
        <v>74</v>
      </c>
      <c r="R875" t="s">
        <v>74</v>
      </c>
      <c r="S875" t="s">
        <v>74</v>
      </c>
      <c r="T875" t="s">
        <v>16543</v>
      </c>
      <c r="U875" t="s">
        <v>16544</v>
      </c>
      <c r="V875" t="s">
        <v>16545</v>
      </c>
      <c r="W875" t="s">
        <v>16546</v>
      </c>
      <c r="X875" t="s">
        <v>16547</v>
      </c>
      <c r="Y875" t="s">
        <v>16548</v>
      </c>
      <c r="Z875" t="s">
        <v>16549</v>
      </c>
      <c r="AA875" t="s">
        <v>16550</v>
      </c>
      <c r="AB875" t="s">
        <v>16551</v>
      </c>
      <c r="AC875" t="s">
        <v>16552</v>
      </c>
      <c r="AD875" t="s">
        <v>16553</v>
      </c>
      <c r="AE875" t="s">
        <v>16554</v>
      </c>
      <c r="AF875" t="s">
        <v>74</v>
      </c>
      <c r="AG875">
        <v>59</v>
      </c>
      <c r="AH875">
        <v>18</v>
      </c>
      <c r="AI875">
        <v>18</v>
      </c>
      <c r="AJ875">
        <v>0</v>
      </c>
      <c r="AK875">
        <v>12</v>
      </c>
      <c r="AL875" t="s">
        <v>1621</v>
      </c>
      <c r="AM875" t="s">
        <v>787</v>
      </c>
      <c r="AN875" t="s">
        <v>1622</v>
      </c>
      <c r="AO875" t="s">
        <v>16555</v>
      </c>
      <c r="AP875" t="s">
        <v>74</v>
      </c>
      <c r="AQ875" t="s">
        <v>74</v>
      </c>
      <c r="AR875" t="s">
        <v>16542</v>
      </c>
      <c r="AS875" t="s">
        <v>16556</v>
      </c>
      <c r="AT875" t="s">
        <v>74</v>
      </c>
      <c r="AU875">
        <v>2015</v>
      </c>
      <c r="AV875">
        <v>7</v>
      </c>
      <c r="AW875" t="s">
        <v>74</v>
      </c>
      <c r="AX875" t="s">
        <v>74</v>
      </c>
      <c r="AY875" t="s">
        <v>74</v>
      </c>
      <c r="AZ875" t="s">
        <v>454</v>
      </c>
      <c r="BA875" t="s">
        <v>74</v>
      </c>
      <c r="BB875" t="s">
        <v>74</v>
      </c>
      <c r="BC875" t="s">
        <v>74</v>
      </c>
      <c r="BD875" t="s">
        <v>16557</v>
      </c>
      <c r="BE875" t="s">
        <v>16558</v>
      </c>
      <c r="BF875" t="str">
        <f>HYPERLINK("http://dx.doi.org/10.1093/aobpla/plv104","http://dx.doi.org/10.1093/aobpla/plv104")</f>
        <v>http://dx.doi.org/10.1093/aobpla/plv104</v>
      </c>
      <c r="BG875" t="s">
        <v>74</v>
      </c>
      <c r="BH875" t="s">
        <v>74</v>
      </c>
      <c r="BI875">
        <v>15</v>
      </c>
      <c r="BJ875" t="s">
        <v>11181</v>
      </c>
      <c r="BK875" t="s">
        <v>100</v>
      </c>
      <c r="BL875" t="s">
        <v>11182</v>
      </c>
      <c r="BM875" t="s">
        <v>16559</v>
      </c>
      <c r="BN875">
        <v>26311733</v>
      </c>
      <c r="BO875" t="s">
        <v>955</v>
      </c>
      <c r="BP875" t="s">
        <v>74</v>
      </c>
      <c r="BQ875" t="s">
        <v>74</v>
      </c>
      <c r="BR875" t="s">
        <v>104</v>
      </c>
      <c r="BS875" t="s">
        <v>16560</v>
      </c>
      <c r="BT875" t="str">
        <f>HYPERLINK("https%3A%2F%2Fwww.webofscience.com%2Fwos%2Fwoscc%2Ffull-record%2FWOS:000369026600001","View Full Record in Web of Science")</f>
        <v>View Full Record in Web of Science</v>
      </c>
    </row>
    <row r="876" spans="1:72" x14ac:dyDescent="0.15">
      <c r="A876" t="s">
        <v>72</v>
      </c>
      <c r="B876" t="s">
        <v>16561</v>
      </c>
      <c r="C876" t="s">
        <v>74</v>
      </c>
      <c r="D876" t="s">
        <v>74</v>
      </c>
      <c r="E876" t="s">
        <v>74</v>
      </c>
      <c r="F876" t="s">
        <v>16562</v>
      </c>
      <c r="G876" t="s">
        <v>74</v>
      </c>
      <c r="H876" t="s">
        <v>74</v>
      </c>
      <c r="I876" t="s">
        <v>16563</v>
      </c>
      <c r="J876" t="s">
        <v>16564</v>
      </c>
      <c r="K876" t="s">
        <v>74</v>
      </c>
      <c r="L876" t="s">
        <v>74</v>
      </c>
      <c r="M876" t="s">
        <v>78</v>
      </c>
      <c r="N876" t="s">
        <v>1291</v>
      </c>
      <c r="O876" t="s">
        <v>74</v>
      </c>
      <c r="P876" t="s">
        <v>74</v>
      </c>
      <c r="Q876" t="s">
        <v>74</v>
      </c>
      <c r="R876" t="s">
        <v>74</v>
      </c>
      <c r="S876" t="s">
        <v>74</v>
      </c>
      <c r="T876" t="s">
        <v>16565</v>
      </c>
      <c r="U876" t="s">
        <v>16566</v>
      </c>
      <c r="V876" t="s">
        <v>16567</v>
      </c>
      <c r="W876" t="s">
        <v>16568</v>
      </c>
      <c r="X876" t="s">
        <v>16569</v>
      </c>
      <c r="Y876" t="s">
        <v>16570</v>
      </c>
      <c r="Z876" t="s">
        <v>16571</v>
      </c>
      <c r="AA876" t="s">
        <v>16572</v>
      </c>
      <c r="AB876" t="s">
        <v>74</v>
      </c>
      <c r="AC876" t="s">
        <v>74</v>
      </c>
      <c r="AD876" t="s">
        <v>74</v>
      </c>
      <c r="AE876" t="s">
        <v>74</v>
      </c>
      <c r="AF876" t="s">
        <v>74</v>
      </c>
      <c r="AG876">
        <v>97</v>
      </c>
      <c r="AH876">
        <v>23</v>
      </c>
      <c r="AI876">
        <v>23</v>
      </c>
      <c r="AJ876">
        <v>2</v>
      </c>
      <c r="AK876">
        <v>18</v>
      </c>
      <c r="AL876" t="s">
        <v>1239</v>
      </c>
      <c r="AM876" t="s">
        <v>448</v>
      </c>
      <c r="AN876" t="s">
        <v>1240</v>
      </c>
      <c r="AO876" t="s">
        <v>16573</v>
      </c>
      <c r="AP876" t="s">
        <v>16574</v>
      </c>
      <c r="AQ876" t="s">
        <v>74</v>
      </c>
      <c r="AR876" t="s">
        <v>16575</v>
      </c>
      <c r="AS876" t="s">
        <v>16576</v>
      </c>
      <c r="AT876" t="s">
        <v>74</v>
      </c>
      <c r="AU876">
        <v>2015</v>
      </c>
      <c r="AV876">
        <v>62</v>
      </c>
      <c r="AW876">
        <v>4</v>
      </c>
      <c r="AX876" t="s">
        <v>74</v>
      </c>
      <c r="AY876" t="s">
        <v>74</v>
      </c>
      <c r="AZ876" t="s">
        <v>74</v>
      </c>
      <c r="BA876" t="s">
        <v>74</v>
      </c>
      <c r="BB876">
        <v>385</v>
      </c>
      <c r="BC876">
        <v>408</v>
      </c>
      <c r="BD876" t="s">
        <v>74</v>
      </c>
      <c r="BE876" t="s">
        <v>16577</v>
      </c>
      <c r="BF876" t="str">
        <f>HYPERLINK("http://dx.doi.org/10.1080/08120099.2015.1053985","http://dx.doi.org/10.1080/08120099.2015.1053985")</f>
        <v>http://dx.doi.org/10.1080/08120099.2015.1053985</v>
      </c>
      <c r="BG876" t="s">
        <v>74</v>
      </c>
      <c r="BH876" t="s">
        <v>74</v>
      </c>
      <c r="BI876">
        <v>24</v>
      </c>
      <c r="BJ876" t="s">
        <v>219</v>
      </c>
      <c r="BK876" t="s">
        <v>100</v>
      </c>
      <c r="BL876" t="s">
        <v>220</v>
      </c>
      <c r="BM876" t="s">
        <v>16578</v>
      </c>
      <c r="BN876" t="s">
        <v>74</v>
      </c>
      <c r="BO876" t="s">
        <v>74</v>
      </c>
      <c r="BP876" t="s">
        <v>74</v>
      </c>
      <c r="BQ876" t="s">
        <v>74</v>
      </c>
      <c r="BR876" t="s">
        <v>104</v>
      </c>
      <c r="BS876" t="s">
        <v>16579</v>
      </c>
      <c r="BT876" t="str">
        <f>HYPERLINK("https%3A%2F%2Fwww.webofscience.com%2Fwos%2Fwoscc%2Ffull-record%2FWOS:000369089300001","View Full Record in Web of Science")</f>
        <v>View Full Record in Web of Science</v>
      </c>
    </row>
    <row r="877" spans="1:72" x14ac:dyDescent="0.15">
      <c r="A877" t="s">
        <v>72</v>
      </c>
      <c r="B877" t="s">
        <v>16580</v>
      </c>
      <c r="C877" t="s">
        <v>74</v>
      </c>
      <c r="D877" t="s">
        <v>74</v>
      </c>
      <c r="E877" t="s">
        <v>74</v>
      </c>
      <c r="F877" t="s">
        <v>16581</v>
      </c>
      <c r="G877" t="s">
        <v>74</v>
      </c>
      <c r="H877" t="s">
        <v>74</v>
      </c>
      <c r="I877" t="s">
        <v>16582</v>
      </c>
      <c r="J877" t="s">
        <v>16583</v>
      </c>
      <c r="K877" t="s">
        <v>74</v>
      </c>
      <c r="L877" t="s">
        <v>74</v>
      </c>
      <c r="M877" t="s">
        <v>78</v>
      </c>
      <c r="N877" t="s">
        <v>79</v>
      </c>
      <c r="O877" t="s">
        <v>74</v>
      </c>
      <c r="P877" t="s">
        <v>74</v>
      </c>
      <c r="Q877" t="s">
        <v>74</v>
      </c>
      <c r="R877" t="s">
        <v>74</v>
      </c>
      <c r="S877" t="s">
        <v>74</v>
      </c>
      <c r="T877" t="s">
        <v>74</v>
      </c>
      <c r="U877" t="s">
        <v>74</v>
      </c>
      <c r="V877" t="s">
        <v>16584</v>
      </c>
      <c r="W877" t="s">
        <v>16585</v>
      </c>
      <c r="X877" t="s">
        <v>16586</v>
      </c>
      <c r="Y877" t="s">
        <v>16587</v>
      </c>
      <c r="Z877" t="s">
        <v>16588</v>
      </c>
      <c r="AA877" t="s">
        <v>16589</v>
      </c>
      <c r="AB877" t="s">
        <v>16590</v>
      </c>
      <c r="AC877" t="s">
        <v>16591</v>
      </c>
      <c r="AD877" t="s">
        <v>16592</v>
      </c>
      <c r="AE877" t="s">
        <v>16593</v>
      </c>
      <c r="AF877" t="s">
        <v>74</v>
      </c>
      <c r="AG877">
        <v>19</v>
      </c>
      <c r="AH877">
        <v>4</v>
      </c>
      <c r="AI877">
        <v>5</v>
      </c>
      <c r="AJ877">
        <v>2</v>
      </c>
      <c r="AK877">
        <v>16</v>
      </c>
      <c r="AL877" t="s">
        <v>16594</v>
      </c>
      <c r="AM877" t="s">
        <v>16595</v>
      </c>
      <c r="AN877" t="s">
        <v>16596</v>
      </c>
      <c r="AO877" t="s">
        <v>16597</v>
      </c>
      <c r="AP877" t="s">
        <v>74</v>
      </c>
      <c r="AQ877" t="s">
        <v>74</v>
      </c>
      <c r="AR877" t="s">
        <v>16598</v>
      </c>
      <c r="AS877" t="s">
        <v>16599</v>
      </c>
      <c r="AT877" t="s">
        <v>74</v>
      </c>
      <c r="AU877">
        <v>2015</v>
      </c>
      <c r="AV877">
        <v>65</v>
      </c>
      <c r="AW877">
        <v>2</v>
      </c>
      <c r="AX877" t="s">
        <v>74</v>
      </c>
      <c r="AY877" t="s">
        <v>74</v>
      </c>
      <c r="AZ877" t="s">
        <v>74</v>
      </c>
      <c r="BA877" t="s">
        <v>74</v>
      </c>
      <c r="BB877">
        <v>247</v>
      </c>
      <c r="BC877">
        <v>266</v>
      </c>
      <c r="BD877" t="s">
        <v>74</v>
      </c>
      <c r="BE877" t="s">
        <v>16600</v>
      </c>
      <c r="BF877" t="str">
        <f>HYPERLINK("http://dx.doi.org/10.22499/2.6502.005","http://dx.doi.org/10.22499/2.6502.005")</f>
        <v>http://dx.doi.org/10.22499/2.6502.005</v>
      </c>
      <c r="BG877" t="s">
        <v>74</v>
      </c>
      <c r="BH877" t="s">
        <v>74</v>
      </c>
      <c r="BI877">
        <v>20</v>
      </c>
      <c r="BJ877" t="s">
        <v>3585</v>
      </c>
      <c r="BK877" t="s">
        <v>100</v>
      </c>
      <c r="BL877" t="s">
        <v>3585</v>
      </c>
      <c r="BM877" t="s">
        <v>16601</v>
      </c>
      <c r="BN877" t="s">
        <v>74</v>
      </c>
      <c r="BO877" t="s">
        <v>408</v>
      </c>
      <c r="BP877" t="s">
        <v>74</v>
      </c>
      <c r="BQ877" t="s">
        <v>74</v>
      </c>
      <c r="BR877" t="s">
        <v>104</v>
      </c>
      <c r="BS877" t="s">
        <v>16602</v>
      </c>
      <c r="BT877" t="str">
        <f>HYPERLINK("https%3A%2F%2Fwww.webofscience.com%2Fwos%2Fwoscc%2Ffull-record%2FWOS:000368910100005","View Full Record in Web of Science")</f>
        <v>View Full Record in Web of Science</v>
      </c>
    </row>
    <row r="878" spans="1:72" x14ac:dyDescent="0.15">
      <c r="A878" t="s">
        <v>72</v>
      </c>
      <c r="B878" t="s">
        <v>16603</v>
      </c>
      <c r="C878" t="s">
        <v>74</v>
      </c>
      <c r="D878" t="s">
        <v>74</v>
      </c>
      <c r="E878" t="s">
        <v>74</v>
      </c>
      <c r="F878" t="s">
        <v>16604</v>
      </c>
      <c r="G878" t="s">
        <v>74</v>
      </c>
      <c r="H878" t="s">
        <v>74</v>
      </c>
      <c r="I878" t="s">
        <v>16605</v>
      </c>
      <c r="J878" t="s">
        <v>16583</v>
      </c>
      <c r="K878" t="s">
        <v>74</v>
      </c>
      <c r="L878" t="s">
        <v>74</v>
      </c>
      <c r="M878" t="s">
        <v>78</v>
      </c>
      <c r="N878" t="s">
        <v>79</v>
      </c>
      <c r="O878" t="s">
        <v>74</v>
      </c>
      <c r="P878" t="s">
        <v>74</v>
      </c>
      <c r="Q878" t="s">
        <v>74</v>
      </c>
      <c r="R878" t="s">
        <v>74</v>
      </c>
      <c r="S878" t="s">
        <v>74</v>
      </c>
      <c r="T878" t="s">
        <v>74</v>
      </c>
      <c r="U878" t="s">
        <v>74</v>
      </c>
      <c r="V878" t="s">
        <v>16606</v>
      </c>
      <c r="W878" t="s">
        <v>16607</v>
      </c>
      <c r="X878" t="s">
        <v>16608</v>
      </c>
      <c r="Y878" t="s">
        <v>16609</v>
      </c>
      <c r="Z878" t="s">
        <v>16610</v>
      </c>
      <c r="AA878" t="s">
        <v>16611</v>
      </c>
      <c r="AB878" t="s">
        <v>16612</v>
      </c>
      <c r="AC878" t="s">
        <v>74</v>
      </c>
      <c r="AD878" t="s">
        <v>74</v>
      </c>
      <c r="AE878" t="s">
        <v>74</v>
      </c>
      <c r="AF878" t="s">
        <v>74</v>
      </c>
      <c r="AG878">
        <v>23</v>
      </c>
      <c r="AH878">
        <v>6</v>
      </c>
      <c r="AI878">
        <v>6</v>
      </c>
      <c r="AJ878">
        <v>0</v>
      </c>
      <c r="AK878">
        <v>3</v>
      </c>
      <c r="AL878" t="s">
        <v>16594</v>
      </c>
      <c r="AM878" t="s">
        <v>16595</v>
      </c>
      <c r="AN878" t="s">
        <v>16596</v>
      </c>
      <c r="AO878" t="s">
        <v>16597</v>
      </c>
      <c r="AP878" t="s">
        <v>74</v>
      </c>
      <c r="AQ878" t="s">
        <v>74</v>
      </c>
      <c r="AR878" t="s">
        <v>16598</v>
      </c>
      <c r="AS878" t="s">
        <v>16599</v>
      </c>
      <c r="AT878" t="s">
        <v>74</v>
      </c>
      <c r="AU878">
        <v>2015</v>
      </c>
      <c r="AV878">
        <v>65</v>
      </c>
      <c r="AW878">
        <v>2</v>
      </c>
      <c r="AX878" t="s">
        <v>74</v>
      </c>
      <c r="AY878" t="s">
        <v>74</v>
      </c>
      <c r="AZ878" t="s">
        <v>74</v>
      </c>
      <c r="BA878" t="s">
        <v>74</v>
      </c>
      <c r="BB878">
        <v>267</v>
      </c>
      <c r="BC878">
        <v>292</v>
      </c>
      <c r="BD878" t="s">
        <v>74</v>
      </c>
      <c r="BE878" t="s">
        <v>16613</v>
      </c>
      <c r="BF878" t="str">
        <f>HYPERLINK("http://dx.doi.org/10.22499/2.6502.006","http://dx.doi.org/10.22499/2.6502.006")</f>
        <v>http://dx.doi.org/10.22499/2.6502.006</v>
      </c>
      <c r="BG878" t="s">
        <v>74</v>
      </c>
      <c r="BH878" t="s">
        <v>74</v>
      </c>
      <c r="BI878">
        <v>26</v>
      </c>
      <c r="BJ878" t="s">
        <v>3585</v>
      </c>
      <c r="BK878" t="s">
        <v>100</v>
      </c>
      <c r="BL878" t="s">
        <v>3585</v>
      </c>
      <c r="BM878" t="s">
        <v>16601</v>
      </c>
      <c r="BN878" t="s">
        <v>74</v>
      </c>
      <c r="BO878" t="s">
        <v>156</v>
      </c>
      <c r="BP878" t="s">
        <v>74</v>
      </c>
      <c r="BQ878" t="s">
        <v>74</v>
      </c>
      <c r="BR878" t="s">
        <v>104</v>
      </c>
      <c r="BS878" t="s">
        <v>16614</v>
      </c>
      <c r="BT878" t="str">
        <f>HYPERLINK("https%3A%2F%2Fwww.webofscience.com%2Fwos%2Fwoscc%2Ffull-record%2FWOS:000368910100006","View Full Record in Web of Science")</f>
        <v>View Full Record in Web of Science</v>
      </c>
    </row>
    <row r="879" spans="1:72" x14ac:dyDescent="0.15">
      <c r="A879" t="s">
        <v>72</v>
      </c>
      <c r="B879" t="s">
        <v>16615</v>
      </c>
      <c r="C879" t="s">
        <v>74</v>
      </c>
      <c r="D879" t="s">
        <v>74</v>
      </c>
      <c r="E879" t="s">
        <v>74</v>
      </c>
      <c r="F879" t="s">
        <v>16616</v>
      </c>
      <c r="G879" t="s">
        <v>74</v>
      </c>
      <c r="H879" t="s">
        <v>74</v>
      </c>
      <c r="I879" t="s">
        <v>16617</v>
      </c>
      <c r="J879" t="s">
        <v>16618</v>
      </c>
      <c r="K879" t="s">
        <v>74</v>
      </c>
      <c r="L879" t="s">
        <v>74</v>
      </c>
      <c r="M879" t="s">
        <v>78</v>
      </c>
      <c r="N879" t="s">
        <v>79</v>
      </c>
      <c r="O879" t="s">
        <v>74</v>
      </c>
      <c r="P879" t="s">
        <v>74</v>
      </c>
      <c r="Q879" t="s">
        <v>74</v>
      </c>
      <c r="R879" t="s">
        <v>74</v>
      </c>
      <c r="S879" t="s">
        <v>74</v>
      </c>
      <c r="T879" t="s">
        <v>74</v>
      </c>
      <c r="U879" t="s">
        <v>74</v>
      </c>
      <c r="V879" t="s">
        <v>16619</v>
      </c>
      <c r="W879" t="s">
        <v>16620</v>
      </c>
      <c r="X879" t="s">
        <v>16621</v>
      </c>
      <c r="Y879" t="s">
        <v>16622</v>
      </c>
      <c r="Z879" t="s">
        <v>16623</v>
      </c>
      <c r="AA879" t="s">
        <v>16624</v>
      </c>
      <c r="AB879" t="s">
        <v>16625</v>
      </c>
      <c r="AC879" t="s">
        <v>74</v>
      </c>
      <c r="AD879" t="s">
        <v>74</v>
      </c>
      <c r="AE879" t="s">
        <v>74</v>
      </c>
      <c r="AF879" t="s">
        <v>74</v>
      </c>
      <c r="AG879">
        <v>12</v>
      </c>
      <c r="AH879">
        <v>1</v>
      </c>
      <c r="AI879">
        <v>1</v>
      </c>
      <c r="AJ879">
        <v>0</v>
      </c>
      <c r="AK879">
        <v>4</v>
      </c>
      <c r="AL879" t="s">
        <v>16626</v>
      </c>
      <c r="AM879" t="s">
        <v>16627</v>
      </c>
      <c r="AN879" t="s">
        <v>16628</v>
      </c>
      <c r="AO879" t="s">
        <v>16629</v>
      </c>
      <c r="AP879" t="s">
        <v>16630</v>
      </c>
      <c r="AQ879" t="s">
        <v>74</v>
      </c>
      <c r="AR879" t="s">
        <v>16631</v>
      </c>
      <c r="AS879" t="s">
        <v>16632</v>
      </c>
      <c r="AT879" t="s">
        <v>74</v>
      </c>
      <c r="AU879">
        <v>2015</v>
      </c>
      <c r="AV879">
        <v>7</v>
      </c>
      <c r="AW879">
        <v>2</v>
      </c>
      <c r="AX879" t="s">
        <v>74</v>
      </c>
      <c r="AY879" t="s">
        <v>74</v>
      </c>
      <c r="AZ879" t="s">
        <v>74</v>
      </c>
      <c r="BA879" t="s">
        <v>74</v>
      </c>
      <c r="BB879">
        <v>239</v>
      </c>
      <c r="BC879">
        <v>244</v>
      </c>
      <c r="BD879" t="s">
        <v>74</v>
      </c>
      <c r="BE879" t="s">
        <v>16633</v>
      </c>
      <c r="BF879" t="str">
        <f>HYPERLINK("http://dx.doi.org/10.5194/essd-7-239-2015","http://dx.doi.org/10.5194/essd-7-239-2015")</f>
        <v>http://dx.doi.org/10.5194/essd-7-239-2015</v>
      </c>
      <c r="BG879" t="s">
        <v>74</v>
      </c>
      <c r="BH879" t="s">
        <v>74</v>
      </c>
      <c r="BI879">
        <v>6</v>
      </c>
      <c r="BJ879" t="s">
        <v>16634</v>
      </c>
      <c r="BK879" t="s">
        <v>100</v>
      </c>
      <c r="BL879" t="s">
        <v>16635</v>
      </c>
      <c r="BM879" t="s">
        <v>16636</v>
      </c>
      <c r="BN879" t="s">
        <v>74</v>
      </c>
      <c r="BO879" t="s">
        <v>1490</v>
      </c>
      <c r="BP879" t="s">
        <v>74</v>
      </c>
      <c r="BQ879" t="s">
        <v>74</v>
      </c>
      <c r="BR879" t="s">
        <v>104</v>
      </c>
      <c r="BS879" t="s">
        <v>16637</v>
      </c>
      <c r="BT879" t="str">
        <f>HYPERLINK("https%3A%2F%2Fwww.webofscience.com%2Fwos%2Fwoscc%2Ffull-record%2FWOS:000368632100008","View Full Record in Web of Science")</f>
        <v>View Full Record in Web of Science</v>
      </c>
    </row>
    <row r="880" spans="1:72" x14ac:dyDescent="0.15">
      <c r="A880" t="s">
        <v>15464</v>
      </c>
      <c r="B880" t="s">
        <v>16638</v>
      </c>
      <c r="C880" t="s">
        <v>74</v>
      </c>
      <c r="D880" t="s">
        <v>16639</v>
      </c>
      <c r="E880" t="s">
        <v>74</v>
      </c>
      <c r="F880" t="s">
        <v>16640</v>
      </c>
      <c r="G880" t="s">
        <v>74</v>
      </c>
      <c r="H880" t="s">
        <v>74</v>
      </c>
      <c r="I880" t="s">
        <v>16641</v>
      </c>
      <c r="J880" t="s">
        <v>16642</v>
      </c>
      <c r="K880" t="s">
        <v>16643</v>
      </c>
      <c r="L880" t="s">
        <v>74</v>
      </c>
      <c r="M880" t="s">
        <v>78</v>
      </c>
      <c r="N880" t="s">
        <v>15471</v>
      </c>
      <c r="O880" t="s">
        <v>16644</v>
      </c>
      <c r="P880" t="s">
        <v>16645</v>
      </c>
      <c r="Q880" t="s">
        <v>16646</v>
      </c>
      <c r="R880" t="s">
        <v>74</v>
      </c>
      <c r="S880" t="s">
        <v>74</v>
      </c>
      <c r="T880" t="s">
        <v>74</v>
      </c>
      <c r="U880" t="s">
        <v>74</v>
      </c>
      <c r="V880" t="s">
        <v>16647</v>
      </c>
      <c r="W880" t="s">
        <v>16648</v>
      </c>
      <c r="X880" t="s">
        <v>16649</v>
      </c>
      <c r="Y880" t="s">
        <v>16650</v>
      </c>
      <c r="Z880" t="s">
        <v>74</v>
      </c>
      <c r="AA880" t="s">
        <v>16651</v>
      </c>
      <c r="AB880" t="s">
        <v>16652</v>
      </c>
      <c r="AC880" t="s">
        <v>74</v>
      </c>
      <c r="AD880" t="s">
        <v>74</v>
      </c>
      <c r="AE880" t="s">
        <v>74</v>
      </c>
      <c r="AF880" t="s">
        <v>74</v>
      </c>
      <c r="AG880">
        <v>4</v>
      </c>
      <c r="AH880">
        <v>0</v>
      </c>
      <c r="AI880">
        <v>0</v>
      </c>
      <c r="AJ880">
        <v>0</v>
      </c>
      <c r="AK880">
        <v>1</v>
      </c>
      <c r="AL880" t="s">
        <v>621</v>
      </c>
      <c r="AM880" t="s">
        <v>622</v>
      </c>
      <c r="AN880" t="s">
        <v>16653</v>
      </c>
      <c r="AO880" t="s">
        <v>16654</v>
      </c>
      <c r="AP880" t="s">
        <v>74</v>
      </c>
      <c r="AQ880" t="s">
        <v>74</v>
      </c>
      <c r="AR880" t="s">
        <v>16655</v>
      </c>
      <c r="AS880" t="s">
        <v>74</v>
      </c>
      <c r="AT880" t="s">
        <v>74</v>
      </c>
      <c r="AU880">
        <v>2015</v>
      </c>
      <c r="AV880">
        <v>101</v>
      </c>
      <c r="AW880" t="s">
        <v>74</v>
      </c>
      <c r="AX880" t="s">
        <v>74</v>
      </c>
      <c r="AY880" t="s">
        <v>74</v>
      </c>
      <c r="AZ880" t="s">
        <v>74</v>
      </c>
      <c r="BA880" t="s">
        <v>74</v>
      </c>
      <c r="BB880" t="s">
        <v>74</v>
      </c>
      <c r="BC880" t="s">
        <v>74</v>
      </c>
      <c r="BD880">
        <v>12131</v>
      </c>
      <c r="BE880" t="s">
        <v>16656</v>
      </c>
      <c r="BF880" t="str">
        <f>HYPERLINK("http://dx.doi.org/10.1088/1757-899X/101/1/012131","http://dx.doi.org/10.1088/1757-899X/101/1/012131")</f>
        <v>http://dx.doi.org/10.1088/1757-899X/101/1/012131</v>
      </c>
      <c r="BG880" t="s">
        <v>74</v>
      </c>
      <c r="BH880" t="s">
        <v>74</v>
      </c>
      <c r="BI880">
        <v>6</v>
      </c>
      <c r="BJ880" t="s">
        <v>16657</v>
      </c>
      <c r="BK880" t="s">
        <v>15487</v>
      </c>
      <c r="BL880" t="s">
        <v>16658</v>
      </c>
      <c r="BM880" t="s">
        <v>16659</v>
      </c>
      <c r="BN880" t="s">
        <v>74</v>
      </c>
      <c r="BO880" t="s">
        <v>4689</v>
      </c>
      <c r="BP880" t="s">
        <v>74</v>
      </c>
      <c r="BQ880" t="s">
        <v>74</v>
      </c>
      <c r="BR880" t="s">
        <v>104</v>
      </c>
      <c r="BS880" t="s">
        <v>16660</v>
      </c>
      <c r="BT880" t="str">
        <f>HYPERLINK("https%3A%2F%2Fwww.webofscience.com%2Fwos%2Fwoscc%2Ffull-record%2FWOS:000368434700131","View Full Record in Web of Science")</f>
        <v>View Full Record in Web of Science</v>
      </c>
    </row>
    <row r="881" spans="1:72" x14ac:dyDescent="0.15">
      <c r="A881" t="s">
        <v>72</v>
      </c>
      <c r="B881" t="s">
        <v>16661</v>
      </c>
      <c r="C881" t="s">
        <v>74</v>
      </c>
      <c r="D881" t="s">
        <v>74</v>
      </c>
      <c r="E881" t="s">
        <v>74</v>
      </c>
      <c r="F881" t="s">
        <v>16662</v>
      </c>
      <c r="G881" t="s">
        <v>74</v>
      </c>
      <c r="H881" t="s">
        <v>74</v>
      </c>
      <c r="I881" t="s">
        <v>16663</v>
      </c>
      <c r="J881" t="s">
        <v>16664</v>
      </c>
      <c r="K881" t="s">
        <v>74</v>
      </c>
      <c r="L881" t="s">
        <v>74</v>
      </c>
      <c r="M881" t="s">
        <v>78</v>
      </c>
      <c r="N881" t="s">
        <v>79</v>
      </c>
      <c r="O881" t="s">
        <v>74</v>
      </c>
      <c r="P881" t="s">
        <v>74</v>
      </c>
      <c r="Q881" t="s">
        <v>74</v>
      </c>
      <c r="R881" t="s">
        <v>74</v>
      </c>
      <c r="S881" t="s">
        <v>74</v>
      </c>
      <c r="T881" t="s">
        <v>74</v>
      </c>
      <c r="U881" t="s">
        <v>16665</v>
      </c>
      <c r="V881" t="s">
        <v>16666</v>
      </c>
      <c r="W881" t="s">
        <v>16667</v>
      </c>
      <c r="X881" t="s">
        <v>16668</v>
      </c>
      <c r="Y881" t="s">
        <v>16669</v>
      </c>
      <c r="Z881" t="s">
        <v>16670</v>
      </c>
      <c r="AA881" t="s">
        <v>16671</v>
      </c>
      <c r="AB881" t="s">
        <v>16672</v>
      </c>
      <c r="AC881" t="s">
        <v>16673</v>
      </c>
      <c r="AD881" t="s">
        <v>16673</v>
      </c>
      <c r="AE881" t="s">
        <v>16674</v>
      </c>
      <c r="AF881" t="s">
        <v>74</v>
      </c>
      <c r="AG881">
        <v>42</v>
      </c>
      <c r="AH881">
        <v>1</v>
      </c>
      <c r="AI881">
        <v>1</v>
      </c>
      <c r="AJ881">
        <v>0</v>
      </c>
      <c r="AK881">
        <v>7</v>
      </c>
      <c r="AL881" t="s">
        <v>16675</v>
      </c>
      <c r="AM881" t="s">
        <v>16676</v>
      </c>
      <c r="AN881" t="s">
        <v>16677</v>
      </c>
      <c r="AO881" t="s">
        <v>16678</v>
      </c>
      <c r="AP881" t="s">
        <v>16679</v>
      </c>
      <c r="AQ881" t="s">
        <v>74</v>
      </c>
      <c r="AR881" t="s">
        <v>16680</v>
      </c>
      <c r="AS881" t="s">
        <v>16681</v>
      </c>
      <c r="AT881" t="s">
        <v>74</v>
      </c>
      <c r="AU881">
        <v>2015</v>
      </c>
      <c r="AV881">
        <v>63</v>
      </c>
      <c r="AW881">
        <v>6</v>
      </c>
      <c r="AX881" t="s">
        <v>74</v>
      </c>
      <c r="AY881" t="s">
        <v>74</v>
      </c>
      <c r="AZ881" t="s">
        <v>74</v>
      </c>
      <c r="BA881" t="s">
        <v>74</v>
      </c>
      <c r="BB881">
        <v>517</v>
      </c>
      <c r="BC881">
        <v>525</v>
      </c>
      <c r="BD881" t="s">
        <v>74</v>
      </c>
      <c r="BE881" t="s">
        <v>16682</v>
      </c>
      <c r="BF881" t="str">
        <f>HYPERLINK("http://dx.doi.org/10.1071/BT15005","http://dx.doi.org/10.1071/BT15005")</f>
        <v>http://dx.doi.org/10.1071/BT15005</v>
      </c>
      <c r="BG881" t="s">
        <v>74</v>
      </c>
      <c r="BH881" t="s">
        <v>74</v>
      </c>
      <c r="BI881">
        <v>9</v>
      </c>
      <c r="BJ881" t="s">
        <v>679</v>
      </c>
      <c r="BK881" t="s">
        <v>100</v>
      </c>
      <c r="BL881" t="s">
        <v>679</v>
      </c>
      <c r="BM881" t="s">
        <v>16683</v>
      </c>
      <c r="BN881" t="s">
        <v>74</v>
      </c>
      <c r="BO881" t="s">
        <v>74</v>
      </c>
      <c r="BP881" t="s">
        <v>74</v>
      </c>
      <c r="BQ881" t="s">
        <v>74</v>
      </c>
      <c r="BR881" t="s">
        <v>104</v>
      </c>
      <c r="BS881" t="s">
        <v>16684</v>
      </c>
      <c r="BT881" t="str">
        <f>HYPERLINK("https%3A%2F%2Fwww.webofscience.com%2Fwos%2Fwoscc%2Ffull-record%2FWOS:000368441900006","View Full Record in Web of Science")</f>
        <v>View Full Record in Web of Science</v>
      </c>
    </row>
    <row r="882" spans="1:72" x14ac:dyDescent="0.15">
      <c r="A882" t="s">
        <v>72</v>
      </c>
      <c r="B882" t="s">
        <v>16685</v>
      </c>
      <c r="C882" t="s">
        <v>74</v>
      </c>
      <c r="D882" t="s">
        <v>74</v>
      </c>
      <c r="E882" t="s">
        <v>74</v>
      </c>
      <c r="F882" t="s">
        <v>16686</v>
      </c>
      <c r="G882" t="s">
        <v>74</v>
      </c>
      <c r="H882" t="s">
        <v>74</v>
      </c>
      <c r="I882" t="s">
        <v>16687</v>
      </c>
      <c r="J882" t="s">
        <v>16688</v>
      </c>
      <c r="K882" t="s">
        <v>74</v>
      </c>
      <c r="L882" t="s">
        <v>74</v>
      </c>
      <c r="M882" t="s">
        <v>78</v>
      </c>
      <c r="N882" t="s">
        <v>79</v>
      </c>
      <c r="O882" t="s">
        <v>74</v>
      </c>
      <c r="P882" t="s">
        <v>74</v>
      </c>
      <c r="Q882" t="s">
        <v>74</v>
      </c>
      <c r="R882" t="s">
        <v>74</v>
      </c>
      <c r="S882" t="s">
        <v>74</v>
      </c>
      <c r="T882" t="s">
        <v>74</v>
      </c>
      <c r="U882" t="s">
        <v>16689</v>
      </c>
      <c r="V882" t="s">
        <v>16690</v>
      </c>
      <c r="W882" t="s">
        <v>16691</v>
      </c>
      <c r="X882" t="s">
        <v>16692</v>
      </c>
      <c r="Y882" t="s">
        <v>16693</v>
      </c>
      <c r="Z882" t="s">
        <v>16694</v>
      </c>
      <c r="AA882" t="s">
        <v>74</v>
      </c>
      <c r="AB882" t="s">
        <v>16695</v>
      </c>
      <c r="AC882" t="s">
        <v>16696</v>
      </c>
      <c r="AD882" t="s">
        <v>16697</v>
      </c>
      <c r="AE882" t="s">
        <v>16698</v>
      </c>
      <c r="AF882" t="s">
        <v>74</v>
      </c>
      <c r="AG882">
        <v>23</v>
      </c>
      <c r="AH882">
        <v>0</v>
      </c>
      <c r="AI882">
        <v>0</v>
      </c>
      <c r="AJ882">
        <v>0</v>
      </c>
      <c r="AK882">
        <v>1</v>
      </c>
      <c r="AL882" t="s">
        <v>16699</v>
      </c>
      <c r="AM882" t="s">
        <v>16700</v>
      </c>
      <c r="AN882" t="s">
        <v>16701</v>
      </c>
      <c r="AO882" t="s">
        <v>16702</v>
      </c>
      <c r="AP882" t="s">
        <v>16703</v>
      </c>
      <c r="AQ882" t="s">
        <v>74</v>
      </c>
      <c r="AR882" t="s">
        <v>16704</v>
      </c>
      <c r="AS882" t="s">
        <v>16705</v>
      </c>
      <c r="AT882" t="s">
        <v>74</v>
      </c>
      <c r="AU882">
        <v>2015</v>
      </c>
      <c r="AV882">
        <v>58</v>
      </c>
      <c r="AW882">
        <v>5</v>
      </c>
      <c r="AX882" t="s">
        <v>74</v>
      </c>
      <c r="AY882" t="s">
        <v>74</v>
      </c>
      <c r="AZ882" t="s">
        <v>74</v>
      </c>
      <c r="BA882" t="s">
        <v>74</v>
      </c>
      <c r="BB882" t="s">
        <v>74</v>
      </c>
      <c r="BC882" t="s">
        <v>74</v>
      </c>
      <c r="BD882" t="s">
        <v>16706</v>
      </c>
      <c r="BE882" t="s">
        <v>16707</v>
      </c>
      <c r="BF882" t="str">
        <f>HYPERLINK("http://dx.doi.org/10.4401/ag-6801","http://dx.doi.org/10.4401/ag-6801")</f>
        <v>http://dx.doi.org/10.4401/ag-6801</v>
      </c>
      <c r="BG882" t="s">
        <v>74</v>
      </c>
      <c r="BH882" t="s">
        <v>74</v>
      </c>
      <c r="BI882">
        <v>9</v>
      </c>
      <c r="BJ882" t="s">
        <v>863</v>
      </c>
      <c r="BK882" t="s">
        <v>100</v>
      </c>
      <c r="BL882" t="s">
        <v>863</v>
      </c>
      <c r="BM882" t="s">
        <v>16708</v>
      </c>
      <c r="BN882" t="s">
        <v>74</v>
      </c>
      <c r="BO882" t="s">
        <v>4689</v>
      </c>
      <c r="BP882" t="s">
        <v>74</v>
      </c>
      <c r="BQ882" t="s">
        <v>74</v>
      </c>
      <c r="BR882" t="s">
        <v>104</v>
      </c>
      <c r="BS882" t="s">
        <v>16709</v>
      </c>
      <c r="BT882" t="str">
        <f>HYPERLINK("https%3A%2F%2Fwww.webofscience.com%2Fwos%2Fwoscc%2Ffull-record%2FWOS:000368026500007","View Full Record in Web of Science")</f>
        <v>View Full Record in Web of Science</v>
      </c>
    </row>
    <row r="883" spans="1:72" x14ac:dyDescent="0.15">
      <c r="A883" t="s">
        <v>72</v>
      </c>
      <c r="B883" t="s">
        <v>16710</v>
      </c>
      <c r="C883" t="s">
        <v>74</v>
      </c>
      <c r="D883" t="s">
        <v>74</v>
      </c>
      <c r="E883" t="s">
        <v>74</v>
      </c>
      <c r="F883" t="s">
        <v>16711</v>
      </c>
      <c r="G883" t="s">
        <v>74</v>
      </c>
      <c r="H883" t="s">
        <v>74</v>
      </c>
      <c r="I883" t="s">
        <v>16712</v>
      </c>
      <c r="J883" t="s">
        <v>16713</v>
      </c>
      <c r="K883" t="s">
        <v>74</v>
      </c>
      <c r="L883" t="s">
        <v>74</v>
      </c>
      <c r="M883" t="s">
        <v>78</v>
      </c>
      <c r="N883" t="s">
        <v>79</v>
      </c>
      <c r="O883" t="s">
        <v>74</v>
      </c>
      <c r="P883" t="s">
        <v>74</v>
      </c>
      <c r="Q883" t="s">
        <v>74</v>
      </c>
      <c r="R883" t="s">
        <v>74</v>
      </c>
      <c r="S883" t="s">
        <v>74</v>
      </c>
      <c r="T883" t="s">
        <v>74</v>
      </c>
      <c r="U883" t="s">
        <v>16714</v>
      </c>
      <c r="V883" t="s">
        <v>16715</v>
      </c>
      <c r="W883" t="s">
        <v>16716</v>
      </c>
      <c r="X883" t="s">
        <v>1472</v>
      </c>
      <c r="Y883" t="s">
        <v>16717</v>
      </c>
      <c r="Z883" t="s">
        <v>16718</v>
      </c>
      <c r="AA883" t="s">
        <v>16719</v>
      </c>
      <c r="AB883" t="s">
        <v>16720</v>
      </c>
      <c r="AC883" t="s">
        <v>16721</v>
      </c>
      <c r="AD883" t="s">
        <v>16722</v>
      </c>
      <c r="AE883" t="s">
        <v>16723</v>
      </c>
      <c r="AF883" t="s">
        <v>74</v>
      </c>
      <c r="AG883">
        <v>37</v>
      </c>
      <c r="AH883">
        <v>44</v>
      </c>
      <c r="AI883">
        <v>46</v>
      </c>
      <c r="AJ883">
        <v>3</v>
      </c>
      <c r="AK883">
        <v>17</v>
      </c>
      <c r="AL883" t="s">
        <v>16626</v>
      </c>
      <c r="AM883" t="s">
        <v>16627</v>
      </c>
      <c r="AN883" t="s">
        <v>16628</v>
      </c>
      <c r="AO883" t="s">
        <v>16724</v>
      </c>
      <c r="AP883" t="s">
        <v>16725</v>
      </c>
      <c r="AQ883" t="s">
        <v>74</v>
      </c>
      <c r="AR883" t="s">
        <v>16713</v>
      </c>
      <c r="AS883" t="s">
        <v>16726</v>
      </c>
      <c r="AT883" t="s">
        <v>74</v>
      </c>
      <c r="AU883">
        <v>2015</v>
      </c>
      <c r="AV883">
        <v>9</v>
      </c>
      <c r="AW883">
        <v>6</v>
      </c>
      <c r="AX883" t="s">
        <v>74</v>
      </c>
      <c r="AY883" t="s">
        <v>74</v>
      </c>
      <c r="AZ883" t="s">
        <v>74</v>
      </c>
      <c r="BA883" t="s">
        <v>74</v>
      </c>
      <c r="BB883">
        <v>2027</v>
      </c>
      <c r="BC883">
        <v>2041</v>
      </c>
      <c r="BD883" t="s">
        <v>74</v>
      </c>
      <c r="BE883" t="s">
        <v>16727</v>
      </c>
      <c r="BF883" t="str">
        <f>HYPERLINK("http://dx.doi.org/10.5194/tc-9-2027-2015","http://dx.doi.org/10.5194/tc-9-2027-2015")</f>
        <v>http://dx.doi.org/10.5194/tc-9-2027-2015</v>
      </c>
      <c r="BG883" t="s">
        <v>74</v>
      </c>
      <c r="BH883" t="s">
        <v>74</v>
      </c>
      <c r="BI883">
        <v>15</v>
      </c>
      <c r="BJ883" t="s">
        <v>795</v>
      </c>
      <c r="BK883" t="s">
        <v>100</v>
      </c>
      <c r="BL883" t="s">
        <v>796</v>
      </c>
      <c r="BM883" t="s">
        <v>16728</v>
      </c>
      <c r="BN883" t="s">
        <v>74</v>
      </c>
      <c r="BO883" t="s">
        <v>16729</v>
      </c>
      <c r="BP883" t="s">
        <v>74</v>
      </c>
      <c r="BQ883" t="s">
        <v>74</v>
      </c>
      <c r="BR883" t="s">
        <v>104</v>
      </c>
      <c r="BS883" t="s">
        <v>16730</v>
      </c>
      <c r="BT883" t="str">
        <f>HYPERLINK("https%3A%2F%2Fwww.webofscience.com%2Fwos%2Fwoscc%2Ffull-record%2FWOS:000367523400002","View Full Record in Web of Science")</f>
        <v>View Full Record in Web of Science</v>
      </c>
    </row>
    <row r="884" spans="1:72" x14ac:dyDescent="0.15">
      <c r="A884" t="s">
        <v>72</v>
      </c>
      <c r="B884" t="s">
        <v>16731</v>
      </c>
      <c r="C884" t="s">
        <v>74</v>
      </c>
      <c r="D884" t="s">
        <v>74</v>
      </c>
      <c r="E884" t="s">
        <v>74</v>
      </c>
      <c r="F884" t="s">
        <v>16732</v>
      </c>
      <c r="G884" t="s">
        <v>74</v>
      </c>
      <c r="H884" t="s">
        <v>74</v>
      </c>
      <c r="I884" t="s">
        <v>16733</v>
      </c>
      <c r="J884" t="s">
        <v>16713</v>
      </c>
      <c r="K884" t="s">
        <v>74</v>
      </c>
      <c r="L884" t="s">
        <v>74</v>
      </c>
      <c r="M884" t="s">
        <v>78</v>
      </c>
      <c r="N884" t="s">
        <v>79</v>
      </c>
      <c r="O884" t="s">
        <v>74</v>
      </c>
      <c r="P884" t="s">
        <v>74</v>
      </c>
      <c r="Q884" t="s">
        <v>74</v>
      </c>
      <c r="R884" t="s">
        <v>74</v>
      </c>
      <c r="S884" t="s">
        <v>74</v>
      </c>
      <c r="T884" t="s">
        <v>74</v>
      </c>
      <c r="U884" t="s">
        <v>16734</v>
      </c>
      <c r="V884" t="s">
        <v>16735</v>
      </c>
      <c r="W884" t="s">
        <v>16736</v>
      </c>
      <c r="X884" t="s">
        <v>16737</v>
      </c>
      <c r="Y884" t="s">
        <v>16738</v>
      </c>
      <c r="Z884" t="s">
        <v>16739</v>
      </c>
      <c r="AA884" t="s">
        <v>16740</v>
      </c>
      <c r="AB884" t="s">
        <v>16741</v>
      </c>
      <c r="AC884" t="s">
        <v>16742</v>
      </c>
      <c r="AD884" t="s">
        <v>16743</v>
      </c>
      <c r="AE884" t="s">
        <v>16744</v>
      </c>
      <c r="AF884" t="s">
        <v>74</v>
      </c>
      <c r="AG884">
        <v>80</v>
      </c>
      <c r="AH884">
        <v>21</v>
      </c>
      <c r="AI884">
        <v>21</v>
      </c>
      <c r="AJ884">
        <v>0</v>
      </c>
      <c r="AK884">
        <v>24</v>
      </c>
      <c r="AL884" t="s">
        <v>16626</v>
      </c>
      <c r="AM884" t="s">
        <v>16627</v>
      </c>
      <c r="AN884" t="s">
        <v>16628</v>
      </c>
      <c r="AO884" t="s">
        <v>16724</v>
      </c>
      <c r="AP884" t="s">
        <v>16725</v>
      </c>
      <c r="AQ884" t="s">
        <v>74</v>
      </c>
      <c r="AR884" t="s">
        <v>16713</v>
      </c>
      <c r="AS884" t="s">
        <v>16726</v>
      </c>
      <c r="AT884" t="s">
        <v>74</v>
      </c>
      <c r="AU884">
        <v>2015</v>
      </c>
      <c r="AV884">
        <v>9</v>
      </c>
      <c r="AW884">
        <v>6</v>
      </c>
      <c r="AX884" t="s">
        <v>74</v>
      </c>
      <c r="AY884" t="s">
        <v>74</v>
      </c>
      <c r="AZ884" t="s">
        <v>74</v>
      </c>
      <c r="BA884" t="s">
        <v>74</v>
      </c>
      <c r="BB884">
        <v>2357</v>
      </c>
      <c r="BC884">
        <v>2381</v>
      </c>
      <c r="BD884" t="s">
        <v>74</v>
      </c>
      <c r="BE884" t="s">
        <v>16745</v>
      </c>
      <c r="BF884" t="str">
        <f>HYPERLINK("http://dx.doi.org/10.5194/tc-9-2357-2015","http://dx.doi.org/10.5194/tc-9-2357-2015")</f>
        <v>http://dx.doi.org/10.5194/tc-9-2357-2015</v>
      </c>
      <c r="BG884" t="s">
        <v>74</v>
      </c>
      <c r="BH884" t="s">
        <v>74</v>
      </c>
      <c r="BI884">
        <v>25</v>
      </c>
      <c r="BJ884" t="s">
        <v>795</v>
      </c>
      <c r="BK884" t="s">
        <v>100</v>
      </c>
      <c r="BL884" t="s">
        <v>796</v>
      </c>
      <c r="BM884" t="s">
        <v>16728</v>
      </c>
      <c r="BN884" t="s">
        <v>74</v>
      </c>
      <c r="BO884" t="s">
        <v>1490</v>
      </c>
      <c r="BP884" t="s">
        <v>74</v>
      </c>
      <c r="BQ884" t="s">
        <v>74</v>
      </c>
      <c r="BR884" t="s">
        <v>104</v>
      </c>
      <c r="BS884" t="s">
        <v>16746</v>
      </c>
      <c r="BT884" t="str">
        <f>HYPERLINK("https%3A%2F%2Fwww.webofscience.com%2Fwos%2Fwoscc%2Ffull-record%2FWOS:000367523400022","View Full Record in Web of Science")</f>
        <v>View Full Record in Web of Science</v>
      </c>
    </row>
    <row r="885" spans="1:72" x14ac:dyDescent="0.15">
      <c r="A885" t="s">
        <v>72</v>
      </c>
      <c r="B885" t="s">
        <v>16747</v>
      </c>
      <c r="C885" t="s">
        <v>74</v>
      </c>
      <c r="D885" t="s">
        <v>74</v>
      </c>
      <c r="E885" t="s">
        <v>74</v>
      </c>
      <c r="F885" t="s">
        <v>16748</v>
      </c>
      <c r="G885" t="s">
        <v>74</v>
      </c>
      <c r="H885" t="s">
        <v>74</v>
      </c>
      <c r="I885" t="s">
        <v>16749</v>
      </c>
      <c r="J885" t="s">
        <v>16713</v>
      </c>
      <c r="K885" t="s">
        <v>74</v>
      </c>
      <c r="L885" t="s">
        <v>74</v>
      </c>
      <c r="M885" t="s">
        <v>78</v>
      </c>
      <c r="N885" t="s">
        <v>79</v>
      </c>
      <c r="O885" t="s">
        <v>74</v>
      </c>
      <c r="P885" t="s">
        <v>74</v>
      </c>
      <c r="Q885" t="s">
        <v>74</v>
      </c>
      <c r="R885" t="s">
        <v>74</v>
      </c>
      <c r="S885" t="s">
        <v>74</v>
      </c>
      <c r="T885" t="s">
        <v>74</v>
      </c>
      <c r="U885" t="s">
        <v>16750</v>
      </c>
      <c r="V885" t="s">
        <v>16751</v>
      </c>
      <c r="W885" t="s">
        <v>16752</v>
      </c>
      <c r="X885" t="s">
        <v>16753</v>
      </c>
      <c r="Y885" t="s">
        <v>16754</v>
      </c>
      <c r="Z885" t="s">
        <v>16755</v>
      </c>
      <c r="AA885" t="s">
        <v>16756</v>
      </c>
      <c r="AB885" t="s">
        <v>16757</v>
      </c>
      <c r="AC885" t="s">
        <v>16758</v>
      </c>
      <c r="AD885" t="s">
        <v>16759</v>
      </c>
      <c r="AE885" t="s">
        <v>16760</v>
      </c>
      <c r="AF885" t="s">
        <v>74</v>
      </c>
      <c r="AG885">
        <v>70</v>
      </c>
      <c r="AH885">
        <v>38</v>
      </c>
      <c r="AI885">
        <v>40</v>
      </c>
      <c r="AJ885">
        <v>1</v>
      </c>
      <c r="AK885">
        <v>13</v>
      </c>
      <c r="AL885" t="s">
        <v>16626</v>
      </c>
      <c r="AM885" t="s">
        <v>16627</v>
      </c>
      <c r="AN885" t="s">
        <v>16628</v>
      </c>
      <c r="AO885" t="s">
        <v>16724</v>
      </c>
      <c r="AP885" t="s">
        <v>16725</v>
      </c>
      <c r="AQ885" t="s">
        <v>74</v>
      </c>
      <c r="AR885" t="s">
        <v>16713</v>
      </c>
      <c r="AS885" t="s">
        <v>16726</v>
      </c>
      <c r="AT885" t="s">
        <v>74</v>
      </c>
      <c r="AU885">
        <v>2015</v>
      </c>
      <c r="AV885">
        <v>9</v>
      </c>
      <c r="AW885">
        <v>6</v>
      </c>
      <c r="AX885" t="s">
        <v>74</v>
      </c>
      <c r="AY885" t="s">
        <v>74</v>
      </c>
      <c r="AZ885" t="s">
        <v>74</v>
      </c>
      <c r="BA885" t="s">
        <v>74</v>
      </c>
      <c r="BB885">
        <v>2383</v>
      </c>
      <c r="BC885">
        <v>2398</v>
      </c>
      <c r="BD885" t="s">
        <v>74</v>
      </c>
      <c r="BE885" t="s">
        <v>16761</v>
      </c>
      <c r="BF885" t="str">
        <f>HYPERLINK("http://dx.doi.org/10.5194/tc-9-2383-2015","http://dx.doi.org/10.5194/tc-9-2383-2015")</f>
        <v>http://dx.doi.org/10.5194/tc-9-2383-2015</v>
      </c>
      <c r="BG885" t="s">
        <v>74</v>
      </c>
      <c r="BH885" t="s">
        <v>74</v>
      </c>
      <c r="BI885">
        <v>16</v>
      </c>
      <c r="BJ885" t="s">
        <v>795</v>
      </c>
      <c r="BK885" t="s">
        <v>100</v>
      </c>
      <c r="BL885" t="s">
        <v>796</v>
      </c>
      <c r="BM885" t="s">
        <v>16728</v>
      </c>
      <c r="BN885" t="s">
        <v>74</v>
      </c>
      <c r="BO885" t="s">
        <v>12815</v>
      </c>
      <c r="BP885" t="s">
        <v>74</v>
      </c>
      <c r="BQ885" t="s">
        <v>74</v>
      </c>
      <c r="BR885" t="s">
        <v>104</v>
      </c>
      <c r="BS885" t="s">
        <v>16762</v>
      </c>
      <c r="BT885" t="str">
        <f>HYPERLINK("https%3A%2F%2Fwww.webofscience.com%2Fwos%2Fwoscc%2Ffull-record%2FWOS:000367523400023","View Full Record in Web of Science")</f>
        <v>View Full Record in Web of Science</v>
      </c>
    </row>
    <row r="886" spans="1:72" x14ac:dyDescent="0.15">
      <c r="A886" t="s">
        <v>72</v>
      </c>
      <c r="B886" t="s">
        <v>16763</v>
      </c>
      <c r="C886" t="s">
        <v>74</v>
      </c>
      <c r="D886" t="s">
        <v>74</v>
      </c>
      <c r="E886" t="s">
        <v>74</v>
      </c>
      <c r="F886" t="s">
        <v>16764</v>
      </c>
      <c r="G886" t="s">
        <v>74</v>
      </c>
      <c r="H886" t="s">
        <v>74</v>
      </c>
      <c r="I886" t="s">
        <v>16765</v>
      </c>
      <c r="J886" t="s">
        <v>16713</v>
      </c>
      <c r="K886" t="s">
        <v>74</v>
      </c>
      <c r="L886" t="s">
        <v>74</v>
      </c>
      <c r="M886" t="s">
        <v>78</v>
      </c>
      <c r="N886" t="s">
        <v>79</v>
      </c>
      <c r="O886" t="s">
        <v>74</v>
      </c>
      <c r="P886" t="s">
        <v>74</v>
      </c>
      <c r="Q886" t="s">
        <v>74</v>
      </c>
      <c r="R886" t="s">
        <v>74</v>
      </c>
      <c r="S886" t="s">
        <v>74</v>
      </c>
      <c r="T886" t="s">
        <v>74</v>
      </c>
      <c r="U886" t="s">
        <v>16766</v>
      </c>
      <c r="V886" t="s">
        <v>16767</v>
      </c>
      <c r="W886" t="s">
        <v>16768</v>
      </c>
      <c r="X886" t="s">
        <v>16769</v>
      </c>
      <c r="Y886" t="s">
        <v>16770</v>
      </c>
      <c r="Z886" t="s">
        <v>16771</v>
      </c>
      <c r="AA886" t="s">
        <v>16772</v>
      </c>
      <c r="AB886" t="s">
        <v>16773</v>
      </c>
      <c r="AC886" t="s">
        <v>16774</v>
      </c>
      <c r="AD886" t="s">
        <v>16775</v>
      </c>
      <c r="AE886" t="s">
        <v>16776</v>
      </c>
      <c r="AF886" t="s">
        <v>74</v>
      </c>
      <c r="AG886">
        <v>60</v>
      </c>
      <c r="AH886">
        <v>8</v>
      </c>
      <c r="AI886">
        <v>8</v>
      </c>
      <c r="AJ886">
        <v>0</v>
      </c>
      <c r="AK886">
        <v>8</v>
      </c>
      <c r="AL886" t="s">
        <v>16626</v>
      </c>
      <c r="AM886" t="s">
        <v>16627</v>
      </c>
      <c r="AN886" t="s">
        <v>16628</v>
      </c>
      <c r="AO886" t="s">
        <v>16724</v>
      </c>
      <c r="AP886" t="s">
        <v>16725</v>
      </c>
      <c r="AQ886" t="s">
        <v>74</v>
      </c>
      <c r="AR886" t="s">
        <v>16713</v>
      </c>
      <c r="AS886" t="s">
        <v>16726</v>
      </c>
      <c r="AT886" t="s">
        <v>74</v>
      </c>
      <c r="AU886">
        <v>2015</v>
      </c>
      <c r="AV886">
        <v>9</v>
      </c>
      <c r="AW886">
        <v>6</v>
      </c>
      <c r="AX886" t="s">
        <v>74</v>
      </c>
      <c r="AY886" t="s">
        <v>74</v>
      </c>
      <c r="AZ886" t="s">
        <v>74</v>
      </c>
      <c r="BA886" t="s">
        <v>74</v>
      </c>
      <c r="BB886">
        <v>2405</v>
      </c>
      <c r="BC886">
        <v>2415</v>
      </c>
      <c r="BD886" t="s">
        <v>74</v>
      </c>
      <c r="BE886" t="s">
        <v>16777</v>
      </c>
      <c r="BF886" t="str">
        <f>HYPERLINK("http://dx.doi.org/10.5194/tc-9-2405-2015","http://dx.doi.org/10.5194/tc-9-2405-2015")</f>
        <v>http://dx.doi.org/10.5194/tc-9-2405-2015</v>
      </c>
      <c r="BG886" t="s">
        <v>74</v>
      </c>
      <c r="BH886" t="s">
        <v>74</v>
      </c>
      <c r="BI886">
        <v>11</v>
      </c>
      <c r="BJ886" t="s">
        <v>795</v>
      </c>
      <c r="BK886" t="s">
        <v>100</v>
      </c>
      <c r="BL886" t="s">
        <v>796</v>
      </c>
      <c r="BM886" t="s">
        <v>16728</v>
      </c>
      <c r="BN886" t="s">
        <v>74</v>
      </c>
      <c r="BO886" t="s">
        <v>14704</v>
      </c>
      <c r="BP886" t="s">
        <v>74</v>
      </c>
      <c r="BQ886" t="s">
        <v>74</v>
      </c>
      <c r="BR886" t="s">
        <v>104</v>
      </c>
      <c r="BS886" t="s">
        <v>16778</v>
      </c>
      <c r="BT886" t="str">
        <f>HYPERLINK("https%3A%2F%2Fwww.webofscience.com%2Fwos%2Fwoscc%2Ffull-record%2FWOS:000367523400025","View Full Record in Web of Science")</f>
        <v>View Full Record in Web of Science</v>
      </c>
    </row>
    <row r="887" spans="1:72" x14ac:dyDescent="0.15">
      <c r="A887" t="s">
        <v>15464</v>
      </c>
      <c r="B887" t="s">
        <v>16779</v>
      </c>
      <c r="C887" t="s">
        <v>74</v>
      </c>
      <c r="D887" t="s">
        <v>16780</v>
      </c>
      <c r="E887" t="s">
        <v>74</v>
      </c>
      <c r="F887" t="s">
        <v>16781</v>
      </c>
      <c r="G887" t="s">
        <v>74</v>
      </c>
      <c r="H887" t="s">
        <v>74</v>
      </c>
      <c r="I887" t="s">
        <v>16782</v>
      </c>
      <c r="J887" t="s">
        <v>16783</v>
      </c>
      <c r="K887" t="s">
        <v>16784</v>
      </c>
      <c r="L887" t="s">
        <v>74</v>
      </c>
      <c r="M887" t="s">
        <v>78</v>
      </c>
      <c r="N887" t="s">
        <v>15471</v>
      </c>
      <c r="O887" t="s">
        <v>16785</v>
      </c>
      <c r="P887" t="s">
        <v>16786</v>
      </c>
      <c r="Q887" t="s">
        <v>16787</v>
      </c>
      <c r="R887" t="s">
        <v>74</v>
      </c>
      <c r="S887" t="s">
        <v>74</v>
      </c>
      <c r="T887" t="s">
        <v>16788</v>
      </c>
      <c r="U887" t="s">
        <v>74</v>
      </c>
      <c r="V887" t="s">
        <v>16789</v>
      </c>
      <c r="W887" t="s">
        <v>16790</v>
      </c>
      <c r="X887" t="s">
        <v>16791</v>
      </c>
      <c r="Y887" t="s">
        <v>16792</v>
      </c>
      <c r="Z887" t="s">
        <v>74</v>
      </c>
      <c r="AA887" t="s">
        <v>74</v>
      </c>
      <c r="AB887" t="s">
        <v>74</v>
      </c>
      <c r="AC887" t="s">
        <v>16793</v>
      </c>
      <c r="AD887" t="s">
        <v>5182</v>
      </c>
      <c r="AE887" t="s">
        <v>74</v>
      </c>
      <c r="AF887" t="s">
        <v>74</v>
      </c>
      <c r="AG887">
        <v>3</v>
      </c>
      <c r="AH887">
        <v>1</v>
      </c>
      <c r="AI887">
        <v>1</v>
      </c>
      <c r="AJ887">
        <v>0</v>
      </c>
      <c r="AK887">
        <v>0</v>
      </c>
      <c r="AL887" t="s">
        <v>16794</v>
      </c>
      <c r="AM887" t="s">
        <v>16795</v>
      </c>
      <c r="AN887" t="s">
        <v>16796</v>
      </c>
      <c r="AO887" t="s">
        <v>16797</v>
      </c>
      <c r="AP887" t="s">
        <v>74</v>
      </c>
      <c r="AQ887" t="s">
        <v>16798</v>
      </c>
      <c r="AR887" t="s">
        <v>16799</v>
      </c>
      <c r="AS887" t="s">
        <v>74</v>
      </c>
      <c r="AT887" t="s">
        <v>74</v>
      </c>
      <c r="AU887">
        <v>2015</v>
      </c>
      <c r="AV887">
        <v>9640</v>
      </c>
      <c r="AW887" t="s">
        <v>74</v>
      </c>
      <c r="AX887" t="s">
        <v>74</v>
      </c>
      <c r="AY887" t="s">
        <v>74</v>
      </c>
      <c r="AZ887" t="s">
        <v>74</v>
      </c>
      <c r="BA887" t="s">
        <v>74</v>
      </c>
      <c r="BB887" t="s">
        <v>74</v>
      </c>
      <c r="BC887" t="s">
        <v>74</v>
      </c>
      <c r="BD887" t="s">
        <v>16800</v>
      </c>
      <c r="BE887" t="s">
        <v>16801</v>
      </c>
      <c r="BF887" t="str">
        <f>HYPERLINK("http://dx.doi.org/10.1117/12.2195691","http://dx.doi.org/10.1117/12.2195691")</f>
        <v>http://dx.doi.org/10.1117/12.2195691</v>
      </c>
      <c r="BG887" t="s">
        <v>74</v>
      </c>
      <c r="BH887" t="s">
        <v>74</v>
      </c>
      <c r="BI887">
        <v>9</v>
      </c>
      <c r="BJ887" t="s">
        <v>16802</v>
      </c>
      <c r="BK887" t="s">
        <v>15487</v>
      </c>
      <c r="BL887" t="s">
        <v>16802</v>
      </c>
      <c r="BM887" t="s">
        <v>16803</v>
      </c>
      <c r="BN887" t="s">
        <v>74</v>
      </c>
      <c r="BO887" t="s">
        <v>74</v>
      </c>
      <c r="BP887" t="s">
        <v>74</v>
      </c>
      <c r="BQ887" t="s">
        <v>74</v>
      </c>
      <c r="BR887" t="s">
        <v>104</v>
      </c>
      <c r="BS887" t="s">
        <v>16804</v>
      </c>
      <c r="BT887" t="str">
        <f>HYPERLINK("https%3A%2F%2Fwww.webofscience.com%2Fwos%2Fwoscc%2Ffull-record%2FWOS:000367320500034","View Full Record in Web of Science")</f>
        <v>View Full Record in Web of Science</v>
      </c>
    </row>
    <row r="888" spans="1:72" x14ac:dyDescent="0.15">
      <c r="A888" t="s">
        <v>15464</v>
      </c>
      <c r="B888" t="s">
        <v>16805</v>
      </c>
      <c r="C888" t="s">
        <v>74</v>
      </c>
      <c r="D888" t="s">
        <v>16806</v>
      </c>
      <c r="E888" t="s">
        <v>74</v>
      </c>
      <c r="F888" t="s">
        <v>16807</v>
      </c>
      <c r="G888" t="s">
        <v>74</v>
      </c>
      <c r="H888" t="s">
        <v>74</v>
      </c>
      <c r="I888" t="s">
        <v>16808</v>
      </c>
      <c r="J888" t="s">
        <v>16809</v>
      </c>
      <c r="K888" t="s">
        <v>16784</v>
      </c>
      <c r="L888" t="s">
        <v>74</v>
      </c>
      <c r="M888" t="s">
        <v>78</v>
      </c>
      <c r="N888" t="s">
        <v>15471</v>
      </c>
      <c r="O888" t="s">
        <v>16810</v>
      </c>
      <c r="P888" t="s">
        <v>16811</v>
      </c>
      <c r="Q888" t="s">
        <v>16812</v>
      </c>
      <c r="R888" t="s">
        <v>74</v>
      </c>
      <c r="S888" t="s">
        <v>74</v>
      </c>
      <c r="T888" t="s">
        <v>16813</v>
      </c>
      <c r="U888" t="s">
        <v>74</v>
      </c>
      <c r="V888" t="s">
        <v>16814</v>
      </c>
      <c r="W888" t="s">
        <v>16815</v>
      </c>
      <c r="X888" t="s">
        <v>16816</v>
      </c>
      <c r="Y888" t="s">
        <v>16817</v>
      </c>
      <c r="Z888" t="s">
        <v>74</v>
      </c>
      <c r="AA888" t="s">
        <v>16818</v>
      </c>
      <c r="AB888" t="s">
        <v>16819</v>
      </c>
      <c r="AC888" t="s">
        <v>74</v>
      </c>
      <c r="AD888" t="s">
        <v>74</v>
      </c>
      <c r="AE888" t="s">
        <v>74</v>
      </c>
      <c r="AF888" t="s">
        <v>74</v>
      </c>
      <c r="AG888">
        <v>4</v>
      </c>
      <c r="AH888">
        <v>0</v>
      </c>
      <c r="AI888">
        <v>0</v>
      </c>
      <c r="AJ888">
        <v>0</v>
      </c>
      <c r="AK888">
        <v>3</v>
      </c>
      <c r="AL888" t="s">
        <v>16794</v>
      </c>
      <c r="AM888" t="s">
        <v>16795</v>
      </c>
      <c r="AN888" t="s">
        <v>16796</v>
      </c>
      <c r="AO888" t="s">
        <v>16797</v>
      </c>
      <c r="AP888" t="s">
        <v>16820</v>
      </c>
      <c r="AQ888" t="s">
        <v>16821</v>
      </c>
      <c r="AR888" t="s">
        <v>16799</v>
      </c>
      <c r="AS888" t="s">
        <v>74</v>
      </c>
      <c r="AT888" t="s">
        <v>74</v>
      </c>
      <c r="AU888">
        <v>2015</v>
      </c>
      <c r="AV888">
        <v>9680</v>
      </c>
      <c r="AW888" t="s">
        <v>74</v>
      </c>
      <c r="AX888" t="s">
        <v>74</v>
      </c>
      <c r="AY888" t="s">
        <v>74</v>
      </c>
      <c r="AZ888" t="s">
        <v>74</v>
      </c>
      <c r="BA888" t="s">
        <v>74</v>
      </c>
      <c r="BB888" t="s">
        <v>74</v>
      </c>
      <c r="BC888" t="s">
        <v>74</v>
      </c>
      <c r="BD888" t="s">
        <v>16822</v>
      </c>
      <c r="BE888" t="s">
        <v>16823</v>
      </c>
      <c r="BF888" t="str">
        <f>HYPERLINK("http://dx.doi.org/10.1117/12.2203587","http://dx.doi.org/10.1117/12.2203587")</f>
        <v>http://dx.doi.org/10.1117/12.2203587</v>
      </c>
      <c r="BG888" t="s">
        <v>74</v>
      </c>
      <c r="BH888" t="s">
        <v>74</v>
      </c>
      <c r="BI888">
        <v>4</v>
      </c>
      <c r="BJ888" t="s">
        <v>16824</v>
      </c>
      <c r="BK888" t="s">
        <v>15487</v>
      </c>
      <c r="BL888" t="s">
        <v>16825</v>
      </c>
      <c r="BM888" t="s">
        <v>16826</v>
      </c>
      <c r="BN888" t="s">
        <v>74</v>
      </c>
      <c r="BO888" t="s">
        <v>74</v>
      </c>
      <c r="BP888" t="s">
        <v>74</v>
      </c>
      <c r="BQ888" t="s">
        <v>74</v>
      </c>
      <c r="BR888" t="s">
        <v>104</v>
      </c>
      <c r="BS888" t="s">
        <v>16827</v>
      </c>
      <c r="BT888" t="str">
        <f>HYPERLINK("https%3A%2F%2Fwww.webofscience.com%2Fwos%2Fwoscc%2Ffull-record%2FWOS:000366810300097","View Full Record in Web of Science")</f>
        <v>View Full Record in Web of Science</v>
      </c>
    </row>
    <row r="889" spans="1:72" x14ac:dyDescent="0.15">
      <c r="A889" t="s">
        <v>15464</v>
      </c>
      <c r="B889" t="s">
        <v>16828</v>
      </c>
      <c r="C889" t="s">
        <v>74</v>
      </c>
      <c r="D889" t="s">
        <v>16806</v>
      </c>
      <c r="E889" t="s">
        <v>74</v>
      </c>
      <c r="F889" t="s">
        <v>16829</v>
      </c>
      <c r="G889" t="s">
        <v>74</v>
      </c>
      <c r="H889" t="s">
        <v>74</v>
      </c>
      <c r="I889" t="s">
        <v>16830</v>
      </c>
      <c r="J889" t="s">
        <v>16809</v>
      </c>
      <c r="K889" t="s">
        <v>16784</v>
      </c>
      <c r="L889" t="s">
        <v>74</v>
      </c>
      <c r="M889" t="s">
        <v>78</v>
      </c>
      <c r="N889" t="s">
        <v>15471</v>
      </c>
      <c r="O889" t="s">
        <v>16810</v>
      </c>
      <c r="P889" t="s">
        <v>16811</v>
      </c>
      <c r="Q889" t="s">
        <v>16812</v>
      </c>
      <c r="R889" t="s">
        <v>74</v>
      </c>
      <c r="S889" t="s">
        <v>74</v>
      </c>
      <c r="T889" t="s">
        <v>16831</v>
      </c>
      <c r="U889" t="s">
        <v>16832</v>
      </c>
      <c r="V889" t="s">
        <v>16833</v>
      </c>
      <c r="W889" t="s">
        <v>16834</v>
      </c>
      <c r="X889" t="s">
        <v>16816</v>
      </c>
      <c r="Y889" t="s">
        <v>16835</v>
      </c>
      <c r="Z889" t="s">
        <v>16836</v>
      </c>
      <c r="AA889" t="s">
        <v>16837</v>
      </c>
      <c r="AB889" t="s">
        <v>74</v>
      </c>
      <c r="AC889" t="s">
        <v>74</v>
      </c>
      <c r="AD889" t="s">
        <v>74</v>
      </c>
      <c r="AE889" t="s">
        <v>74</v>
      </c>
      <c r="AF889" t="s">
        <v>74</v>
      </c>
      <c r="AG889">
        <v>11</v>
      </c>
      <c r="AH889">
        <v>2</v>
      </c>
      <c r="AI889">
        <v>2</v>
      </c>
      <c r="AJ889">
        <v>2</v>
      </c>
      <c r="AK889">
        <v>3</v>
      </c>
      <c r="AL889" t="s">
        <v>16794</v>
      </c>
      <c r="AM889" t="s">
        <v>16795</v>
      </c>
      <c r="AN889" t="s">
        <v>16796</v>
      </c>
      <c r="AO889" t="s">
        <v>16797</v>
      </c>
      <c r="AP889" t="s">
        <v>16820</v>
      </c>
      <c r="AQ889" t="s">
        <v>16821</v>
      </c>
      <c r="AR889" t="s">
        <v>16799</v>
      </c>
      <c r="AS889" t="s">
        <v>74</v>
      </c>
      <c r="AT889" t="s">
        <v>74</v>
      </c>
      <c r="AU889">
        <v>2015</v>
      </c>
      <c r="AV889">
        <v>9680</v>
      </c>
      <c r="AW889" t="s">
        <v>74</v>
      </c>
      <c r="AX889" t="s">
        <v>74</v>
      </c>
      <c r="AY889" t="s">
        <v>74</v>
      </c>
      <c r="AZ889" t="s">
        <v>74</v>
      </c>
      <c r="BA889" t="s">
        <v>74</v>
      </c>
      <c r="BB889" t="s">
        <v>74</v>
      </c>
      <c r="BC889" t="s">
        <v>74</v>
      </c>
      <c r="BD889">
        <v>968032</v>
      </c>
      <c r="BE889" t="s">
        <v>16838</v>
      </c>
      <c r="BF889" t="str">
        <f>HYPERLINK("http://dx.doi.org/10.1117/12.2205010","http://dx.doi.org/10.1117/12.2205010")</f>
        <v>http://dx.doi.org/10.1117/12.2205010</v>
      </c>
      <c r="BG889" t="s">
        <v>74</v>
      </c>
      <c r="BH889" t="s">
        <v>74</v>
      </c>
      <c r="BI889">
        <v>7</v>
      </c>
      <c r="BJ889" t="s">
        <v>16824</v>
      </c>
      <c r="BK889" t="s">
        <v>15487</v>
      </c>
      <c r="BL889" t="s">
        <v>16825</v>
      </c>
      <c r="BM889" t="s">
        <v>16826</v>
      </c>
      <c r="BN889" t="s">
        <v>74</v>
      </c>
      <c r="BO889" t="s">
        <v>74</v>
      </c>
      <c r="BP889" t="s">
        <v>74</v>
      </c>
      <c r="BQ889" t="s">
        <v>74</v>
      </c>
      <c r="BR889" t="s">
        <v>104</v>
      </c>
      <c r="BS889" t="s">
        <v>16839</v>
      </c>
      <c r="BT889" t="str">
        <f>HYPERLINK("https%3A%2F%2Fwww.webofscience.com%2Fwos%2Fwoscc%2Ffull-record%2FWOS:000366810300110","View Full Record in Web of Science")</f>
        <v>View Full Record in Web of Science</v>
      </c>
    </row>
    <row r="890" spans="1:72" x14ac:dyDescent="0.15">
      <c r="A890" t="s">
        <v>15464</v>
      </c>
      <c r="B890" t="s">
        <v>16840</v>
      </c>
      <c r="C890" t="s">
        <v>74</v>
      </c>
      <c r="D890" t="s">
        <v>16806</v>
      </c>
      <c r="E890" t="s">
        <v>74</v>
      </c>
      <c r="F890" t="s">
        <v>16841</v>
      </c>
      <c r="G890" t="s">
        <v>74</v>
      </c>
      <c r="H890" t="s">
        <v>74</v>
      </c>
      <c r="I890" t="s">
        <v>16842</v>
      </c>
      <c r="J890" t="s">
        <v>16809</v>
      </c>
      <c r="K890" t="s">
        <v>16784</v>
      </c>
      <c r="L890" t="s">
        <v>74</v>
      </c>
      <c r="M890" t="s">
        <v>78</v>
      </c>
      <c r="N890" t="s">
        <v>15471</v>
      </c>
      <c r="O890" t="s">
        <v>16810</v>
      </c>
      <c r="P890" t="s">
        <v>16811</v>
      </c>
      <c r="Q890" t="s">
        <v>16812</v>
      </c>
      <c r="R890" t="s">
        <v>74</v>
      </c>
      <c r="S890" t="s">
        <v>74</v>
      </c>
      <c r="T890" t="s">
        <v>16843</v>
      </c>
      <c r="U890" t="s">
        <v>16844</v>
      </c>
      <c r="V890" t="s">
        <v>16845</v>
      </c>
      <c r="W890" t="s">
        <v>16846</v>
      </c>
      <c r="X890" t="s">
        <v>16847</v>
      </c>
      <c r="Y890" t="s">
        <v>16848</v>
      </c>
      <c r="Z890" t="s">
        <v>16849</v>
      </c>
      <c r="AA890" t="s">
        <v>16850</v>
      </c>
      <c r="AB890" t="s">
        <v>16851</v>
      </c>
      <c r="AC890" t="s">
        <v>74</v>
      </c>
      <c r="AD890" t="s">
        <v>74</v>
      </c>
      <c r="AE890" t="s">
        <v>74</v>
      </c>
      <c r="AF890" t="s">
        <v>74</v>
      </c>
      <c r="AG890">
        <v>11</v>
      </c>
      <c r="AH890">
        <v>0</v>
      </c>
      <c r="AI890">
        <v>0</v>
      </c>
      <c r="AJ890">
        <v>0</v>
      </c>
      <c r="AK890">
        <v>4</v>
      </c>
      <c r="AL890" t="s">
        <v>16794</v>
      </c>
      <c r="AM890" t="s">
        <v>16795</v>
      </c>
      <c r="AN890" t="s">
        <v>16796</v>
      </c>
      <c r="AO890" t="s">
        <v>16797</v>
      </c>
      <c r="AP890" t="s">
        <v>16820</v>
      </c>
      <c r="AQ890" t="s">
        <v>16821</v>
      </c>
      <c r="AR890" t="s">
        <v>16799</v>
      </c>
      <c r="AS890" t="s">
        <v>74</v>
      </c>
      <c r="AT890" t="s">
        <v>74</v>
      </c>
      <c r="AU890">
        <v>2015</v>
      </c>
      <c r="AV890">
        <v>9680</v>
      </c>
      <c r="AW890" t="s">
        <v>74</v>
      </c>
      <c r="AX890" t="s">
        <v>74</v>
      </c>
      <c r="AY890" t="s">
        <v>74</v>
      </c>
      <c r="AZ890" t="s">
        <v>74</v>
      </c>
      <c r="BA890" t="s">
        <v>74</v>
      </c>
      <c r="BB890" t="s">
        <v>74</v>
      </c>
      <c r="BC890" t="s">
        <v>74</v>
      </c>
      <c r="BD890" t="s">
        <v>16852</v>
      </c>
      <c r="BE890" t="s">
        <v>16853</v>
      </c>
      <c r="BF890" t="str">
        <f>HYPERLINK("http://dx.doi.org/10.1117/12.2204873","http://dx.doi.org/10.1117/12.2204873")</f>
        <v>http://dx.doi.org/10.1117/12.2204873</v>
      </c>
      <c r="BG890" t="s">
        <v>74</v>
      </c>
      <c r="BH890" t="s">
        <v>74</v>
      </c>
      <c r="BI890">
        <v>6</v>
      </c>
      <c r="BJ890" t="s">
        <v>16824</v>
      </c>
      <c r="BK890" t="s">
        <v>15487</v>
      </c>
      <c r="BL890" t="s">
        <v>16825</v>
      </c>
      <c r="BM890" t="s">
        <v>16826</v>
      </c>
      <c r="BN890" t="s">
        <v>74</v>
      </c>
      <c r="BO890" t="s">
        <v>74</v>
      </c>
      <c r="BP890" t="s">
        <v>74</v>
      </c>
      <c r="BQ890" t="s">
        <v>74</v>
      </c>
      <c r="BR890" t="s">
        <v>104</v>
      </c>
      <c r="BS890" t="s">
        <v>16854</v>
      </c>
      <c r="BT890" t="str">
        <f>HYPERLINK("https%3A%2F%2Fwww.webofscience.com%2Fwos%2Fwoscc%2Ffull-record%2FWOS:000366810300104","View Full Record in Web of Science")</f>
        <v>View Full Record in Web of Science</v>
      </c>
    </row>
    <row r="891" spans="1:72" x14ac:dyDescent="0.15">
      <c r="A891" t="s">
        <v>15464</v>
      </c>
      <c r="B891" t="s">
        <v>16855</v>
      </c>
      <c r="C891" t="s">
        <v>74</v>
      </c>
      <c r="D891" t="s">
        <v>16806</v>
      </c>
      <c r="E891" t="s">
        <v>74</v>
      </c>
      <c r="F891" t="s">
        <v>16856</v>
      </c>
      <c r="G891" t="s">
        <v>74</v>
      </c>
      <c r="H891" t="s">
        <v>74</v>
      </c>
      <c r="I891" t="s">
        <v>16857</v>
      </c>
      <c r="J891" t="s">
        <v>16809</v>
      </c>
      <c r="K891" t="s">
        <v>16784</v>
      </c>
      <c r="L891" t="s">
        <v>74</v>
      </c>
      <c r="M891" t="s">
        <v>78</v>
      </c>
      <c r="N891" t="s">
        <v>15471</v>
      </c>
      <c r="O891" t="s">
        <v>16810</v>
      </c>
      <c r="P891" t="s">
        <v>16811</v>
      </c>
      <c r="Q891" t="s">
        <v>16812</v>
      </c>
      <c r="R891" t="s">
        <v>74</v>
      </c>
      <c r="S891" t="s">
        <v>74</v>
      </c>
      <c r="T891" t="s">
        <v>16858</v>
      </c>
      <c r="U891" t="s">
        <v>74</v>
      </c>
      <c r="V891" t="s">
        <v>16859</v>
      </c>
      <c r="W891" t="s">
        <v>16860</v>
      </c>
      <c r="X891" t="s">
        <v>16816</v>
      </c>
      <c r="Y891" t="s">
        <v>16861</v>
      </c>
      <c r="Z891" t="s">
        <v>16862</v>
      </c>
      <c r="AA891" t="s">
        <v>16863</v>
      </c>
      <c r="AB891" t="s">
        <v>16864</v>
      </c>
      <c r="AC891" t="s">
        <v>74</v>
      </c>
      <c r="AD891" t="s">
        <v>74</v>
      </c>
      <c r="AE891" t="s">
        <v>74</v>
      </c>
      <c r="AF891" t="s">
        <v>74</v>
      </c>
      <c r="AG891">
        <v>10</v>
      </c>
      <c r="AH891">
        <v>1</v>
      </c>
      <c r="AI891">
        <v>2</v>
      </c>
      <c r="AJ891">
        <v>0</v>
      </c>
      <c r="AK891">
        <v>1</v>
      </c>
      <c r="AL891" t="s">
        <v>16794</v>
      </c>
      <c r="AM891" t="s">
        <v>16795</v>
      </c>
      <c r="AN891" t="s">
        <v>16796</v>
      </c>
      <c r="AO891" t="s">
        <v>16797</v>
      </c>
      <c r="AP891" t="s">
        <v>74</v>
      </c>
      <c r="AQ891" t="s">
        <v>16821</v>
      </c>
      <c r="AR891" t="s">
        <v>16799</v>
      </c>
      <c r="AS891" t="s">
        <v>74</v>
      </c>
      <c r="AT891" t="s">
        <v>74</v>
      </c>
      <c r="AU891">
        <v>2015</v>
      </c>
      <c r="AV891">
        <v>9680</v>
      </c>
      <c r="AW891" t="s">
        <v>74</v>
      </c>
      <c r="AX891" t="s">
        <v>74</v>
      </c>
      <c r="AY891" t="s">
        <v>74</v>
      </c>
      <c r="AZ891" t="s">
        <v>74</v>
      </c>
      <c r="BA891" t="s">
        <v>74</v>
      </c>
      <c r="BB891" t="s">
        <v>74</v>
      </c>
      <c r="BC891" t="s">
        <v>74</v>
      </c>
      <c r="BD891" t="s">
        <v>16865</v>
      </c>
      <c r="BE891" t="s">
        <v>16866</v>
      </c>
      <c r="BF891" t="str">
        <f>HYPERLINK("http://dx.doi.org/10.1117/12.2204791","http://dx.doi.org/10.1117/12.2204791")</f>
        <v>http://dx.doi.org/10.1117/12.2204791</v>
      </c>
      <c r="BG891" t="s">
        <v>74</v>
      </c>
      <c r="BH891" t="s">
        <v>74</v>
      </c>
      <c r="BI891">
        <v>6</v>
      </c>
      <c r="BJ891" t="s">
        <v>16824</v>
      </c>
      <c r="BK891" t="s">
        <v>15487</v>
      </c>
      <c r="BL891" t="s">
        <v>16825</v>
      </c>
      <c r="BM891" t="s">
        <v>16826</v>
      </c>
      <c r="BN891" t="s">
        <v>74</v>
      </c>
      <c r="BO891" t="s">
        <v>74</v>
      </c>
      <c r="BP891" t="s">
        <v>74</v>
      </c>
      <c r="BQ891" t="s">
        <v>74</v>
      </c>
      <c r="BR891" t="s">
        <v>104</v>
      </c>
      <c r="BS891" t="s">
        <v>16867</v>
      </c>
      <c r="BT891" t="str">
        <f>HYPERLINK("https%3A%2F%2Fwww.webofscience.com%2Fwos%2Fwoscc%2Ffull-record%2FWOS:000366810300100","View Full Record in Web of Science")</f>
        <v>View Full Record in Web of Science</v>
      </c>
    </row>
    <row r="892" spans="1:72" x14ac:dyDescent="0.15">
      <c r="A892" t="s">
        <v>72</v>
      </c>
      <c r="B892" t="s">
        <v>16868</v>
      </c>
      <c r="C892" t="s">
        <v>74</v>
      </c>
      <c r="D892" t="s">
        <v>74</v>
      </c>
      <c r="E892" t="s">
        <v>74</v>
      </c>
      <c r="F892" t="s">
        <v>16869</v>
      </c>
      <c r="G892" t="s">
        <v>74</v>
      </c>
      <c r="H892" t="s">
        <v>74</v>
      </c>
      <c r="I892" t="s">
        <v>16870</v>
      </c>
      <c r="J892" t="s">
        <v>16871</v>
      </c>
      <c r="K892" t="s">
        <v>74</v>
      </c>
      <c r="L892" t="s">
        <v>74</v>
      </c>
      <c r="M892" t="s">
        <v>78</v>
      </c>
      <c r="N892" t="s">
        <v>79</v>
      </c>
      <c r="O892" t="s">
        <v>74</v>
      </c>
      <c r="P892" t="s">
        <v>74</v>
      </c>
      <c r="Q892" t="s">
        <v>74</v>
      </c>
      <c r="R892" t="s">
        <v>74</v>
      </c>
      <c r="S892" t="s">
        <v>74</v>
      </c>
      <c r="T892" t="s">
        <v>16872</v>
      </c>
      <c r="U892" t="s">
        <v>16873</v>
      </c>
      <c r="V892" t="s">
        <v>16874</v>
      </c>
      <c r="W892" t="s">
        <v>16875</v>
      </c>
      <c r="X892" t="s">
        <v>16876</v>
      </c>
      <c r="Y892" t="s">
        <v>16877</v>
      </c>
      <c r="Z892" t="s">
        <v>16878</v>
      </c>
      <c r="AA892" t="s">
        <v>16879</v>
      </c>
      <c r="AB892" t="s">
        <v>16880</v>
      </c>
      <c r="AC892" t="s">
        <v>16881</v>
      </c>
      <c r="AD892" t="s">
        <v>16882</v>
      </c>
      <c r="AE892" t="s">
        <v>16883</v>
      </c>
      <c r="AF892" t="s">
        <v>74</v>
      </c>
      <c r="AG892">
        <v>8</v>
      </c>
      <c r="AH892">
        <v>6</v>
      </c>
      <c r="AI892">
        <v>6</v>
      </c>
      <c r="AJ892">
        <v>0</v>
      </c>
      <c r="AK892">
        <v>9</v>
      </c>
      <c r="AL892" t="s">
        <v>16884</v>
      </c>
      <c r="AM892" t="s">
        <v>16885</v>
      </c>
      <c r="AN892" t="s">
        <v>16886</v>
      </c>
      <c r="AO892" t="s">
        <v>16887</v>
      </c>
      <c r="AP892" t="s">
        <v>74</v>
      </c>
      <c r="AQ892" t="s">
        <v>74</v>
      </c>
      <c r="AR892" t="s">
        <v>16888</v>
      </c>
      <c r="AS892" t="s">
        <v>16889</v>
      </c>
      <c r="AT892" t="s">
        <v>74</v>
      </c>
      <c r="AU892">
        <v>2015</v>
      </c>
      <c r="AV892">
        <v>13</v>
      </c>
      <c r="AW892">
        <v>3</v>
      </c>
      <c r="AX892" t="s">
        <v>74</v>
      </c>
      <c r="AY892" t="s">
        <v>74</v>
      </c>
      <c r="AZ892" t="s">
        <v>74</v>
      </c>
      <c r="BA892" t="s">
        <v>74</v>
      </c>
      <c r="BB892" t="s">
        <v>16890</v>
      </c>
      <c r="BC892" t="s">
        <v>16891</v>
      </c>
      <c r="BD892" t="s">
        <v>74</v>
      </c>
      <c r="BE892" t="s">
        <v>16892</v>
      </c>
      <c r="BF892" t="str">
        <f>HYPERLINK("http://dx.doi.org/10.5301/jabfm.5000221","http://dx.doi.org/10.5301/jabfm.5000221")</f>
        <v>http://dx.doi.org/10.5301/jabfm.5000221</v>
      </c>
      <c r="BG892" t="s">
        <v>74</v>
      </c>
      <c r="BH892" t="s">
        <v>74</v>
      </c>
      <c r="BI892">
        <v>5</v>
      </c>
      <c r="BJ892" t="s">
        <v>16893</v>
      </c>
      <c r="BK892" t="s">
        <v>100</v>
      </c>
      <c r="BL892" t="s">
        <v>16894</v>
      </c>
      <c r="BM892" t="s">
        <v>16895</v>
      </c>
      <c r="BN892">
        <v>26045223</v>
      </c>
      <c r="BO892" t="s">
        <v>156</v>
      </c>
      <c r="BP892" t="s">
        <v>74</v>
      </c>
      <c r="BQ892" t="s">
        <v>74</v>
      </c>
      <c r="BR892" t="s">
        <v>104</v>
      </c>
      <c r="BS892" t="s">
        <v>16896</v>
      </c>
      <c r="BT892" t="str">
        <f>HYPERLINK("https%3A%2F%2Fwww.webofscience.com%2Fwos%2Fwoscc%2Ffull-record%2FWOS:000367158000008","View Full Record in Web of Science")</f>
        <v>View Full Record in Web of Science</v>
      </c>
    </row>
    <row r="893" spans="1:72" x14ac:dyDescent="0.15">
      <c r="A893" t="s">
        <v>72</v>
      </c>
      <c r="B893" t="s">
        <v>16897</v>
      </c>
      <c r="C893" t="s">
        <v>74</v>
      </c>
      <c r="D893" t="s">
        <v>74</v>
      </c>
      <c r="E893" t="s">
        <v>74</v>
      </c>
      <c r="F893" t="s">
        <v>16898</v>
      </c>
      <c r="G893" t="s">
        <v>74</v>
      </c>
      <c r="H893" t="s">
        <v>74</v>
      </c>
      <c r="I893" t="s">
        <v>16899</v>
      </c>
      <c r="J893" t="s">
        <v>16900</v>
      </c>
      <c r="K893" t="s">
        <v>74</v>
      </c>
      <c r="L893" t="s">
        <v>74</v>
      </c>
      <c r="M893" t="s">
        <v>78</v>
      </c>
      <c r="N893" t="s">
        <v>16901</v>
      </c>
      <c r="O893" t="s">
        <v>74</v>
      </c>
      <c r="P893" t="s">
        <v>74</v>
      </c>
      <c r="Q893" t="s">
        <v>74</v>
      </c>
      <c r="R893" t="s">
        <v>74</v>
      </c>
      <c r="S893" t="s">
        <v>74</v>
      </c>
      <c r="T893" t="s">
        <v>74</v>
      </c>
      <c r="U893" t="s">
        <v>74</v>
      </c>
      <c r="V893" t="s">
        <v>74</v>
      </c>
      <c r="W893" t="s">
        <v>16902</v>
      </c>
      <c r="X893" t="s">
        <v>16903</v>
      </c>
      <c r="Y893" t="s">
        <v>16904</v>
      </c>
      <c r="Z893" t="s">
        <v>74</v>
      </c>
      <c r="AA893" t="s">
        <v>74</v>
      </c>
      <c r="AB893" t="s">
        <v>74</v>
      </c>
      <c r="AC893" t="s">
        <v>74</v>
      </c>
      <c r="AD893" t="s">
        <v>74</v>
      </c>
      <c r="AE893" t="s">
        <v>74</v>
      </c>
      <c r="AF893" t="s">
        <v>74</v>
      </c>
      <c r="AG893">
        <v>1</v>
      </c>
      <c r="AH893">
        <v>0</v>
      </c>
      <c r="AI893">
        <v>0</v>
      </c>
      <c r="AJ893">
        <v>0</v>
      </c>
      <c r="AK893">
        <v>0</v>
      </c>
      <c r="AL893" t="s">
        <v>16905</v>
      </c>
      <c r="AM893" t="s">
        <v>16906</v>
      </c>
      <c r="AN893" t="s">
        <v>16907</v>
      </c>
      <c r="AO893" t="s">
        <v>16908</v>
      </c>
      <c r="AP893" t="s">
        <v>16909</v>
      </c>
      <c r="AQ893" t="s">
        <v>74</v>
      </c>
      <c r="AR893" t="s">
        <v>16910</v>
      </c>
      <c r="AS893" t="s">
        <v>16911</v>
      </c>
      <c r="AT893" t="s">
        <v>74</v>
      </c>
      <c r="AU893">
        <v>2015</v>
      </c>
      <c r="AV893">
        <v>80</v>
      </c>
      <c r="AW893">
        <v>3</v>
      </c>
      <c r="AX893" t="s">
        <v>74</v>
      </c>
      <c r="AY893" t="s">
        <v>74</v>
      </c>
      <c r="AZ893" t="s">
        <v>74</v>
      </c>
      <c r="BA893" t="s">
        <v>74</v>
      </c>
      <c r="BB893">
        <v>305</v>
      </c>
      <c r="BC893">
        <v>306</v>
      </c>
      <c r="BD893" t="s">
        <v>74</v>
      </c>
      <c r="BE893" t="s">
        <v>74</v>
      </c>
      <c r="BF893" t="s">
        <v>74</v>
      </c>
      <c r="BG893" t="s">
        <v>74</v>
      </c>
      <c r="BH893" t="s">
        <v>74</v>
      </c>
      <c r="BI893">
        <v>2</v>
      </c>
      <c r="BJ893" t="s">
        <v>8594</v>
      </c>
      <c r="BK893" t="s">
        <v>457</v>
      </c>
      <c r="BL893" t="s">
        <v>8594</v>
      </c>
      <c r="BM893" t="s">
        <v>16912</v>
      </c>
      <c r="BN893" t="s">
        <v>74</v>
      </c>
      <c r="BO893" t="s">
        <v>74</v>
      </c>
      <c r="BP893" t="s">
        <v>74</v>
      </c>
      <c r="BQ893" t="s">
        <v>74</v>
      </c>
      <c r="BR893" t="s">
        <v>104</v>
      </c>
      <c r="BS893" t="s">
        <v>16913</v>
      </c>
      <c r="BT893" t="str">
        <f>HYPERLINK("https%3A%2F%2Fwww.webofscience.com%2Fwos%2Fwoscc%2Ffull-record%2FWOS:000366720400009","View Full Record in Web of Science")</f>
        <v>View Full Record in Web of Science</v>
      </c>
    </row>
    <row r="894" spans="1:72" x14ac:dyDescent="0.15">
      <c r="A894" t="s">
        <v>15464</v>
      </c>
      <c r="B894" t="s">
        <v>16914</v>
      </c>
      <c r="C894" t="s">
        <v>74</v>
      </c>
      <c r="D894" t="s">
        <v>16915</v>
      </c>
      <c r="E894" t="s">
        <v>74</v>
      </c>
      <c r="F894" t="s">
        <v>16916</v>
      </c>
      <c r="G894" t="s">
        <v>74</v>
      </c>
      <c r="H894" t="s">
        <v>74</v>
      </c>
      <c r="I894" t="s">
        <v>16917</v>
      </c>
      <c r="J894" t="s">
        <v>16918</v>
      </c>
      <c r="K894" t="s">
        <v>16919</v>
      </c>
      <c r="L894" t="s">
        <v>74</v>
      </c>
      <c r="M894" t="s">
        <v>78</v>
      </c>
      <c r="N894" t="s">
        <v>15471</v>
      </c>
      <c r="O894" t="s">
        <v>16920</v>
      </c>
      <c r="P894" t="s">
        <v>16921</v>
      </c>
      <c r="Q894" t="s">
        <v>16922</v>
      </c>
      <c r="R894" t="s">
        <v>74</v>
      </c>
      <c r="S894" t="s">
        <v>74</v>
      </c>
      <c r="T894" t="s">
        <v>16923</v>
      </c>
      <c r="U894" t="s">
        <v>74</v>
      </c>
      <c r="V894" t="s">
        <v>16924</v>
      </c>
      <c r="W894" t="s">
        <v>16925</v>
      </c>
      <c r="X894" t="s">
        <v>16926</v>
      </c>
      <c r="Y894" t="s">
        <v>16927</v>
      </c>
      <c r="Z894" t="s">
        <v>16928</v>
      </c>
      <c r="AA894" t="s">
        <v>74</v>
      </c>
      <c r="AB894" t="s">
        <v>74</v>
      </c>
      <c r="AC894" t="s">
        <v>74</v>
      </c>
      <c r="AD894" t="s">
        <v>74</v>
      </c>
      <c r="AE894" t="s">
        <v>74</v>
      </c>
      <c r="AF894" t="s">
        <v>74</v>
      </c>
      <c r="AG894">
        <v>12</v>
      </c>
      <c r="AH894">
        <v>2</v>
      </c>
      <c r="AI894">
        <v>2</v>
      </c>
      <c r="AJ894">
        <v>0</v>
      </c>
      <c r="AK894">
        <v>1</v>
      </c>
      <c r="AL894" t="s">
        <v>16929</v>
      </c>
      <c r="AM894" t="s">
        <v>16930</v>
      </c>
      <c r="AN894" t="s">
        <v>16931</v>
      </c>
      <c r="AO894" t="s">
        <v>16932</v>
      </c>
      <c r="AP894" t="s">
        <v>74</v>
      </c>
      <c r="AQ894" t="s">
        <v>16933</v>
      </c>
      <c r="AR894" t="s">
        <v>16934</v>
      </c>
      <c r="AS894" t="s">
        <v>74</v>
      </c>
      <c r="AT894" t="s">
        <v>74</v>
      </c>
      <c r="AU894">
        <v>2015</v>
      </c>
      <c r="AV894">
        <v>27</v>
      </c>
      <c r="AW894" t="s">
        <v>74</v>
      </c>
      <c r="AX894" t="s">
        <v>74</v>
      </c>
      <c r="AY894" t="s">
        <v>74</v>
      </c>
      <c r="AZ894" t="s">
        <v>74</v>
      </c>
      <c r="BA894" t="s">
        <v>74</v>
      </c>
      <c r="BB894">
        <v>47</v>
      </c>
      <c r="BC894">
        <v>53</v>
      </c>
      <c r="BD894" t="s">
        <v>74</v>
      </c>
      <c r="BE894" t="s">
        <v>74</v>
      </c>
      <c r="BF894" t="s">
        <v>74</v>
      </c>
      <c r="BG894" t="s">
        <v>74</v>
      </c>
      <c r="BH894" t="s">
        <v>74</v>
      </c>
      <c r="BI894">
        <v>7</v>
      </c>
      <c r="BJ894" t="s">
        <v>16935</v>
      </c>
      <c r="BK894" t="s">
        <v>15487</v>
      </c>
      <c r="BL894" t="s">
        <v>586</v>
      </c>
      <c r="BM894" t="s">
        <v>16936</v>
      </c>
      <c r="BN894" t="s">
        <v>74</v>
      </c>
      <c r="BO894" t="s">
        <v>74</v>
      </c>
      <c r="BP894" t="s">
        <v>74</v>
      </c>
      <c r="BQ894" t="s">
        <v>74</v>
      </c>
      <c r="BR894" t="s">
        <v>104</v>
      </c>
      <c r="BS894" t="s">
        <v>16937</v>
      </c>
      <c r="BT894" t="str">
        <f>HYPERLINK("https%3A%2F%2Fwww.webofscience.com%2Fwos%2Fwoscc%2Ffull-record%2FWOS:000367097600009","View Full Record in Web of Science")</f>
        <v>View Full Record in Web of Science</v>
      </c>
    </row>
    <row r="895" spans="1:72" x14ac:dyDescent="0.15">
      <c r="A895" t="s">
        <v>72</v>
      </c>
      <c r="B895" t="s">
        <v>16938</v>
      </c>
      <c r="C895" t="s">
        <v>74</v>
      </c>
      <c r="D895" t="s">
        <v>74</v>
      </c>
      <c r="E895" t="s">
        <v>74</v>
      </c>
      <c r="F895" t="s">
        <v>16939</v>
      </c>
      <c r="G895" t="s">
        <v>74</v>
      </c>
      <c r="H895" t="s">
        <v>74</v>
      </c>
      <c r="I895" t="s">
        <v>16940</v>
      </c>
      <c r="J895" t="s">
        <v>16941</v>
      </c>
      <c r="K895" t="s">
        <v>74</v>
      </c>
      <c r="L895" t="s">
        <v>74</v>
      </c>
      <c r="M895" t="s">
        <v>78</v>
      </c>
      <c r="N895" t="s">
        <v>79</v>
      </c>
      <c r="O895" t="s">
        <v>74</v>
      </c>
      <c r="P895" t="s">
        <v>74</v>
      </c>
      <c r="Q895" t="s">
        <v>74</v>
      </c>
      <c r="R895" t="s">
        <v>74</v>
      </c>
      <c r="S895" t="s">
        <v>74</v>
      </c>
      <c r="T895" t="s">
        <v>16942</v>
      </c>
      <c r="U895" t="s">
        <v>16943</v>
      </c>
      <c r="V895" t="s">
        <v>16944</v>
      </c>
      <c r="W895" t="s">
        <v>16945</v>
      </c>
      <c r="X895" t="s">
        <v>16946</v>
      </c>
      <c r="Y895" t="s">
        <v>16947</v>
      </c>
      <c r="Z895" t="s">
        <v>16948</v>
      </c>
      <c r="AA895" t="s">
        <v>74</v>
      </c>
      <c r="AB895" t="s">
        <v>74</v>
      </c>
      <c r="AC895" t="s">
        <v>16949</v>
      </c>
      <c r="AD895" t="s">
        <v>16950</v>
      </c>
      <c r="AE895" t="s">
        <v>16951</v>
      </c>
      <c r="AF895" t="s">
        <v>74</v>
      </c>
      <c r="AG895">
        <v>61</v>
      </c>
      <c r="AH895">
        <v>31</v>
      </c>
      <c r="AI895">
        <v>36</v>
      </c>
      <c r="AJ895">
        <v>0</v>
      </c>
      <c r="AK895">
        <v>5</v>
      </c>
      <c r="AL895" t="s">
        <v>16952</v>
      </c>
      <c r="AM895" t="s">
        <v>1208</v>
      </c>
      <c r="AN895" t="s">
        <v>16953</v>
      </c>
      <c r="AO895" t="s">
        <v>16954</v>
      </c>
      <c r="AP895" t="s">
        <v>16955</v>
      </c>
      <c r="AQ895" t="s">
        <v>74</v>
      </c>
      <c r="AR895" t="s">
        <v>16956</v>
      </c>
      <c r="AS895" t="s">
        <v>16957</v>
      </c>
      <c r="AT895" t="s">
        <v>74</v>
      </c>
      <c r="AU895">
        <v>2015</v>
      </c>
      <c r="AV895">
        <v>37</v>
      </c>
      <c r="AW895">
        <v>6</v>
      </c>
      <c r="AX895" t="s">
        <v>74</v>
      </c>
      <c r="AY895" t="s">
        <v>74</v>
      </c>
      <c r="AZ895" t="s">
        <v>74</v>
      </c>
      <c r="BA895" t="s">
        <v>74</v>
      </c>
      <c r="BB895" t="s">
        <v>16958</v>
      </c>
      <c r="BC895" t="s">
        <v>16959</v>
      </c>
      <c r="BD895" t="s">
        <v>74</v>
      </c>
      <c r="BE895" t="s">
        <v>16960</v>
      </c>
      <c r="BF895" t="str">
        <f>HYPERLINK("http://dx.doi.org/10.1137/140974407","http://dx.doi.org/10.1137/140974407")</f>
        <v>http://dx.doi.org/10.1137/140974407</v>
      </c>
      <c r="BG895" t="s">
        <v>74</v>
      </c>
      <c r="BH895" t="s">
        <v>74</v>
      </c>
      <c r="BI895">
        <v>30</v>
      </c>
      <c r="BJ895" t="s">
        <v>11506</v>
      </c>
      <c r="BK895" t="s">
        <v>100</v>
      </c>
      <c r="BL895" t="s">
        <v>11507</v>
      </c>
      <c r="BM895" t="s">
        <v>16961</v>
      </c>
      <c r="BN895" t="s">
        <v>74</v>
      </c>
      <c r="BO895" t="s">
        <v>248</v>
      </c>
      <c r="BP895" t="s">
        <v>74</v>
      </c>
      <c r="BQ895" t="s">
        <v>74</v>
      </c>
      <c r="BR895" t="s">
        <v>104</v>
      </c>
      <c r="BS895" t="s">
        <v>16962</v>
      </c>
      <c r="BT895" t="str">
        <f>HYPERLINK("https%3A%2F%2Fwww.webofscience.com%2Fwos%2Fwoscc%2Ffull-record%2FWOS:000367019400025","View Full Record in Web of Science")</f>
        <v>View Full Record in Web of Science</v>
      </c>
    </row>
    <row r="896" spans="1:72" x14ac:dyDescent="0.15">
      <c r="A896" t="s">
        <v>72</v>
      </c>
      <c r="B896" t="s">
        <v>16963</v>
      </c>
      <c r="C896" t="s">
        <v>74</v>
      </c>
      <c r="D896" t="s">
        <v>74</v>
      </c>
      <c r="E896" t="s">
        <v>74</v>
      </c>
      <c r="F896" t="s">
        <v>16964</v>
      </c>
      <c r="G896" t="s">
        <v>74</v>
      </c>
      <c r="H896" t="s">
        <v>74</v>
      </c>
      <c r="I896" t="s">
        <v>16965</v>
      </c>
      <c r="J896" t="s">
        <v>16966</v>
      </c>
      <c r="K896" t="s">
        <v>74</v>
      </c>
      <c r="L896" t="s">
        <v>74</v>
      </c>
      <c r="M896" t="s">
        <v>78</v>
      </c>
      <c r="N896" t="s">
        <v>79</v>
      </c>
      <c r="O896" t="s">
        <v>74</v>
      </c>
      <c r="P896" t="s">
        <v>74</v>
      </c>
      <c r="Q896" t="s">
        <v>74</v>
      </c>
      <c r="R896" t="s">
        <v>74</v>
      </c>
      <c r="S896" t="s">
        <v>74</v>
      </c>
      <c r="T896" t="s">
        <v>16967</v>
      </c>
      <c r="U896" t="s">
        <v>16968</v>
      </c>
      <c r="V896" t="s">
        <v>16969</v>
      </c>
      <c r="W896" t="s">
        <v>16970</v>
      </c>
      <c r="X896" t="s">
        <v>16971</v>
      </c>
      <c r="Y896" t="s">
        <v>16972</v>
      </c>
      <c r="Z896" t="s">
        <v>16973</v>
      </c>
      <c r="AA896" t="s">
        <v>16974</v>
      </c>
      <c r="AB896" t="s">
        <v>16975</v>
      </c>
      <c r="AC896" t="s">
        <v>16976</v>
      </c>
      <c r="AD896" t="s">
        <v>16977</v>
      </c>
      <c r="AE896" t="s">
        <v>16978</v>
      </c>
      <c r="AF896" t="s">
        <v>74</v>
      </c>
      <c r="AG896">
        <v>74</v>
      </c>
      <c r="AH896">
        <v>7</v>
      </c>
      <c r="AI896">
        <v>7</v>
      </c>
      <c r="AJ896">
        <v>0</v>
      </c>
      <c r="AK896">
        <v>19</v>
      </c>
      <c r="AL896" t="s">
        <v>12528</v>
      </c>
      <c r="AM896" t="s">
        <v>12529</v>
      </c>
      <c r="AN896" t="s">
        <v>12530</v>
      </c>
      <c r="AO896" t="s">
        <v>16979</v>
      </c>
      <c r="AP896" t="s">
        <v>74</v>
      </c>
      <c r="AQ896" t="s">
        <v>74</v>
      </c>
      <c r="AR896" t="s">
        <v>16980</v>
      </c>
      <c r="AS896" t="s">
        <v>16981</v>
      </c>
      <c r="AT896" t="s">
        <v>74</v>
      </c>
      <c r="AU896">
        <v>2015</v>
      </c>
      <c r="AV896">
        <v>259</v>
      </c>
      <c r="AW896" t="s">
        <v>74</v>
      </c>
      <c r="AX896" t="s">
        <v>74</v>
      </c>
      <c r="AY896" t="s">
        <v>74</v>
      </c>
      <c r="AZ896" t="s">
        <v>74</v>
      </c>
      <c r="BA896" t="s">
        <v>74</v>
      </c>
      <c r="BB896">
        <v>113</v>
      </c>
      <c r="BC896">
        <v>130</v>
      </c>
      <c r="BD896" t="s">
        <v>74</v>
      </c>
      <c r="BE896" t="s">
        <v>16982</v>
      </c>
      <c r="BF896" t="str">
        <f>HYPERLINK("http://dx.doi.org/10.1016/j.jcz.2015.10.004","http://dx.doi.org/10.1016/j.jcz.2015.10.004")</f>
        <v>http://dx.doi.org/10.1016/j.jcz.2015.10.004</v>
      </c>
      <c r="BG896" t="s">
        <v>74</v>
      </c>
      <c r="BH896" t="s">
        <v>74</v>
      </c>
      <c r="BI896">
        <v>18</v>
      </c>
      <c r="BJ896" t="s">
        <v>509</v>
      </c>
      <c r="BK896" t="s">
        <v>100</v>
      </c>
      <c r="BL896" t="s">
        <v>509</v>
      </c>
      <c r="BM896" t="s">
        <v>16983</v>
      </c>
      <c r="BN896" t="s">
        <v>74</v>
      </c>
      <c r="BO896" t="s">
        <v>2481</v>
      </c>
      <c r="BP896" t="s">
        <v>74</v>
      </c>
      <c r="BQ896" t="s">
        <v>74</v>
      </c>
      <c r="BR896" t="s">
        <v>104</v>
      </c>
      <c r="BS896" t="s">
        <v>16984</v>
      </c>
      <c r="BT896" t="str">
        <f>HYPERLINK("https%3A%2F%2Fwww.webofscience.com%2Fwos%2Fwoscc%2Ffull-record%2FWOS:000367112200009","View Full Record in Web of Science")</f>
        <v>View Full Record in Web of Science</v>
      </c>
    </row>
    <row r="897" spans="1:72" x14ac:dyDescent="0.15">
      <c r="A897" t="s">
        <v>15464</v>
      </c>
      <c r="B897" t="s">
        <v>16985</v>
      </c>
      <c r="C897" t="s">
        <v>74</v>
      </c>
      <c r="D897" t="s">
        <v>16986</v>
      </c>
      <c r="E897" t="s">
        <v>74</v>
      </c>
      <c r="F897" t="s">
        <v>16987</v>
      </c>
      <c r="G897" t="s">
        <v>74</v>
      </c>
      <c r="H897" t="s">
        <v>74</v>
      </c>
      <c r="I897" t="s">
        <v>16988</v>
      </c>
      <c r="J897" t="s">
        <v>16989</v>
      </c>
      <c r="K897" t="s">
        <v>16784</v>
      </c>
      <c r="L897" t="s">
        <v>74</v>
      </c>
      <c r="M897" t="s">
        <v>78</v>
      </c>
      <c r="N897" t="s">
        <v>15471</v>
      </c>
      <c r="O897" t="s">
        <v>16990</v>
      </c>
      <c r="P897" t="s">
        <v>16991</v>
      </c>
      <c r="Q897" t="s">
        <v>16992</v>
      </c>
      <c r="R897" t="s">
        <v>74</v>
      </c>
      <c r="S897" t="s">
        <v>74</v>
      </c>
      <c r="T897" t="s">
        <v>16993</v>
      </c>
      <c r="U897" t="s">
        <v>16994</v>
      </c>
      <c r="V897" t="s">
        <v>16995</v>
      </c>
      <c r="W897" t="s">
        <v>16996</v>
      </c>
      <c r="X897" t="s">
        <v>16997</v>
      </c>
      <c r="Y897" t="s">
        <v>16998</v>
      </c>
      <c r="Z897" t="s">
        <v>74</v>
      </c>
      <c r="AA897" t="s">
        <v>16999</v>
      </c>
      <c r="AB897" t="s">
        <v>17000</v>
      </c>
      <c r="AC897" t="s">
        <v>74</v>
      </c>
      <c r="AD897" t="s">
        <v>74</v>
      </c>
      <c r="AE897" t="s">
        <v>74</v>
      </c>
      <c r="AF897" t="s">
        <v>74</v>
      </c>
      <c r="AG897">
        <v>18</v>
      </c>
      <c r="AH897">
        <v>3</v>
      </c>
      <c r="AI897">
        <v>3</v>
      </c>
      <c r="AJ897">
        <v>1</v>
      </c>
      <c r="AK897">
        <v>13</v>
      </c>
      <c r="AL897" t="s">
        <v>16794</v>
      </c>
      <c r="AM897" t="s">
        <v>16795</v>
      </c>
      <c r="AN897" t="s">
        <v>16796</v>
      </c>
      <c r="AO897" t="s">
        <v>16797</v>
      </c>
      <c r="AP897" t="s">
        <v>16820</v>
      </c>
      <c r="AQ897" t="s">
        <v>17001</v>
      </c>
      <c r="AR897" t="s">
        <v>16799</v>
      </c>
      <c r="AS897" t="s">
        <v>74</v>
      </c>
      <c r="AT897" t="s">
        <v>74</v>
      </c>
      <c r="AU897">
        <v>2015</v>
      </c>
      <c r="AV897">
        <v>9607</v>
      </c>
      <c r="AW897" t="s">
        <v>74</v>
      </c>
      <c r="AX897" t="s">
        <v>74</v>
      </c>
      <c r="AY897" t="s">
        <v>74</v>
      </c>
      <c r="AZ897" t="s">
        <v>74</v>
      </c>
      <c r="BA897" t="s">
        <v>74</v>
      </c>
      <c r="BB897" t="s">
        <v>74</v>
      </c>
      <c r="BC897" t="s">
        <v>74</v>
      </c>
      <c r="BD897" t="s">
        <v>17002</v>
      </c>
      <c r="BE897" t="s">
        <v>17003</v>
      </c>
      <c r="BF897" t="str">
        <f>HYPERLINK("http://dx.doi.org/10.1117/12.2188401","http://dx.doi.org/10.1117/12.2188401")</f>
        <v>http://dx.doi.org/10.1117/12.2188401</v>
      </c>
      <c r="BG897" t="s">
        <v>74</v>
      </c>
      <c r="BH897" t="s">
        <v>74</v>
      </c>
      <c r="BI897">
        <v>12</v>
      </c>
      <c r="BJ897" t="s">
        <v>17004</v>
      </c>
      <c r="BK897" t="s">
        <v>15487</v>
      </c>
      <c r="BL897" t="s">
        <v>17004</v>
      </c>
      <c r="BM897" t="s">
        <v>17005</v>
      </c>
      <c r="BN897" t="s">
        <v>74</v>
      </c>
      <c r="BO897" t="s">
        <v>74</v>
      </c>
      <c r="BP897" t="s">
        <v>74</v>
      </c>
      <c r="BQ897" t="s">
        <v>74</v>
      </c>
      <c r="BR897" t="s">
        <v>104</v>
      </c>
      <c r="BS897" t="s">
        <v>17006</v>
      </c>
      <c r="BT897" t="str">
        <f>HYPERLINK("https%3A%2F%2Fwww.webofscience.com%2Fwos%2Fwoscc%2Ffull-record%2FWOS:000366503200069","View Full Record in Web of Science")</f>
        <v>View Full Record in Web of Science</v>
      </c>
    </row>
    <row r="898" spans="1:72" x14ac:dyDescent="0.15">
      <c r="A898" t="s">
        <v>15464</v>
      </c>
      <c r="B898" t="s">
        <v>17007</v>
      </c>
      <c r="C898" t="s">
        <v>74</v>
      </c>
      <c r="D898" t="s">
        <v>16986</v>
      </c>
      <c r="E898" t="s">
        <v>74</v>
      </c>
      <c r="F898" t="s">
        <v>17008</v>
      </c>
      <c r="G898" t="s">
        <v>74</v>
      </c>
      <c r="H898" t="s">
        <v>74</v>
      </c>
      <c r="I898" t="s">
        <v>17009</v>
      </c>
      <c r="J898" t="s">
        <v>16989</v>
      </c>
      <c r="K898" t="s">
        <v>16784</v>
      </c>
      <c r="L898" t="s">
        <v>74</v>
      </c>
      <c r="M898" t="s">
        <v>78</v>
      </c>
      <c r="N898" t="s">
        <v>15471</v>
      </c>
      <c r="O898" t="s">
        <v>16990</v>
      </c>
      <c r="P898" t="s">
        <v>16991</v>
      </c>
      <c r="Q898" t="s">
        <v>16992</v>
      </c>
      <c r="R898" t="s">
        <v>74</v>
      </c>
      <c r="S898" t="s">
        <v>74</v>
      </c>
      <c r="T898" t="s">
        <v>17010</v>
      </c>
      <c r="U898" t="s">
        <v>17011</v>
      </c>
      <c r="V898" t="s">
        <v>17012</v>
      </c>
      <c r="W898" t="s">
        <v>17013</v>
      </c>
      <c r="X898" t="s">
        <v>17014</v>
      </c>
      <c r="Y898" t="s">
        <v>17015</v>
      </c>
      <c r="Z898" t="s">
        <v>74</v>
      </c>
      <c r="AA898" t="s">
        <v>74</v>
      </c>
      <c r="AB898" t="s">
        <v>74</v>
      </c>
      <c r="AC898" t="s">
        <v>74</v>
      </c>
      <c r="AD898" t="s">
        <v>74</v>
      </c>
      <c r="AE898" t="s">
        <v>74</v>
      </c>
      <c r="AF898" t="s">
        <v>74</v>
      </c>
      <c r="AG898">
        <v>16</v>
      </c>
      <c r="AH898">
        <v>0</v>
      </c>
      <c r="AI898">
        <v>0</v>
      </c>
      <c r="AJ898">
        <v>0</v>
      </c>
      <c r="AK898">
        <v>1</v>
      </c>
      <c r="AL898" t="s">
        <v>16794</v>
      </c>
      <c r="AM898" t="s">
        <v>16795</v>
      </c>
      <c r="AN898" t="s">
        <v>16796</v>
      </c>
      <c r="AO898" t="s">
        <v>16797</v>
      </c>
      <c r="AP898" t="s">
        <v>74</v>
      </c>
      <c r="AQ898" t="s">
        <v>17001</v>
      </c>
      <c r="AR898" t="s">
        <v>16799</v>
      </c>
      <c r="AS898" t="s">
        <v>74</v>
      </c>
      <c r="AT898" t="s">
        <v>74</v>
      </c>
      <c r="AU898">
        <v>2015</v>
      </c>
      <c r="AV898">
        <v>9607</v>
      </c>
      <c r="AW898" t="s">
        <v>74</v>
      </c>
      <c r="AX898" t="s">
        <v>74</v>
      </c>
      <c r="AY898" t="s">
        <v>74</v>
      </c>
      <c r="AZ898" t="s">
        <v>74</v>
      </c>
      <c r="BA898" t="s">
        <v>74</v>
      </c>
      <c r="BB898" t="s">
        <v>74</v>
      </c>
      <c r="BC898" t="s">
        <v>74</v>
      </c>
      <c r="BD898" t="s">
        <v>17016</v>
      </c>
      <c r="BE898" t="s">
        <v>17017</v>
      </c>
      <c r="BF898" t="str">
        <f>HYPERLINK("http://dx.doi.org/10.1117/12.2188260","http://dx.doi.org/10.1117/12.2188260")</f>
        <v>http://dx.doi.org/10.1117/12.2188260</v>
      </c>
      <c r="BG898" t="s">
        <v>74</v>
      </c>
      <c r="BH898" t="s">
        <v>74</v>
      </c>
      <c r="BI898">
        <v>10</v>
      </c>
      <c r="BJ898" t="s">
        <v>17004</v>
      </c>
      <c r="BK898" t="s">
        <v>15487</v>
      </c>
      <c r="BL898" t="s">
        <v>17004</v>
      </c>
      <c r="BM898" t="s">
        <v>17005</v>
      </c>
      <c r="BN898" t="s">
        <v>74</v>
      </c>
      <c r="BO898" t="s">
        <v>74</v>
      </c>
      <c r="BP898" t="s">
        <v>74</v>
      </c>
      <c r="BQ898" t="s">
        <v>74</v>
      </c>
      <c r="BR898" t="s">
        <v>104</v>
      </c>
      <c r="BS898" t="s">
        <v>17018</v>
      </c>
      <c r="BT898" t="str">
        <f>HYPERLINK("https%3A%2F%2Fwww.webofscience.com%2Fwos%2Fwoscc%2Ffull-record%2FWOS:000366503200064","View Full Record in Web of Science")</f>
        <v>View Full Record in Web of Science</v>
      </c>
    </row>
    <row r="899" spans="1:72" x14ac:dyDescent="0.15">
      <c r="A899" t="s">
        <v>72</v>
      </c>
      <c r="B899" t="s">
        <v>17019</v>
      </c>
      <c r="C899" t="s">
        <v>74</v>
      </c>
      <c r="D899" t="s">
        <v>74</v>
      </c>
      <c r="E899" t="s">
        <v>74</v>
      </c>
      <c r="F899" t="s">
        <v>17020</v>
      </c>
      <c r="G899" t="s">
        <v>74</v>
      </c>
      <c r="H899" t="s">
        <v>74</v>
      </c>
      <c r="I899" t="s">
        <v>17021</v>
      </c>
      <c r="J899" t="s">
        <v>17022</v>
      </c>
      <c r="K899" t="s">
        <v>74</v>
      </c>
      <c r="L899" t="s">
        <v>74</v>
      </c>
      <c r="M899" t="s">
        <v>78</v>
      </c>
      <c r="N899" t="s">
        <v>79</v>
      </c>
      <c r="O899" t="s">
        <v>74</v>
      </c>
      <c r="P899" t="s">
        <v>74</v>
      </c>
      <c r="Q899" t="s">
        <v>74</v>
      </c>
      <c r="R899" t="s">
        <v>74</v>
      </c>
      <c r="S899" t="s">
        <v>74</v>
      </c>
      <c r="T899" t="s">
        <v>17023</v>
      </c>
      <c r="U899" t="s">
        <v>17024</v>
      </c>
      <c r="V899" t="s">
        <v>17025</v>
      </c>
      <c r="W899" t="s">
        <v>17026</v>
      </c>
      <c r="X899" t="s">
        <v>17027</v>
      </c>
      <c r="Y899" t="s">
        <v>17028</v>
      </c>
      <c r="Z899" t="s">
        <v>17029</v>
      </c>
      <c r="AA899" t="s">
        <v>74</v>
      </c>
      <c r="AB899" t="s">
        <v>74</v>
      </c>
      <c r="AC899" t="s">
        <v>17030</v>
      </c>
      <c r="AD899" t="s">
        <v>17031</v>
      </c>
      <c r="AE899" t="s">
        <v>17032</v>
      </c>
      <c r="AF899" t="s">
        <v>74</v>
      </c>
      <c r="AG899">
        <v>42</v>
      </c>
      <c r="AH899">
        <v>11</v>
      </c>
      <c r="AI899">
        <v>13</v>
      </c>
      <c r="AJ899">
        <v>0</v>
      </c>
      <c r="AK899">
        <v>8</v>
      </c>
      <c r="AL899" t="s">
        <v>17033</v>
      </c>
      <c r="AM899" t="s">
        <v>17034</v>
      </c>
      <c r="AN899" t="s">
        <v>17035</v>
      </c>
      <c r="AO899" t="s">
        <v>17036</v>
      </c>
      <c r="AP899" t="s">
        <v>17037</v>
      </c>
      <c r="AQ899" t="s">
        <v>74</v>
      </c>
      <c r="AR899" t="s">
        <v>17038</v>
      </c>
      <c r="AS899" t="s">
        <v>17039</v>
      </c>
      <c r="AT899" t="s">
        <v>74</v>
      </c>
      <c r="AU899">
        <v>2015</v>
      </c>
      <c r="AV899">
        <v>36</v>
      </c>
      <c r="AW899">
        <v>4</v>
      </c>
      <c r="AX899" t="s">
        <v>74</v>
      </c>
      <c r="AY899" t="s">
        <v>74</v>
      </c>
      <c r="AZ899" t="s">
        <v>74</v>
      </c>
      <c r="BA899" t="s">
        <v>74</v>
      </c>
      <c r="BB899">
        <v>307</v>
      </c>
      <c r="BC899">
        <v>324</v>
      </c>
      <c r="BD899" t="s">
        <v>74</v>
      </c>
      <c r="BE899" t="s">
        <v>17040</v>
      </c>
      <c r="BF899" t="str">
        <f>HYPERLINK("http://dx.doi.org/10.1515/popore-2015-0022","http://dx.doi.org/10.1515/popore-2015-0022")</f>
        <v>http://dx.doi.org/10.1515/popore-2015-0022</v>
      </c>
      <c r="BG899" t="s">
        <v>74</v>
      </c>
      <c r="BH899" t="s">
        <v>74</v>
      </c>
      <c r="BI899">
        <v>18</v>
      </c>
      <c r="BJ899" t="s">
        <v>9999</v>
      </c>
      <c r="BK899" t="s">
        <v>100</v>
      </c>
      <c r="BL899" t="s">
        <v>7144</v>
      </c>
      <c r="BM899" t="s">
        <v>17041</v>
      </c>
      <c r="BN899" t="s">
        <v>74</v>
      </c>
      <c r="BO899" t="s">
        <v>74</v>
      </c>
      <c r="BP899" t="s">
        <v>74</v>
      </c>
      <c r="BQ899" t="s">
        <v>74</v>
      </c>
      <c r="BR899" t="s">
        <v>104</v>
      </c>
      <c r="BS899" t="s">
        <v>17042</v>
      </c>
      <c r="BT899" t="str">
        <f>HYPERLINK("https%3A%2F%2Fwww.webofscience.com%2Fwos%2Fwoscc%2Ffull-record%2FWOS:000366956200001","View Full Record in Web of Science")</f>
        <v>View Full Record in Web of Science</v>
      </c>
    </row>
    <row r="900" spans="1:72" x14ac:dyDescent="0.15">
      <c r="A900" t="s">
        <v>72</v>
      </c>
      <c r="B900" t="s">
        <v>17043</v>
      </c>
      <c r="C900" t="s">
        <v>74</v>
      </c>
      <c r="D900" t="s">
        <v>74</v>
      </c>
      <c r="E900" t="s">
        <v>74</v>
      </c>
      <c r="F900" t="s">
        <v>17044</v>
      </c>
      <c r="G900" t="s">
        <v>74</v>
      </c>
      <c r="H900" t="s">
        <v>74</v>
      </c>
      <c r="I900" t="s">
        <v>17045</v>
      </c>
      <c r="J900" t="s">
        <v>17022</v>
      </c>
      <c r="K900" t="s">
        <v>74</v>
      </c>
      <c r="L900" t="s">
        <v>74</v>
      </c>
      <c r="M900" t="s">
        <v>78</v>
      </c>
      <c r="N900" t="s">
        <v>79</v>
      </c>
      <c r="O900" t="s">
        <v>74</v>
      </c>
      <c r="P900" t="s">
        <v>74</v>
      </c>
      <c r="Q900" t="s">
        <v>74</v>
      </c>
      <c r="R900" t="s">
        <v>74</v>
      </c>
      <c r="S900" t="s">
        <v>74</v>
      </c>
      <c r="T900" t="s">
        <v>17046</v>
      </c>
      <c r="U900" t="s">
        <v>17047</v>
      </c>
      <c r="V900" t="s">
        <v>17048</v>
      </c>
      <c r="W900" t="s">
        <v>17049</v>
      </c>
      <c r="X900" t="s">
        <v>17050</v>
      </c>
      <c r="Y900" t="s">
        <v>17051</v>
      </c>
      <c r="Z900" t="s">
        <v>17052</v>
      </c>
      <c r="AA900" t="s">
        <v>74</v>
      </c>
      <c r="AB900" t="s">
        <v>74</v>
      </c>
      <c r="AC900" t="s">
        <v>17053</v>
      </c>
      <c r="AD900" t="s">
        <v>17054</v>
      </c>
      <c r="AE900" t="s">
        <v>17055</v>
      </c>
      <c r="AF900" t="s">
        <v>74</v>
      </c>
      <c r="AG900">
        <v>51</v>
      </c>
      <c r="AH900">
        <v>0</v>
      </c>
      <c r="AI900">
        <v>1</v>
      </c>
      <c r="AJ900">
        <v>0</v>
      </c>
      <c r="AK900">
        <v>4</v>
      </c>
      <c r="AL900" t="s">
        <v>17033</v>
      </c>
      <c r="AM900" t="s">
        <v>17034</v>
      </c>
      <c r="AN900" t="s">
        <v>17035</v>
      </c>
      <c r="AO900" t="s">
        <v>17036</v>
      </c>
      <c r="AP900" t="s">
        <v>17037</v>
      </c>
      <c r="AQ900" t="s">
        <v>74</v>
      </c>
      <c r="AR900" t="s">
        <v>17038</v>
      </c>
      <c r="AS900" t="s">
        <v>17039</v>
      </c>
      <c r="AT900" t="s">
        <v>74</v>
      </c>
      <c r="AU900">
        <v>2015</v>
      </c>
      <c r="AV900">
        <v>36</v>
      </c>
      <c r="AW900">
        <v>4</v>
      </c>
      <c r="AX900" t="s">
        <v>74</v>
      </c>
      <c r="AY900" t="s">
        <v>74</v>
      </c>
      <c r="AZ900" t="s">
        <v>74</v>
      </c>
      <c r="BA900" t="s">
        <v>74</v>
      </c>
      <c r="BB900">
        <v>325</v>
      </c>
      <c r="BC900">
        <v>341</v>
      </c>
      <c r="BD900" t="s">
        <v>74</v>
      </c>
      <c r="BE900" t="s">
        <v>17056</v>
      </c>
      <c r="BF900" t="str">
        <f>HYPERLINK("http://dx.doi.org/10.1515/popore-2015-0021","http://dx.doi.org/10.1515/popore-2015-0021")</f>
        <v>http://dx.doi.org/10.1515/popore-2015-0021</v>
      </c>
      <c r="BG900" t="s">
        <v>74</v>
      </c>
      <c r="BH900" t="s">
        <v>74</v>
      </c>
      <c r="BI900">
        <v>17</v>
      </c>
      <c r="BJ900" t="s">
        <v>9999</v>
      </c>
      <c r="BK900" t="s">
        <v>100</v>
      </c>
      <c r="BL900" t="s">
        <v>7144</v>
      </c>
      <c r="BM900" t="s">
        <v>17041</v>
      </c>
      <c r="BN900" t="s">
        <v>74</v>
      </c>
      <c r="BO900" t="s">
        <v>74</v>
      </c>
      <c r="BP900" t="s">
        <v>74</v>
      </c>
      <c r="BQ900" t="s">
        <v>74</v>
      </c>
      <c r="BR900" t="s">
        <v>104</v>
      </c>
      <c r="BS900" t="s">
        <v>17057</v>
      </c>
      <c r="BT900" t="str">
        <f>HYPERLINK("https%3A%2F%2Fwww.webofscience.com%2Fwos%2Fwoscc%2Ffull-record%2FWOS:000366956200002","View Full Record in Web of Science")</f>
        <v>View Full Record in Web of Science</v>
      </c>
    </row>
    <row r="901" spans="1:72" x14ac:dyDescent="0.15">
      <c r="A901" t="s">
        <v>72</v>
      </c>
      <c r="B901" t="s">
        <v>17058</v>
      </c>
      <c r="C901" t="s">
        <v>74</v>
      </c>
      <c r="D901" t="s">
        <v>74</v>
      </c>
      <c r="E901" t="s">
        <v>74</v>
      </c>
      <c r="F901" t="s">
        <v>17059</v>
      </c>
      <c r="G901" t="s">
        <v>74</v>
      </c>
      <c r="H901" t="s">
        <v>74</v>
      </c>
      <c r="I901" t="s">
        <v>17060</v>
      </c>
      <c r="J901" t="s">
        <v>17022</v>
      </c>
      <c r="K901" t="s">
        <v>74</v>
      </c>
      <c r="L901" t="s">
        <v>74</v>
      </c>
      <c r="M901" t="s">
        <v>78</v>
      </c>
      <c r="N901" t="s">
        <v>79</v>
      </c>
      <c r="O901" t="s">
        <v>74</v>
      </c>
      <c r="P901" t="s">
        <v>74</v>
      </c>
      <c r="Q901" t="s">
        <v>74</v>
      </c>
      <c r="R901" t="s">
        <v>74</v>
      </c>
      <c r="S901" t="s">
        <v>74</v>
      </c>
      <c r="T901" t="s">
        <v>17061</v>
      </c>
      <c r="U901" t="s">
        <v>17062</v>
      </c>
      <c r="V901" t="s">
        <v>17063</v>
      </c>
      <c r="W901" t="s">
        <v>17064</v>
      </c>
      <c r="X901" t="s">
        <v>4873</v>
      </c>
      <c r="Y901" t="s">
        <v>17065</v>
      </c>
      <c r="Z901" t="s">
        <v>17066</v>
      </c>
      <c r="AA901" t="s">
        <v>17067</v>
      </c>
      <c r="AB901" t="s">
        <v>17068</v>
      </c>
      <c r="AC901" t="s">
        <v>17069</v>
      </c>
      <c r="AD901" t="s">
        <v>17070</v>
      </c>
      <c r="AE901" t="s">
        <v>17071</v>
      </c>
      <c r="AF901" t="s">
        <v>74</v>
      </c>
      <c r="AG901">
        <v>33</v>
      </c>
      <c r="AH901">
        <v>7</v>
      </c>
      <c r="AI901">
        <v>8</v>
      </c>
      <c r="AJ901">
        <v>2</v>
      </c>
      <c r="AK901">
        <v>6</v>
      </c>
      <c r="AL901" t="s">
        <v>17033</v>
      </c>
      <c r="AM901" t="s">
        <v>17034</v>
      </c>
      <c r="AN901" t="s">
        <v>17035</v>
      </c>
      <c r="AO901" t="s">
        <v>17036</v>
      </c>
      <c r="AP901" t="s">
        <v>17037</v>
      </c>
      <c r="AQ901" t="s">
        <v>74</v>
      </c>
      <c r="AR901" t="s">
        <v>17038</v>
      </c>
      <c r="AS901" t="s">
        <v>17039</v>
      </c>
      <c r="AT901" t="s">
        <v>74</v>
      </c>
      <c r="AU901">
        <v>2015</v>
      </c>
      <c r="AV901">
        <v>36</v>
      </c>
      <c r="AW901">
        <v>4</v>
      </c>
      <c r="AX901" t="s">
        <v>74</v>
      </c>
      <c r="AY901" t="s">
        <v>74</v>
      </c>
      <c r="AZ901" t="s">
        <v>74</v>
      </c>
      <c r="BA901" t="s">
        <v>74</v>
      </c>
      <c r="BB901">
        <v>391</v>
      </c>
      <c r="BC901">
        <v>404</v>
      </c>
      <c r="BD901" t="s">
        <v>74</v>
      </c>
      <c r="BE901" t="s">
        <v>17072</v>
      </c>
      <c r="BF901" t="str">
        <f>HYPERLINK("http://dx.doi.org/10.1515/popore-2015-0020","http://dx.doi.org/10.1515/popore-2015-0020")</f>
        <v>http://dx.doi.org/10.1515/popore-2015-0020</v>
      </c>
      <c r="BG901" t="s">
        <v>74</v>
      </c>
      <c r="BH901" t="s">
        <v>74</v>
      </c>
      <c r="BI901">
        <v>14</v>
      </c>
      <c r="BJ901" t="s">
        <v>9999</v>
      </c>
      <c r="BK901" t="s">
        <v>100</v>
      </c>
      <c r="BL901" t="s">
        <v>7144</v>
      </c>
      <c r="BM901" t="s">
        <v>17041</v>
      </c>
      <c r="BN901" t="s">
        <v>74</v>
      </c>
      <c r="BO901" t="s">
        <v>74</v>
      </c>
      <c r="BP901" t="s">
        <v>74</v>
      </c>
      <c r="BQ901" t="s">
        <v>74</v>
      </c>
      <c r="BR901" t="s">
        <v>104</v>
      </c>
      <c r="BS901" t="s">
        <v>17073</v>
      </c>
      <c r="BT901" t="str">
        <f>HYPERLINK("https%3A%2F%2Fwww.webofscience.com%2Fwos%2Fwoscc%2Ffull-record%2FWOS:000366956200006","View Full Record in Web of Science")</f>
        <v>View Full Record in Web of Science</v>
      </c>
    </row>
    <row r="902" spans="1:72" x14ac:dyDescent="0.15">
      <c r="A902" t="s">
        <v>72</v>
      </c>
      <c r="B902" t="s">
        <v>17074</v>
      </c>
      <c r="C902" t="s">
        <v>74</v>
      </c>
      <c r="D902" t="s">
        <v>74</v>
      </c>
      <c r="E902" t="s">
        <v>74</v>
      </c>
      <c r="F902" t="s">
        <v>17075</v>
      </c>
      <c r="G902" t="s">
        <v>74</v>
      </c>
      <c r="H902" t="s">
        <v>74</v>
      </c>
      <c r="I902" t="s">
        <v>17076</v>
      </c>
      <c r="J902" t="s">
        <v>17022</v>
      </c>
      <c r="K902" t="s">
        <v>74</v>
      </c>
      <c r="L902" t="s">
        <v>74</v>
      </c>
      <c r="M902" t="s">
        <v>78</v>
      </c>
      <c r="N902" t="s">
        <v>79</v>
      </c>
      <c r="O902" t="s">
        <v>74</v>
      </c>
      <c r="P902" t="s">
        <v>74</v>
      </c>
      <c r="Q902" t="s">
        <v>74</v>
      </c>
      <c r="R902" t="s">
        <v>74</v>
      </c>
      <c r="S902" t="s">
        <v>74</v>
      </c>
      <c r="T902" t="s">
        <v>17077</v>
      </c>
      <c r="U902" t="s">
        <v>17078</v>
      </c>
      <c r="V902" t="s">
        <v>17079</v>
      </c>
      <c r="W902" t="s">
        <v>17080</v>
      </c>
      <c r="X902" t="s">
        <v>10331</v>
      </c>
      <c r="Y902" t="s">
        <v>17081</v>
      </c>
      <c r="Z902" t="s">
        <v>17082</v>
      </c>
      <c r="AA902" t="s">
        <v>17083</v>
      </c>
      <c r="AB902" t="s">
        <v>17084</v>
      </c>
      <c r="AC902" t="s">
        <v>74</v>
      </c>
      <c r="AD902" t="s">
        <v>74</v>
      </c>
      <c r="AE902" t="s">
        <v>74</v>
      </c>
      <c r="AF902" t="s">
        <v>74</v>
      </c>
      <c r="AG902">
        <v>48</v>
      </c>
      <c r="AH902">
        <v>5</v>
      </c>
      <c r="AI902">
        <v>5</v>
      </c>
      <c r="AJ902">
        <v>0</v>
      </c>
      <c r="AK902">
        <v>13</v>
      </c>
      <c r="AL902" t="s">
        <v>17033</v>
      </c>
      <c r="AM902" t="s">
        <v>17034</v>
      </c>
      <c r="AN902" t="s">
        <v>17035</v>
      </c>
      <c r="AO902" t="s">
        <v>17036</v>
      </c>
      <c r="AP902" t="s">
        <v>17037</v>
      </c>
      <c r="AQ902" t="s">
        <v>74</v>
      </c>
      <c r="AR902" t="s">
        <v>17038</v>
      </c>
      <c r="AS902" t="s">
        <v>17039</v>
      </c>
      <c r="AT902" t="s">
        <v>74</v>
      </c>
      <c r="AU902">
        <v>2015</v>
      </c>
      <c r="AV902">
        <v>36</v>
      </c>
      <c r="AW902">
        <v>4</v>
      </c>
      <c r="AX902" t="s">
        <v>74</v>
      </c>
      <c r="AY902" t="s">
        <v>74</v>
      </c>
      <c r="AZ902" t="s">
        <v>74</v>
      </c>
      <c r="BA902" t="s">
        <v>74</v>
      </c>
      <c r="BB902">
        <v>405</v>
      </c>
      <c r="BC902">
        <v>415</v>
      </c>
      <c r="BD902" t="s">
        <v>74</v>
      </c>
      <c r="BE902" t="s">
        <v>17085</v>
      </c>
      <c r="BF902" t="str">
        <f>HYPERLINK("http://dx.doi.org/10.1515/popore-2015-0023","http://dx.doi.org/10.1515/popore-2015-0023")</f>
        <v>http://dx.doi.org/10.1515/popore-2015-0023</v>
      </c>
      <c r="BG902" t="s">
        <v>74</v>
      </c>
      <c r="BH902" t="s">
        <v>74</v>
      </c>
      <c r="BI902">
        <v>11</v>
      </c>
      <c r="BJ902" t="s">
        <v>9999</v>
      </c>
      <c r="BK902" t="s">
        <v>100</v>
      </c>
      <c r="BL902" t="s">
        <v>7144</v>
      </c>
      <c r="BM902" t="s">
        <v>17041</v>
      </c>
      <c r="BN902" t="s">
        <v>74</v>
      </c>
      <c r="BO902" t="s">
        <v>74</v>
      </c>
      <c r="BP902" t="s">
        <v>74</v>
      </c>
      <c r="BQ902" t="s">
        <v>74</v>
      </c>
      <c r="BR902" t="s">
        <v>104</v>
      </c>
      <c r="BS902" t="s">
        <v>17086</v>
      </c>
      <c r="BT902" t="str">
        <f>HYPERLINK("https%3A%2F%2Fwww.webofscience.com%2Fwos%2Fwoscc%2Ffull-record%2FWOS:000366956200007","View Full Record in Web of Science")</f>
        <v>View Full Record in Web of Science</v>
      </c>
    </row>
    <row r="903" spans="1:72" x14ac:dyDescent="0.15">
      <c r="A903" t="s">
        <v>72</v>
      </c>
      <c r="B903" t="s">
        <v>17087</v>
      </c>
      <c r="C903" t="s">
        <v>74</v>
      </c>
      <c r="D903" t="s">
        <v>74</v>
      </c>
      <c r="E903" t="s">
        <v>74</v>
      </c>
      <c r="F903" t="s">
        <v>17088</v>
      </c>
      <c r="G903" t="s">
        <v>74</v>
      </c>
      <c r="H903" t="s">
        <v>74</v>
      </c>
      <c r="I903" t="s">
        <v>17089</v>
      </c>
      <c r="J903" t="s">
        <v>17090</v>
      </c>
      <c r="K903" t="s">
        <v>74</v>
      </c>
      <c r="L903" t="s">
        <v>74</v>
      </c>
      <c r="M903" t="s">
        <v>78</v>
      </c>
      <c r="N903" t="s">
        <v>79</v>
      </c>
      <c r="O903" t="s">
        <v>74</v>
      </c>
      <c r="P903" t="s">
        <v>74</v>
      </c>
      <c r="Q903" t="s">
        <v>74</v>
      </c>
      <c r="R903" t="s">
        <v>74</v>
      </c>
      <c r="S903" t="s">
        <v>74</v>
      </c>
      <c r="T903" t="s">
        <v>17091</v>
      </c>
      <c r="U903" t="s">
        <v>17092</v>
      </c>
      <c r="V903" t="s">
        <v>17093</v>
      </c>
      <c r="W903" t="s">
        <v>17094</v>
      </c>
      <c r="X903" t="s">
        <v>17095</v>
      </c>
      <c r="Y903" t="s">
        <v>17096</v>
      </c>
      <c r="Z903" t="s">
        <v>17097</v>
      </c>
      <c r="AA903" t="s">
        <v>74</v>
      </c>
      <c r="AB903" t="s">
        <v>74</v>
      </c>
      <c r="AC903" t="s">
        <v>74</v>
      </c>
      <c r="AD903" t="s">
        <v>74</v>
      </c>
      <c r="AE903" t="s">
        <v>74</v>
      </c>
      <c r="AF903" t="s">
        <v>74</v>
      </c>
      <c r="AG903">
        <v>43</v>
      </c>
      <c r="AH903">
        <v>6</v>
      </c>
      <c r="AI903">
        <v>6</v>
      </c>
      <c r="AJ903">
        <v>0</v>
      </c>
      <c r="AK903">
        <v>21</v>
      </c>
      <c r="AL903" t="s">
        <v>1207</v>
      </c>
      <c r="AM903" t="s">
        <v>1208</v>
      </c>
      <c r="AN903" t="s">
        <v>1209</v>
      </c>
      <c r="AO903" t="s">
        <v>17098</v>
      </c>
      <c r="AP903" t="s">
        <v>17099</v>
      </c>
      <c r="AQ903" t="s">
        <v>74</v>
      </c>
      <c r="AR903" t="s">
        <v>17100</v>
      </c>
      <c r="AS903" t="s">
        <v>17101</v>
      </c>
      <c r="AT903" t="s">
        <v>74</v>
      </c>
      <c r="AU903">
        <v>2015</v>
      </c>
      <c r="AV903">
        <v>43</v>
      </c>
      <c r="AW903">
        <v>6</v>
      </c>
      <c r="AX903" t="s">
        <v>74</v>
      </c>
      <c r="AY903" t="s">
        <v>74</v>
      </c>
      <c r="AZ903" t="s">
        <v>74</v>
      </c>
      <c r="BA903" t="s">
        <v>74</v>
      </c>
      <c r="BB903">
        <v>609</v>
      </c>
      <c r="BC903">
        <v>627</v>
      </c>
      <c r="BD903" t="s">
        <v>74</v>
      </c>
      <c r="BE903" t="s">
        <v>17102</v>
      </c>
      <c r="BF903" t="str">
        <f>HYPERLINK("http://dx.doi.org/10.1080/08920753.2015.1086949","http://dx.doi.org/10.1080/08920753.2015.1086949")</f>
        <v>http://dx.doi.org/10.1080/08920753.2015.1086949</v>
      </c>
      <c r="BG903" t="s">
        <v>74</v>
      </c>
      <c r="BH903" t="s">
        <v>74</v>
      </c>
      <c r="BI903">
        <v>19</v>
      </c>
      <c r="BJ903" t="s">
        <v>7975</v>
      </c>
      <c r="BK903" t="s">
        <v>1019</v>
      </c>
      <c r="BL903" t="s">
        <v>1048</v>
      </c>
      <c r="BM903" t="s">
        <v>17103</v>
      </c>
      <c r="BN903" t="s">
        <v>74</v>
      </c>
      <c r="BO903" t="s">
        <v>74</v>
      </c>
      <c r="BP903" t="s">
        <v>74</v>
      </c>
      <c r="BQ903" t="s">
        <v>74</v>
      </c>
      <c r="BR903" t="s">
        <v>104</v>
      </c>
      <c r="BS903" t="s">
        <v>17104</v>
      </c>
      <c r="BT903" t="str">
        <f>HYPERLINK("https%3A%2F%2Fwww.webofscience.com%2Fwos%2Fwoscc%2Ffull-record%2FWOS:000366158400003","View Full Record in Web of Science")</f>
        <v>View Full Record in Web of Science</v>
      </c>
    </row>
    <row r="904" spans="1:72" x14ac:dyDescent="0.15">
      <c r="A904" t="s">
        <v>72</v>
      </c>
      <c r="B904" t="s">
        <v>17105</v>
      </c>
      <c r="C904" t="s">
        <v>74</v>
      </c>
      <c r="D904" t="s">
        <v>74</v>
      </c>
      <c r="E904" t="s">
        <v>74</v>
      </c>
      <c r="F904" t="s">
        <v>17106</v>
      </c>
      <c r="G904" t="s">
        <v>74</v>
      </c>
      <c r="H904" t="s">
        <v>74</v>
      </c>
      <c r="I904" t="s">
        <v>17107</v>
      </c>
      <c r="J904" t="s">
        <v>16266</v>
      </c>
      <c r="K904" t="s">
        <v>74</v>
      </c>
      <c r="L904" t="s">
        <v>74</v>
      </c>
      <c r="M904" t="s">
        <v>78</v>
      </c>
      <c r="N904" t="s">
        <v>79</v>
      </c>
      <c r="O904" t="s">
        <v>74</v>
      </c>
      <c r="P904" t="s">
        <v>74</v>
      </c>
      <c r="Q904" t="s">
        <v>74</v>
      </c>
      <c r="R904" t="s">
        <v>74</v>
      </c>
      <c r="S904" t="s">
        <v>74</v>
      </c>
      <c r="T904" t="s">
        <v>17108</v>
      </c>
      <c r="U904" t="s">
        <v>17109</v>
      </c>
      <c r="V904" t="s">
        <v>17110</v>
      </c>
      <c r="W904" t="s">
        <v>17111</v>
      </c>
      <c r="X904" t="s">
        <v>17112</v>
      </c>
      <c r="Y904" t="s">
        <v>17113</v>
      </c>
      <c r="Z904" t="s">
        <v>17114</v>
      </c>
      <c r="AA904" t="s">
        <v>74</v>
      </c>
      <c r="AB904" t="s">
        <v>17115</v>
      </c>
      <c r="AC904" t="s">
        <v>17116</v>
      </c>
      <c r="AD904" t="s">
        <v>17116</v>
      </c>
      <c r="AE904" t="s">
        <v>17117</v>
      </c>
      <c r="AF904" t="s">
        <v>74</v>
      </c>
      <c r="AG904">
        <v>22</v>
      </c>
      <c r="AH904">
        <v>12</v>
      </c>
      <c r="AI904">
        <v>15</v>
      </c>
      <c r="AJ904">
        <v>2</v>
      </c>
      <c r="AK904">
        <v>14</v>
      </c>
      <c r="AL904" t="s">
        <v>2167</v>
      </c>
      <c r="AM904" t="s">
        <v>2168</v>
      </c>
      <c r="AN904" t="s">
        <v>2169</v>
      </c>
      <c r="AO904" t="s">
        <v>16277</v>
      </c>
      <c r="AP904" t="s">
        <v>16278</v>
      </c>
      <c r="AQ904" t="s">
        <v>74</v>
      </c>
      <c r="AR904" t="s">
        <v>16279</v>
      </c>
      <c r="AS904" t="s">
        <v>16280</v>
      </c>
      <c r="AT904" t="s">
        <v>74</v>
      </c>
      <c r="AU904">
        <v>2015</v>
      </c>
      <c r="AV904">
        <v>61</v>
      </c>
      <c r="AW904">
        <v>229</v>
      </c>
      <c r="AX904" t="s">
        <v>74</v>
      </c>
      <c r="AY904" t="s">
        <v>74</v>
      </c>
      <c r="AZ904" t="s">
        <v>74</v>
      </c>
      <c r="BA904" t="s">
        <v>74</v>
      </c>
      <c r="BB904">
        <v>975</v>
      </c>
      <c r="BC904">
        <v>986</v>
      </c>
      <c r="BD904" t="s">
        <v>74</v>
      </c>
      <c r="BE904" t="s">
        <v>17118</v>
      </c>
      <c r="BF904" t="str">
        <f>HYPERLINK("http://dx.doi.org/10.3189/2015JoG15J023","http://dx.doi.org/10.3189/2015JoG15J023")</f>
        <v>http://dx.doi.org/10.3189/2015JoG15J023</v>
      </c>
      <c r="BG904" t="s">
        <v>74</v>
      </c>
      <c r="BH904" t="s">
        <v>74</v>
      </c>
      <c r="BI904">
        <v>12</v>
      </c>
      <c r="BJ904" t="s">
        <v>795</v>
      </c>
      <c r="BK904" t="s">
        <v>100</v>
      </c>
      <c r="BL904" t="s">
        <v>796</v>
      </c>
      <c r="BM904" t="s">
        <v>17119</v>
      </c>
      <c r="BN904" t="s">
        <v>74</v>
      </c>
      <c r="BO904" t="s">
        <v>156</v>
      </c>
      <c r="BP904" t="s">
        <v>74</v>
      </c>
      <c r="BQ904" t="s">
        <v>74</v>
      </c>
      <c r="BR904" t="s">
        <v>104</v>
      </c>
      <c r="BS904" t="s">
        <v>17120</v>
      </c>
      <c r="BT904" t="str">
        <f>HYPERLINK("https%3A%2F%2Fwww.webofscience.com%2Fwos%2Fwoscc%2Ffull-record%2FWOS:000366345000013","View Full Record in Web of Science")</f>
        <v>View Full Record in Web of Science</v>
      </c>
    </row>
    <row r="905" spans="1:72" x14ac:dyDescent="0.15">
      <c r="A905" t="s">
        <v>72</v>
      </c>
      <c r="B905" t="s">
        <v>17121</v>
      </c>
      <c r="C905" t="s">
        <v>74</v>
      </c>
      <c r="D905" t="s">
        <v>74</v>
      </c>
      <c r="E905" t="s">
        <v>74</v>
      </c>
      <c r="F905" t="s">
        <v>17122</v>
      </c>
      <c r="G905" t="s">
        <v>74</v>
      </c>
      <c r="H905" t="s">
        <v>74</v>
      </c>
      <c r="I905" t="s">
        <v>17123</v>
      </c>
      <c r="J905" t="s">
        <v>16266</v>
      </c>
      <c r="K905" t="s">
        <v>74</v>
      </c>
      <c r="L905" t="s">
        <v>74</v>
      </c>
      <c r="M905" t="s">
        <v>78</v>
      </c>
      <c r="N905" t="s">
        <v>79</v>
      </c>
      <c r="O905" t="s">
        <v>74</v>
      </c>
      <c r="P905" t="s">
        <v>74</v>
      </c>
      <c r="Q905" t="s">
        <v>74</v>
      </c>
      <c r="R905" t="s">
        <v>74</v>
      </c>
      <c r="S905" t="s">
        <v>74</v>
      </c>
      <c r="T905" t="s">
        <v>17124</v>
      </c>
      <c r="U905" t="s">
        <v>17125</v>
      </c>
      <c r="V905" t="s">
        <v>17126</v>
      </c>
      <c r="W905" t="s">
        <v>17127</v>
      </c>
      <c r="X905" t="s">
        <v>17128</v>
      </c>
      <c r="Y905" t="s">
        <v>17129</v>
      </c>
      <c r="Z905" t="s">
        <v>17130</v>
      </c>
      <c r="AA905" t="s">
        <v>17131</v>
      </c>
      <c r="AB905" t="s">
        <v>17132</v>
      </c>
      <c r="AC905" t="s">
        <v>17133</v>
      </c>
      <c r="AD905" t="s">
        <v>17134</v>
      </c>
      <c r="AE905" t="s">
        <v>17135</v>
      </c>
      <c r="AF905" t="s">
        <v>74</v>
      </c>
      <c r="AG905">
        <v>83</v>
      </c>
      <c r="AH905">
        <v>5</v>
      </c>
      <c r="AI905">
        <v>6</v>
      </c>
      <c r="AJ905">
        <v>1</v>
      </c>
      <c r="AK905">
        <v>10</v>
      </c>
      <c r="AL905" t="s">
        <v>2167</v>
      </c>
      <c r="AM905" t="s">
        <v>2168</v>
      </c>
      <c r="AN905" t="s">
        <v>2169</v>
      </c>
      <c r="AO905" t="s">
        <v>16277</v>
      </c>
      <c r="AP905" t="s">
        <v>16278</v>
      </c>
      <c r="AQ905" t="s">
        <v>74</v>
      </c>
      <c r="AR905" t="s">
        <v>16279</v>
      </c>
      <c r="AS905" t="s">
        <v>16280</v>
      </c>
      <c r="AT905" t="s">
        <v>74</v>
      </c>
      <c r="AU905">
        <v>2015</v>
      </c>
      <c r="AV905">
        <v>61</v>
      </c>
      <c r="AW905">
        <v>229</v>
      </c>
      <c r="AX905" t="s">
        <v>74</v>
      </c>
      <c r="AY905" t="s">
        <v>74</v>
      </c>
      <c r="AZ905" t="s">
        <v>74</v>
      </c>
      <c r="BA905" t="s">
        <v>74</v>
      </c>
      <c r="BB905">
        <v>987</v>
      </c>
      <c r="BC905">
        <v>1004</v>
      </c>
      <c r="BD905" t="s">
        <v>74</v>
      </c>
      <c r="BE905" t="s">
        <v>17136</v>
      </c>
      <c r="BF905" t="str">
        <f>HYPERLINK("http://dx.doi.org/10.3189/2015JoG14J198","http://dx.doi.org/10.3189/2015JoG14J198")</f>
        <v>http://dx.doi.org/10.3189/2015JoG14J198</v>
      </c>
      <c r="BG905" t="s">
        <v>74</v>
      </c>
      <c r="BH905" t="s">
        <v>74</v>
      </c>
      <c r="BI905">
        <v>18</v>
      </c>
      <c r="BJ905" t="s">
        <v>795</v>
      </c>
      <c r="BK905" t="s">
        <v>100</v>
      </c>
      <c r="BL905" t="s">
        <v>796</v>
      </c>
      <c r="BM905" t="s">
        <v>17119</v>
      </c>
      <c r="BN905" t="s">
        <v>74</v>
      </c>
      <c r="BO905" t="s">
        <v>156</v>
      </c>
      <c r="BP905" t="s">
        <v>74</v>
      </c>
      <c r="BQ905" t="s">
        <v>74</v>
      </c>
      <c r="BR905" t="s">
        <v>104</v>
      </c>
      <c r="BS905" t="s">
        <v>17137</v>
      </c>
      <c r="BT905" t="str">
        <f>HYPERLINK("https%3A%2F%2Fwww.webofscience.com%2Fwos%2Fwoscc%2Ffull-record%2FWOS:000366345000014","View Full Record in Web of Science")</f>
        <v>View Full Record in Web of Science</v>
      </c>
    </row>
    <row r="906" spans="1:72" x14ac:dyDescent="0.15">
      <c r="A906" t="s">
        <v>15978</v>
      </c>
      <c r="B906" t="s">
        <v>17138</v>
      </c>
      <c r="C906" t="s">
        <v>74</v>
      </c>
      <c r="D906" t="s">
        <v>17139</v>
      </c>
      <c r="E906" t="s">
        <v>74</v>
      </c>
      <c r="F906" t="s">
        <v>17140</v>
      </c>
      <c r="G906" t="s">
        <v>74</v>
      </c>
      <c r="H906" t="s">
        <v>74</v>
      </c>
      <c r="I906" t="s">
        <v>17141</v>
      </c>
      <c r="J906" t="s">
        <v>17142</v>
      </c>
      <c r="K906" t="s">
        <v>17143</v>
      </c>
      <c r="L906" t="s">
        <v>74</v>
      </c>
      <c r="M906" t="s">
        <v>78</v>
      </c>
      <c r="N906" t="s">
        <v>15564</v>
      </c>
      <c r="O906" t="s">
        <v>74</v>
      </c>
      <c r="P906" t="s">
        <v>74</v>
      </c>
      <c r="Q906" t="s">
        <v>74</v>
      </c>
      <c r="R906" t="s">
        <v>74</v>
      </c>
      <c r="S906" t="s">
        <v>74</v>
      </c>
      <c r="T906" t="s">
        <v>17144</v>
      </c>
      <c r="U906" t="s">
        <v>17145</v>
      </c>
      <c r="V906" t="s">
        <v>17146</v>
      </c>
      <c r="W906" t="s">
        <v>17147</v>
      </c>
      <c r="X906" t="s">
        <v>17148</v>
      </c>
      <c r="Y906" t="s">
        <v>17149</v>
      </c>
      <c r="Z906" t="s">
        <v>74</v>
      </c>
      <c r="AA906" t="s">
        <v>17150</v>
      </c>
      <c r="AB906" t="s">
        <v>13224</v>
      </c>
      <c r="AC906" t="s">
        <v>74</v>
      </c>
      <c r="AD906" t="s">
        <v>74</v>
      </c>
      <c r="AE906" t="s">
        <v>74</v>
      </c>
      <c r="AF906" t="s">
        <v>74</v>
      </c>
      <c r="AG906">
        <v>259</v>
      </c>
      <c r="AH906">
        <v>10</v>
      </c>
      <c r="AI906">
        <v>12</v>
      </c>
      <c r="AJ906">
        <v>0</v>
      </c>
      <c r="AK906">
        <v>12</v>
      </c>
      <c r="AL906" t="s">
        <v>17151</v>
      </c>
      <c r="AM906" t="s">
        <v>17152</v>
      </c>
      <c r="AN906" t="s">
        <v>17153</v>
      </c>
      <c r="AO906" t="s">
        <v>17154</v>
      </c>
      <c r="AP906" t="s">
        <v>17155</v>
      </c>
      <c r="AQ906" t="s">
        <v>17156</v>
      </c>
      <c r="AR906" t="s">
        <v>17157</v>
      </c>
      <c r="AS906" t="s">
        <v>17158</v>
      </c>
      <c r="AT906" t="s">
        <v>74</v>
      </c>
      <c r="AU906">
        <v>2015</v>
      </c>
      <c r="AV906">
        <v>1308</v>
      </c>
      <c r="AW906" t="s">
        <v>74</v>
      </c>
      <c r="AX906" t="s">
        <v>74</v>
      </c>
      <c r="AY906" t="s">
        <v>74</v>
      </c>
      <c r="AZ906" t="s">
        <v>74</v>
      </c>
      <c r="BA906" t="s">
        <v>74</v>
      </c>
      <c r="BB906">
        <v>39</v>
      </c>
      <c r="BC906">
        <v>73</v>
      </c>
      <c r="BD906" t="s">
        <v>74</v>
      </c>
      <c r="BE906" t="s">
        <v>17159</v>
      </c>
      <c r="BF906" t="str">
        <f>HYPERLINK("http://dx.doi.org/10.1007/978-1-4939-2684-8_2","http://dx.doi.org/10.1007/978-1-4939-2684-8_2")</f>
        <v>http://dx.doi.org/10.1007/978-1-4939-2684-8_2</v>
      </c>
      <c r="BG906" t="s">
        <v>17160</v>
      </c>
      <c r="BH906" t="s">
        <v>74</v>
      </c>
      <c r="BI906">
        <v>35</v>
      </c>
      <c r="BJ906" t="s">
        <v>10145</v>
      </c>
      <c r="BK906" t="s">
        <v>15510</v>
      </c>
      <c r="BL906" t="s">
        <v>10145</v>
      </c>
      <c r="BM906" t="s">
        <v>17161</v>
      </c>
      <c r="BN906">
        <v>26108497</v>
      </c>
      <c r="BO906" t="s">
        <v>248</v>
      </c>
      <c r="BP906" t="s">
        <v>74</v>
      </c>
      <c r="BQ906" t="s">
        <v>74</v>
      </c>
      <c r="BR906" t="s">
        <v>104</v>
      </c>
      <c r="BS906" t="s">
        <v>17162</v>
      </c>
      <c r="BT906" t="str">
        <f>HYPERLINK("https%3A%2F%2Fwww.webofscience.com%2Fwos%2Fwoscc%2Ffull-record%2FWOS:000365987100003","View Full Record in Web of Science")</f>
        <v>View Full Record in Web of Science</v>
      </c>
    </row>
    <row r="907" spans="1:72" x14ac:dyDescent="0.15">
      <c r="A907" t="s">
        <v>72</v>
      </c>
      <c r="B907" t="s">
        <v>17163</v>
      </c>
      <c r="C907" t="s">
        <v>74</v>
      </c>
      <c r="D907" t="s">
        <v>74</v>
      </c>
      <c r="E907" t="s">
        <v>74</v>
      </c>
      <c r="F907" t="s">
        <v>17164</v>
      </c>
      <c r="G907" t="s">
        <v>74</v>
      </c>
      <c r="H907" t="s">
        <v>74</v>
      </c>
      <c r="I907" t="s">
        <v>17165</v>
      </c>
      <c r="J907" t="s">
        <v>17166</v>
      </c>
      <c r="K907" t="s">
        <v>74</v>
      </c>
      <c r="L907" t="s">
        <v>74</v>
      </c>
      <c r="M907" t="s">
        <v>78</v>
      </c>
      <c r="N907" t="s">
        <v>79</v>
      </c>
      <c r="O907" t="s">
        <v>74</v>
      </c>
      <c r="P907" t="s">
        <v>74</v>
      </c>
      <c r="Q907" t="s">
        <v>74</v>
      </c>
      <c r="R907" t="s">
        <v>74</v>
      </c>
      <c r="S907" t="s">
        <v>74</v>
      </c>
      <c r="T907" t="s">
        <v>17167</v>
      </c>
      <c r="U907" t="s">
        <v>74</v>
      </c>
      <c r="V907" t="s">
        <v>17168</v>
      </c>
      <c r="W907" t="s">
        <v>17169</v>
      </c>
      <c r="X907" t="s">
        <v>17170</v>
      </c>
      <c r="Y907" t="s">
        <v>17171</v>
      </c>
      <c r="Z907" t="s">
        <v>17172</v>
      </c>
      <c r="AA907" t="s">
        <v>17173</v>
      </c>
      <c r="AB907" t="s">
        <v>17174</v>
      </c>
      <c r="AC907" t="s">
        <v>74</v>
      </c>
      <c r="AD907" t="s">
        <v>74</v>
      </c>
      <c r="AE907" t="s">
        <v>74</v>
      </c>
      <c r="AF907" t="s">
        <v>74</v>
      </c>
      <c r="AG907">
        <v>29</v>
      </c>
      <c r="AH907">
        <v>12</v>
      </c>
      <c r="AI907">
        <v>12</v>
      </c>
      <c r="AJ907">
        <v>1</v>
      </c>
      <c r="AK907">
        <v>20</v>
      </c>
      <c r="AL907" t="s">
        <v>17175</v>
      </c>
      <c r="AM907" t="s">
        <v>17176</v>
      </c>
      <c r="AN907" t="s">
        <v>17177</v>
      </c>
      <c r="AO907" t="s">
        <v>17178</v>
      </c>
      <c r="AP907" t="s">
        <v>17179</v>
      </c>
      <c r="AQ907" t="s">
        <v>74</v>
      </c>
      <c r="AR907" t="s">
        <v>17166</v>
      </c>
      <c r="AS907" t="s">
        <v>17180</v>
      </c>
      <c r="AT907" t="s">
        <v>74</v>
      </c>
      <c r="AU907">
        <v>2015</v>
      </c>
      <c r="AV907">
        <v>68</v>
      </c>
      <c r="AW907" t="s">
        <v>74</v>
      </c>
      <c r="AX907" t="s">
        <v>74</v>
      </c>
      <c r="AY907">
        <v>1</v>
      </c>
      <c r="AZ907" t="s">
        <v>74</v>
      </c>
      <c r="BA907" t="s">
        <v>74</v>
      </c>
      <c r="BB907">
        <v>48</v>
      </c>
      <c r="BC907">
        <v>58</v>
      </c>
      <c r="BD907" t="s">
        <v>74</v>
      </c>
      <c r="BE907" t="s">
        <v>17181</v>
      </c>
      <c r="BF907" t="str">
        <f>HYPERLINK("http://dx.doi.org/10.14430/arctic4476","http://dx.doi.org/10.14430/arctic4476")</f>
        <v>http://dx.doi.org/10.14430/arctic4476</v>
      </c>
      <c r="BG907" t="s">
        <v>74</v>
      </c>
      <c r="BH907" t="s">
        <v>74</v>
      </c>
      <c r="BI907">
        <v>11</v>
      </c>
      <c r="BJ907" t="s">
        <v>1812</v>
      </c>
      <c r="BK907" t="s">
        <v>100</v>
      </c>
      <c r="BL907" t="s">
        <v>197</v>
      </c>
      <c r="BM907" t="s">
        <v>17182</v>
      </c>
      <c r="BN907" t="s">
        <v>74</v>
      </c>
      <c r="BO907" t="s">
        <v>156</v>
      </c>
      <c r="BP907" t="s">
        <v>74</v>
      </c>
      <c r="BQ907" t="s">
        <v>74</v>
      </c>
      <c r="BR907" t="s">
        <v>104</v>
      </c>
      <c r="BS907" t="s">
        <v>17183</v>
      </c>
      <c r="BT907" t="str">
        <f>HYPERLINK("https%3A%2F%2Fwww.webofscience.com%2Fwos%2Fwoscc%2Ffull-record%2FWOS:000365463500007","View Full Record in Web of Science")</f>
        <v>View Full Record in Web of Science</v>
      </c>
    </row>
    <row r="908" spans="1:72" x14ac:dyDescent="0.15">
      <c r="A908" t="s">
        <v>72</v>
      </c>
      <c r="B908" t="s">
        <v>17184</v>
      </c>
      <c r="C908" t="s">
        <v>74</v>
      </c>
      <c r="D908" t="s">
        <v>74</v>
      </c>
      <c r="E908" t="s">
        <v>74</v>
      </c>
      <c r="F908" t="s">
        <v>17185</v>
      </c>
      <c r="G908" t="s">
        <v>74</v>
      </c>
      <c r="H908" t="s">
        <v>74</v>
      </c>
      <c r="I908" t="s">
        <v>17186</v>
      </c>
      <c r="J908" t="s">
        <v>17166</v>
      </c>
      <c r="K908" t="s">
        <v>74</v>
      </c>
      <c r="L908" t="s">
        <v>74</v>
      </c>
      <c r="M908" t="s">
        <v>78</v>
      </c>
      <c r="N908" t="s">
        <v>79</v>
      </c>
      <c r="O908" t="s">
        <v>74</v>
      </c>
      <c r="P908" t="s">
        <v>74</v>
      </c>
      <c r="Q908" t="s">
        <v>74</v>
      </c>
      <c r="R908" t="s">
        <v>74</v>
      </c>
      <c r="S908" t="s">
        <v>74</v>
      </c>
      <c r="T908" t="s">
        <v>17187</v>
      </c>
      <c r="U908" t="s">
        <v>17188</v>
      </c>
      <c r="V908" t="s">
        <v>17189</v>
      </c>
      <c r="W908" t="s">
        <v>17190</v>
      </c>
      <c r="X908" t="s">
        <v>17191</v>
      </c>
      <c r="Y908" t="s">
        <v>17192</v>
      </c>
      <c r="Z908" t="s">
        <v>17193</v>
      </c>
      <c r="AA908" t="s">
        <v>17194</v>
      </c>
      <c r="AB908" t="s">
        <v>17195</v>
      </c>
      <c r="AC908" t="s">
        <v>17196</v>
      </c>
      <c r="AD908" t="s">
        <v>17197</v>
      </c>
      <c r="AE908" t="s">
        <v>74</v>
      </c>
      <c r="AF908" t="s">
        <v>74</v>
      </c>
      <c r="AG908">
        <v>49</v>
      </c>
      <c r="AH908">
        <v>23</v>
      </c>
      <c r="AI908">
        <v>26</v>
      </c>
      <c r="AJ908">
        <v>3</v>
      </c>
      <c r="AK908">
        <v>16</v>
      </c>
      <c r="AL908" t="s">
        <v>17175</v>
      </c>
      <c r="AM908" t="s">
        <v>17176</v>
      </c>
      <c r="AN908" t="s">
        <v>17177</v>
      </c>
      <c r="AO908" t="s">
        <v>17178</v>
      </c>
      <c r="AP908" t="s">
        <v>17179</v>
      </c>
      <c r="AQ908" t="s">
        <v>74</v>
      </c>
      <c r="AR908" t="s">
        <v>17166</v>
      </c>
      <c r="AS908" t="s">
        <v>17180</v>
      </c>
      <c r="AT908" t="s">
        <v>74</v>
      </c>
      <c r="AU908">
        <v>2015</v>
      </c>
      <c r="AV908">
        <v>68</v>
      </c>
      <c r="AW908" t="s">
        <v>74</v>
      </c>
      <c r="AX908" t="s">
        <v>74</v>
      </c>
      <c r="AY908">
        <v>1</v>
      </c>
      <c r="AZ908" t="s">
        <v>74</v>
      </c>
      <c r="BA908" t="s">
        <v>74</v>
      </c>
      <c r="BB908">
        <v>59</v>
      </c>
      <c r="BC908">
        <v>68</v>
      </c>
      <c r="BD908" t="s">
        <v>74</v>
      </c>
      <c r="BE908" t="s">
        <v>17198</v>
      </c>
      <c r="BF908" t="str">
        <f>HYPERLINK("http://dx.doi.org/10.14430/arctic4448","http://dx.doi.org/10.14430/arctic4448")</f>
        <v>http://dx.doi.org/10.14430/arctic4448</v>
      </c>
      <c r="BG908" t="s">
        <v>74</v>
      </c>
      <c r="BH908" t="s">
        <v>74</v>
      </c>
      <c r="BI908">
        <v>10</v>
      </c>
      <c r="BJ908" t="s">
        <v>1812</v>
      </c>
      <c r="BK908" t="s">
        <v>100</v>
      </c>
      <c r="BL908" t="s">
        <v>197</v>
      </c>
      <c r="BM908" t="s">
        <v>17182</v>
      </c>
      <c r="BN908" t="s">
        <v>74</v>
      </c>
      <c r="BO908" t="s">
        <v>248</v>
      </c>
      <c r="BP908" t="s">
        <v>74</v>
      </c>
      <c r="BQ908" t="s">
        <v>74</v>
      </c>
      <c r="BR908" t="s">
        <v>104</v>
      </c>
      <c r="BS908" t="s">
        <v>17199</v>
      </c>
      <c r="BT908" t="str">
        <f>HYPERLINK("https%3A%2F%2Fwww.webofscience.com%2Fwos%2Fwoscc%2Ffull-record%2FWOS:000365463500008","View Full Record in Web of Science")</f>
        <v>View Full Record in Web of Science</v>
      </c>
    </row>
    <row r="909" spans="1:72" x14ac:dyDescent="0.15">
      <c r="A909" t="s">
        <v>72</v>
      </c>
      <c r="B909" t="s">
        <v>17200</v>
      </c>
      <c r="C909" t="s">
        <v>74</v>
      </c>
      <c r="D909" t="s">
        <v>74</v>
      </c>
      <c r="E909" t="s">
        <v>74</v>
      </c>
      <c r="F909" t="s">
        <v>17201</v>
      </c>
      <c r="G909" t="s">
        <v>74</v>
      </c>
      <c r="H909" t="s">
        <v>74</v>
      </c>
      <c r="I909" t="s">
        <v>17202</v>
      </c>
      <c r="J909" t="s">
        <v>17203</v>
      </c>
      <c r="K909" t="s">
        <v>74</v>
      </c>
      <c r="L909" t="s">
        <v>74</v>
      </c>
      <c r="M909" t="s">
        <v>78</v>
      </c>
      <c r="N909" t="s">
        <v>79</v>
      </c>
      <c r="O909" t="s">
        <v>74</v>
      </c>
      <c r="P909" t="s">
        <v>74</v>
      </c>
      <c r="Q909" t="s">
        <v>74</v>
      </c>
      <c r="R909" t="s">
        <v>74</v>
      </c>
      <c r="S909" t="s">
        <v>74</v>
      </c>
      <c r="T909" t="s">
        <v>74</v>
      </c>
      <c r="U909" t="s">
        <v>539</v>
      </c>
      <c r="V909" t="s">
        <v>17204</v>
      </c>
      <c r="W909" t="s">
        <v>17205</v>
      </c>
      <c r="X909" t="s">
        <v>17206</v>
      </c>
      <c r="Y909" t="s">
        <v>17207</v>
      </c>
      <c r="Z909" t="s">
        <v>74</v>
      </c>
      <c r="AA909" t="s">
        <v>74</v>
      </c>
      <c r="AB909" t="s">
        <v>74</v>
      </c>
      <c r="AC909" t="s">
        <v>74</v>
      </c>
      <c r="AD909" t="s">
        <v>74</v>
      </c>
      <c r="AE909" t="s">
        <v>74</v>
      </c>
      <c r="AF909" t="s">
        <v>74</v>
      </c>
      <c r="AG909">
        <v>55</v>
      </c>
      <c r="AH909">
        <v>1</v>
      </c>
      <c r="AI909">
        <v>1</v>
      </c>
      <c r="AJ909">
        <v>0</v>
      </c>
      <c r="AK909">
        <v>1</v>
      </c>
      <c r="AL909" t="s">
        <v>17208</v>
      </c>
      <c r="AM909" t="s">
        <v>17209</v>
      </c>
      <c r="AN909" t="s">
        <v>17210</v>
      </c>
      <c r="AO909" t="s">
        <v>17211</v>
      </c>
      <c r="AP909" t="s">
        <v>74</v>
      </c>
      <c r="AQ909" t="s">
        <v>74</v>
      </c>
      <c r="AR909" t="s">
        <v>17212</v>
      </c>
      <c r="AS909" t="s">
        <v>17213</v>
      </c>
      <c r="AT909" t="s">
        <v>74</v>
      </c>
      <c r="AU909">
        <v>2015</v>
      </c>
      <c r="AV909">
        <v>42</v>
      </c>
      <c r="AW909">
        <v>2</v>
      </c>
      <c r="AX909" t="s">
        <v>74</v>
      </c>
      <c r="AY909" t="s">
        <v>74</v>
      </c>
      <c r="AZ909" t="s">
        <v>74</v>
      </c>
      <c r="BA909" t="s">
        <v>74</v>
      </c>
      <c r="BB909">
        <v>305</v>
      </c>
      <c r="BC909">
        <v>345</v>
      </c>
      <c r="BD909" t="s">
        <v>74</v>
      </c>
      <c r="BE909" t="s">
        <v>74</v>
      </c>
      <c r="BF909" t="s">
        <v>74</v>
      </c>
      <c r="BG909" t="s">
        <v>74</v>
      </c>
      <c r="BH909" t="s">
        <v>74</v>
      </c>
      <c r="BI909">
        <v>41</v>
      </c>
      <c r="BJ909" t="s">
        <v>8051</v>
      </c>
      <c r="BK909" t="s">
        <v>1189</v>
      </c>
      <c r="BL909" t="s">
        <v>8052</v>
      </c>
      <c r="BM909" t="s">
        <v>17214</v>
      </c>
      <c r="BN909" t="s">
        <v>74</v>
      </c>
      <c r="BO909" t="s">
        <v>74</v>
      </c>
      <c r="BP909" t="s">
        <v>74</v>
      </c>
      <c r="BQ909" t="s">
        <v>74</v>
      </c>
      <c r="BR909" t="s">
        <v>104</v>
      </c>
      <c r="BS909" t="s">
        <v>17215</v>
      </c>
      <c r="BT909" t="str">
        <f>HYPERLINK("https%3A%2F%2Fwww.webofscience.com%2Fwos%2Fwoscc%2Ffull-record%2FWOS:000364980900006","View Full Record in Web of Science")</f>
        <v>View Full Record in Web of Science</v>
      </c>
    </row>
    <row r="910" spans="1:72" x14ac:dyDescent="0.15">
      <c r="A910" t="s">
        <v>72</v>
      </c>
      <c r="B910" t="s">
        <v>17216</v>
      </c>
      <c r="C910" t="s">
        <v>74</v>
      </c>
      <c r="D910" t="s">
        <v>74</v>
      </c>
      <c r="E910" t="s">
        <v>74</v>
      </c>
      <c r="F910" t="s">
        <v>17217</v>
      </c>
      <c r="G910" t="s">
        <v>74</v>
      </c>
      <c r="H910" t="s">
        <v>74</v>
      </c>
      <c r="I910" t="s">
        <v>17218</v>
      </c>
      <c r="J910" t="s">
        <v>17219</v>
      </c>
      <c r="K910" t="s">
        <v>74</v>
      </c>
      <c r="L910" t="s">
        <v>74</v>
      </c>
      <c r="M910" t="s">
        <v>78</v>
      </c>
      <c r="N910" t="s">
        <v>79</v>
      </c>
      <c r="O910" t="s">
        <v>74</v>
      </c>
      <c r="P910" t="s">
        <v>74</v>
      </c>
      <c r="Q910" t="s">
        <v>74</v>
      </c>
      <c r="R910" t="s">
        <v>74</v>
      </c>
      <c r="S910" t="s">
        <v>74</v>
      </c>
      <c r="T910" t="s">
        <v>74</v>
      </c>
      <c r="U910" t="s">
        <v>17220</v>
      </c>
      <c r="V910" t="s">
        <v>17221</v>
      </c>
      <c r="W910" t="s">
        <v>17222</v>
      </c>
      <c r="X910" t="s">
        <v>17223</v>
      </c>
      <c r="Y910" t="s">
        <v>17224</v>
      </c>
      <c r="Z910" t="s">
        <v>16836</v>
      </c>
      <c r="AA910" t="s">
        <v>17225</v>
      </c>
      <c r="AB910" t="s">
        <v>17226</v>
      </c>
      <c r="AC910" t="s">
        <v>17227</v>
      </c>
      <c r="AD910" t="s">
        <v>17228</v>
      </c>
      <c r="AE910" t="s">
        <v>17229</v>
      </c>
      <c r="AF910" t="s">
        <v>74</v>
      </c>
      <c r="AG910">
        <v>108</v>
      </c>
      <c r="AH910">
        <v>36</v>
      </c>
      <c r="AI910">
        <v>51</v>
      </c>
      <c r="AJ910">
        <v>2</v>
      </c>
      <c r="AK910">
        <v>26</v>
      </c>
      <c r="AL910" t="s">
        <v>16626</v>
      </c>
      <c r="AM910" t="s">
        <v>16627</v>
      </c>
      <c r="AN910" t="s">
        <v>16628</v>
      </c>
      <c r="AO910" t="s">
        <v>17230</v>
      </c>
      <c r="AP910" t="s">
        <v>17231</v>
      </c>
      <c r="AQ910" t="s">
        <v>74</v>
      </c>
      <c r="AR910" t="s">
        <v>17232</v>
      </c>
      <c r="AS910" t="s">
        <v>17233</v>
      </c>
      <c r="AT910" t="s">
        <v>74</v>
      </c>
      <c r="AU910">
        <v>2015</v>
      </c>
      <c r="AV910">
        <v>15</v>
      </c>
      <c r="AW910">
        <v>21</v>
      </c>
      <c r="AX910" t="s">
        <v>74</v>
      </c>
      <c r="AY910" t="s">
        <v>74</v>
      </c>
      <c r="AZ910" t="s">
        <v>74</v>
      </c>
      <c r="BA910" t="s">
        <v>74</v>
      </c>
      <c r="BB910">
        <v>12413</v>
      </c>
      <c r="BC910">
        <v>12443</v>
      </c>
      <c r="BD910" t="s">
        <v>74</v>
      </c>
      <c r="BE910" t="s">
        <v>17234</v>
      </c>
      <c r="BF910" t="str">
        <f>HYPERLINK("http://dx.doi.org/10.5194/acp-15-12413-2015","http://dx.doi.org/10.5194/acp-15-12413-2015")</f>
        <v>http://dx.doi.org/10.5194/acp-15-12413-2015</v>
      </c>
      <c r="BG910" t="s">
        <v>74</v>
      </c>
      <c r="BH910" t="s">
        <v>74</v>
      </c>
      <c r="BI910">
        <v>31</v>
      </c>
      <c r="BJ910" t="s">
        <v>1741</v>
      </c>
      <c r="BK910" t="s">
        <v>100</v>
      </c>
      <c r="BL910" t="s">
        <v>1742</v>
      </c>
      <c r="BM910" t="s">
        <v>17235</v>
      </c>
      <c r="BN910" t="s">
        <v>74</v>
      </c>
      <c r="BO910" t="s">
        <v>1490</v>
      </c>
      <c r="BP910" t="s">
        <v>74</v>
      </c>
      <c r="BQ910" t="s">
        <v>74</v>
      </c>
      <c r="BR910" t="s">
        <v>104</v>
      </c>
      <c r="BS910" t="s">
        <v>17236</v>
      </c>
      <c r="BT910" t="str">
        <f>HYPERLINK("https%3A%2F%2Fwww.webofscience.com%2Fwos%2Fwoscc%2Ffull-record%2FWOS:000365329000017","View Full Record in Web of Science")</f>
        <v>View Full Record in Web of Science</v>
      </c>
    </row>
    <row r="911" spans="1:72" x14ac:dyDescent="0.15">
      <c r="A911" t="s">
        <v>72</v>
      </c>
      <c r="B911" t="s">
        <v>17237</v>
      </c>
      <c r="C911" t="s">
        <v>74</v>
      </c>
      <c r="D911" t="s">
        <v>74</v>
      </c>
      <c r="E911" t="s">
        <v>74</v>
      </c>
      <c r="F911" t="s">
        <v>17238</v>
      </c>
      <c r="G911" t="s">
        <v>74</v>
      </c>
      <c r="H911" t="s">
        <v>74</v>
      </c>
      <c r="I911" t="s">
        <v>17239</v>
      </c>
      <c r="J911" t="s">
        <v>17240</v>
      </c>
      <c r="K911" t="s">
        <v>74</v>
      </c>
      <c r="L911" t="s">
        <v>74</v>
      </c>
      <c r="M911" t="s">
        <v>78</v>
      </c>
      <c r="N911" t="s">
        <v>79</v>
      </c>
      <c r="O911" t="s">
        <v>74</v>
      </c>
      <c r="P911" t="s">
        <v>74</v>
      </c>
      <c r="Q911" t="s">
        <v>74</v>
      </c>
      <c r="R911" t="s">
        <v>74</v>
      </c>
      <c r="S911" t="s">
        <v>74</v>
      </c>
      <c r="T911" t="s">
        <v>17241</v>
      </c>
      <c r="U911" t="s">
        <v>17242</v>
      </c>
      <c r="V911" t="s">
        <v>17243</v>
      </c>
      <c r="W911" t="s">
        <v>17244</v>
      </c>
      <c r="X911" t="s">
        <v>17245</v>
      </c>
      <c r="Y911" t="s">
        <v>17246</v>
      </c>
      <c r="Z911" t="s">
        <v>17247</v>
      </c>
      <c r="AA911" t="s">
        <v>17248</v>
      </c>
      <c r="AB911" t="s">
        <v>17249</v>
      </c>
      <c r="AC911" t="s">
        <v>17250</v>
      </c>
      <c r="AD911" t="s">
        <v>17251</v>
      </c>
      <c r="AE911" t="s">
        <v>17252</v>
      </c>
      <c r="AF911" t="s">
        <v>74</v>
      </c>
      <c r="AG911">
        <v>30</v>
      </c>
      <c r="AH911">
        <v>16</v>
      </c>
      <c r="AI911">
        <v>16</v>
      </c>
      <c r="AJ911">
        <v>0</v>
      </c>
      <c r="AK911">
        <v>20</v>
      </c>
      <c r="AL911" t="s">
        <v>17253</v>
      </c>
      <c r="AM911" t="s">
        <v>17254</v>
      </c>
      <c r="AN911" t="s">
        <v>17255</v>
      </c>
      <c r="AO911" t="s">
        <v>17256</v>
      </c>
      <c r="AP911" t="s">
        <v>17257</v>
      </c>
      <c r="AQ911" t="s">
        <v>74</v>
      </c>
      <c r="AR911" t="s">
        <v>17258</v>
      </c>
      <c r="AS911" t="s">
        <v>17259</v>
      </c>
      <c r="AT911" t="s">
        <v>74</v>
      </c>
      <c r="AU911">
        <v>2015</v>
      </c>
      <c r="AV911">
        <v>22</v>
      </c>
      <c r="AW911">
        <v>12</v>
      </c>
      <c r="AX911" t="s">
        <v>74</v>
      </c>
      <c r="AY911" t="s">
        <v>74</v>
      </c>
      <c r="AZ911" t="s">
        <v>74</v>
      </c>
      <c r="BA911" t="s">
        <v>74</v>
      </c>
      <c r="BB911">
        <v>1076</v>
      </c>
      <c r="BC911">
        <v>1082</v>
      </c>
      <c r="BD911" t="s">
        <v>74</v>
      </c>
      <c r="BE911" t="s">
        <v>17260</v>
      </c>
      <c r="BF911" t="str">
        <f>HYPERLINK("http://dx.doi.org/10.2174/0929866522666150915122247","http://dx.doi.org/10.2174/0929866522666150915122247")</f>
        <v>http://dx.doi.org/10.2174/0929866522666150915122247</v>
      </c>
      <c r="BG911" t="s">
        <v>74</v>
      </c>
      <c r="BH911" t="s">
        <v>74</v>
      </c>
      <c r="BI911">
        <v>7</v>
      </c>
      <c r="BJ911" t="s">
        <v>17261</v>
      </c>
      <c r="BK911" t="s">
        <v>100</v>
      </c>
      <c r="BL911" t="s">
        <v>17261</v>
      </c>
      <c r="BM911" t="s">
        <v>17262</v>
      </c>
      <c r="BN911">
        <v>26369950</v>
      </c>
      <c r="BO911" t="s">
        <v>74</v>
      </c>
      <c r="BP911" t="s">
        <v>74</v>
      </c>
      <c r="BQ911" t="s">
        <v>74</v>
      </c>
      <c r="BR911" t="s">
        <v>104</v>
      </c>
      <c r="BS911" t="s">
        <v>17263</v>
      </c>
      <c r="BT911" t="str">
        <f>HYPERLINK("https%3A%2F%2Fwww.webofscience.com%2Fwos%2Fwoscc%2Ffull-record%2FWOS:000365041200004","View Full Record in Web of Science")</f>
        <v>View Full Record in Web of Science</v>
      </c>
    </row>
    <row r="912" spans="1:72" x14ac:dyDescent="0.15">
      <c r="A912" t="s">
        <v>72</v>
      </c>
      <c r="B912" t="s">
        <v>17264</v>
      </c>
      <c r="C912" t="s">
        <v>74</v>
      </c>
      <c r="D912" t="s">
        <v>74</v>
      </c>
      <c r="E912" t="s">
        <v>74</v>
      </c>
      <c r="F912" t="s">
        <v>17265</v>
      </c>
      <c r="G912" t="s">
        <v>74</v>
      </c>
      <c r="H912" t="s">
        <v>74</v>
      </c>
      <c r="I912" t="s">
        <v>17266</v>
      </c>
      <c r="J912" t="s">
        <v>17267</v>
      </c>
      <c r="K912" t="s">
        <v>74</v>
      </c>
      <c r="L912" t="s">
        <v>74</v>
      </c>
      <c r="M912" t="s">
        <v>78</v>
      </c>
      <c r="N912" t="s">
        <v>2472</v>
      </c>
      <c r="O912" t="s">
        <v>74</v>
      </c>
      <c r="P912" t="s">
        <v>74</v>
      </c>
      <c r="Q912" t="s">
        <v>74</v>
      </c>
      <c r="R912" t="s">
        <v>74</v>
      </c>
      <c r="S912" t="s">
        <v>74</v>
      </c>
      <c r="T912" t="s">
        <v>74</v>
      </c>
      <c r="U912" t="s">
        <v>74</v>
      </c>
      <c r="V912" t="s">
        <v>74</v>
      </c>
      <c r="W912" t="s">
        <v>17268</v>
      </c>
      <c r="X912" t="s">
        <v>17269</v>
      </c>
      <c r="Y912" t="s">
        <v>17270</v>
      </c>
      <c r="Z912" t="s">
        <v>17271</v>
      </c>
      <c r="AA912" t="s">
        <v>17272</v>
      </c>
      <c r="AB912" t="s">
        <v>17273</v>
      </c>
      <c r="AC912" t="s">
        <v>74</v>
      </c>
      <c r="AD912" t="s">
        <v>74</v>
      </c>
      <c r="AE912" t="s">
        <v>74</v>
      </c>
      <c r="AF912" t="s">
        <v>74</v>
      </c>
      <c r="AG912">
        <v>1</v>
      </c>
      <c r="AH912">
        <v>0</v>
      </c>
      <c r="AI912">
        <v>0</v>
      </c>
      <c r="AJ912">
        <v>0</v>
      </c>
      <c r="AK912">
        <v>6</v>
      </c>
      <c r="AL912" t="s">
        <v>17274</v>
      </c>
      <c r="AM912" t="s">
        <v>2168</v>
      </c>
      <c r="AN912" t="s">
        <v>17275</v>
      </c>
      <c r="AO912" t="s">
        <v>17276</v>
      </c>
      <c r="AP912" t="s">
        <v>17277</v>
      </c>
      <c r="AQ912" t="s">
        <v>74</v>
      </c>
      <c r="AR912" t="s">
        <v>17278</v>
      </c>
      <c r="AS912" t="s">
        <v>17279</v>
      </c>
      <c r="AT912" t="s">
        <v>74</v>
      </c>
      <c r="AU912">
        <v>2015</v>
      </c>
      <c r="AV912">
        <v>7</v>
      </c>
      <c r="AW912">
        <v>22</v>
      </c>
      <c r="AX912" t="s">
        <v>74</v>
      </c>
      <c r="AY912" t="s">
        <v>74</v>
      </c>
      <c r="AZ912" t="s">
        <v>74</v>
      </c>
      <c r="BA912" t="s">
        <v>74</v>
      </c>
      <c r="BB912">
        <v>9714</v>
      </c>
      <c r="BC912">
        <v>9714</v>
      </c>
      <c r="BD912" t="s">
        <v>74</v>
      </c>
      <c r="BE912" t="s">
        <v>17280</v>
      </c>
      <c r="BF912" t="str">
        <f>HYPERLINK("http://dx.doi.org/10.1039/c5ay90089a","http://dx.doi.org/10.1039/c5ay90089a")</f>
        <v>http://dx.doi.org/10.1039/c5ay90089a</v>
      </c>
      <c r="BG912" t="s">
        <v>74</v>
      </c>
      <c r="BH912" t="s">
        <v>74</v>
      </c>
      <c r="BI912">
        <v>1</v>
      </c>
      <c r="BJ912" t="s">
        <v>17281</v>
      </c>
      <c r="BK912" t="s">
        <v>100</v>
      </c>
      <c r="BL912" t="s">
        <v>17282</v>
      </c>
      <c r="BM912" t="s">
        <v>17283</v>
      </c>
      <c r="BN912" t="s">
        <v>74</v>
      </c>
      <c r="BO912" t="s">
        <v>2481</v>
      </c>
      <c r="BP912" t="s">
        <v>74</v>
      </c>
      <c r="BQ912" t="s">
        <v>74</v>
      </c>
      <c r="BR912" t="s">
        <v>104</v>
      </c>
      <c r="BS912" t="s">
        <v>17284</v>
      </c>
      <c r="BT912" t="str">
        <f>HYPERLINK("https%3A%2F%2Fwww.webofscience.com%2Fwos%2Fwoscc%2Ffull-record%2FWOS:000364818700043","View Full Record in Web of Science")</f>
        <v>View Full Record in Web of Science</v>
      </c>
    </row>
    <row r="913" spans="1:72" x14ac:dyDescent="0.15">
      <c r="A913" t="s">
        <v>72</v>
      </c>
      <c r="B913" t="s">
        <v>17285</v>
      </c>
      <c r="C913" t="s">
        <v>74</v>
      </c>
      <c r="D913" t="s">
        <v>74</v>
      </c>
      <c r="E913" t="s">
        <v>74</v>
      </c>
      <c r="F913" t="s">
        <v>17286</v>
      </c>
      <c r="G913" t="s">
        <v>74</v>
      </c>
      <c r="H913" t="s">
        <v>74</v>
      </c>
      <c r="I913" t="s">
        <v>17287</v>
      </c>
      <c r="J913" t="s">
        <v>17288</v>
      </c>
      <c r="K913" t="s">
        <v>74</v>
      </c>
      <c r="L913" t="s">
        <v>74</v>
      </c>
      <c r="M913" t="s">
        <v>78</v>
      </c>
      <c r="N913" t="s">
        <v>79</v>
      </c>
      <c r="O913" t="s">
        <v>74</v>
      </c>
      <c r="P913" t="s">
        <v>74</v>
      </c>
      <c r="Q913" t="s">
        <v>74</v>
      </c>
      <c r="R913" t="s">
        <v>74</v>
      </c>
      <c r="S913" t="s">
        <v>74</v>
      </c>
      <c r="T913" t="s">
        <v>74</v>
      </c>
      <c r="U913" t="s">
        <v>17289</v>
      </c>
      <c r="V913" t="s">
        <v>17290</v>
      </c>
      <c r="W913" t="s">
        <v>17291</v>
      </c>
      <c r="X913" t="s">
        <v>17292</v>
      </c>
      <c r="Y913" t="s">
        <v>17293</v>
      </c>
      <c r="Z913" t="s">
        <v>17294</v>
      </c>
      <c r="AA913" t="s">
        <v>17295</v>
      </c>
      <c r="AB913" t="s">
        <v>17296</v>
      </c>
      <c r="AC913" t="s">
        <v>17297</v>
      </c>
      <c r="AD913" t="s">
        <v>17298</v>
      </c>
      <c r="AE913" t="s">
        <v>17299</v>
      </c>
      <c r="AF913" t="s">
        <v>74</v>
      </c>
      <c r="AG913">
        <v>57</v>
      </c>
      <c r="AH913">
        <v>21</v>
      </c>
      <c r="AI913">
        <v>22</v>
      </c>
      <c r="AJ913">
        <v>1</v>
      </c>
      <c r="AK913">
        <v>19</v>
      </c>
      <c r="AL913" t="s">
        <v>16626</v>
      </c>
      <c r="AM913" t="s">
        <v>16627</v>
      </c>
      <c r="AN913" t="s">
        <v>16628</v>
      </c>
      <c r="AO913" t="s">
        <v>17300</v>
      </c>
      <c r="AP913" t="s">
        <v>17301</v>
      </c>
      <c r="AQ913" t="s">
        <v>74</v>
      </c>
      <c r="AR913" t="s">
        <v>17288</v>
      </c>
      <c r="AS913" t="s">
        <v>17302</v>
      </c>
      <c r="AT913" t="s">
        <v>74</v>
      </c>
      <c r="AU913">
        <v>2015</v>
      </c>
      <c r="AV913">
        <v>12</v>
      </c>
      <c r="AW913">
        <v>21</v>
      </c>
      <c r="AX913" t="s">
        <v>74</v>
      </c>
      <c r="AY913" t="s">
        <v>74</v>
      </c>
      <c r="AZ913" t="s">
        <v>74</v>
      </c>
      <c r="BA913" t="s">
        <v>74</v>
      </c>
      <c r="BB913">
        <v>6493</v>
      </c>
      <c r="BC913">
        <v>6501</v>
      </c>
      <c r="BD913" t="s">
        <v>74</v>
      </c>
      <c r="BE913" t="s">
        <v>17303</v>
      </c>
      <c r="BF913" t="str">
        <f>HYPERLINK("http://dx.doi.org/10.5194/bg-12-6493-2015","http://dx.doi.org/10.5194/bg-12-6493-2015")</f>
        <v>http://dx.doi.org/10.5194/bg-12-6493-2015</v>
      </c>
      <c r="BG913" t="s">
        <v>74</v>
      </c>
      <c r="BH913" t="s">
        <v>74</v>
      </c>
      <c r="BI913">
        <v>9</v>
      </c>
      <c r="BJ913" t="s">
        <v>9999</v>
      </c>
      <c r="BK913" t="s">
        <v>100</v>
      </c>
      <c r="BL913" t="s">
        <v>7144</v>
      </c>
      <c r="BM913" t="s">
        <v>17304</v>
      </c>
      <c r="BN913" t="s">
        <v>74</v>
      </c>
      <c r="BO913" t="s">
        <v>17305</v>
      </c>
      <c r="BP913" t="s">
        <v>74</v>
      </c>
      <c r="BQ913" t="s">
        <v>74</v>
      </c>
      <c r="BR913" t="s">
        <v>104</v>
      </c>
      <c r="BS913" t="s">
        <v>17306</v>
      </c>
      <c r="BT913" t="str">
        <f>HYPERLINK("https%3A%2F%2Fwww.webofscience.com%2Fwos%2Fwoscc%2Ffull-record%2FWOS:000365091900016","View Full Record in Web of Science")</f>
        <v>View Full Record in Web of Science</v>
      </c>
    </row>
    <row r="914" spans="1:72" x14ac:dyDescent="0.15">
      <c r="A914" t="s">
        <v>72</v>
      </c>
      <c r="B914" t="s">
        <v>17307</v>
      </c>
      <c r="C914" t="s">
        <v>74</v>
      </c>
      <c r="D914" t="s">
        <v>74</v>
      </c>
      <c r="E914" t="s">
        <v>74</v>
      </c>
      <c r="F914" t="s">
        <v>17308</v>
      </c>
      <c r="G914" t="s">
        <v>74</v>
      </c>
      <c r="H914" t="s">
        <v>74</v>
      </c>
      <c r="I914" t="s">
        <v>17309</v>
      </c>
      <c r="J914" t="s">
        <v>17288</v>
      </c>
      <c r="K914" t="s">
        <v>74</v>
      </c>
      <c r="L914" t="s">
        <v>74</v>
      </c>
      <c r="M914" t="s">
        <v>78</v>
      </c>
      <c r="N914" t="s">
        <v>79</v>
      </c>
      <c r="O914" t="s">
        <v>74</v>
      </c>
      <c r="P914" t="s">
        <v>74</v>
      </c>
      <c r="Q914" t="s">
        <v>74</v>
      </c>
      <c r="R914" t="s">
        <v>74</v>
      </c>
      <c r="S914" t="s">
        <v>74</v>
      </c>
      <c r="T914" t="s">
        <v>74</v>
      </c>
      <c r="U914" t="s">
        <v>17310</v>
      </c>
      <c r="V914" t="s">
        <v>17311</v>
      </c>
      <c r="W914" t="s">
        <v>17312</v>
      </c>
      <c r="X914" t="s">
        <v>17313</v>
      </c>
      <c r="Y914" t="s">
        <v>17314</v>
      </c>
      <c r="Z914" t="s">
        <v>17315</v>
      </c>
      <c r="AA914" t="s">
        <v>17316</v>
      </c>
      <c r="AB914" t="s">
        <v>17317</v>
      </c>
      <c r="AC914" t="s">
        <v>17318</v>
      </c>
      <c r="AD914" t="s">
        <v>17319</v>
      </c>
      <c r="AE914" t="s">
        <v>17320</v>
      </c>
      <c r="AF914" t="s">
        <v>74</v>
      </c>
      <c r="AG914">
        <v>94</v>
      </c>
      <c r="AH914">
        <v>25</v>
      </c>
      <c r="AI914">
        <v>26</v>
      </c>
      <c r="AJ914">
        <v>2</v>
      </c>
      <c r="AK914">
        <v>31</v>
      </c>
      <c r="AL914" t="s">
        <v>16626</v>
      </c>
      <c r="AM914" t="s">
        <v>16627</v>
      </c>
      <c r="AN914" t="s">
        <v>16628</v>
      </c>
      <c r="AO914" t="s">
        <v>17300</v>
      </c>
      <c r="AP914" t="s">
        <v>17301</v>
      </c>
      <c r="AQ914" t="s">
        <v>74</v>
      </c>
      <c r="AR914" t="s">
        <v>17288</v>
      </c>
      <c r="AS914" t="s">
        <v>17302</v>
      </c>
      <c r="AT914" t="s">
        <v>74</v>
      </c>
      <c r="AU914">
        <v>2015</v>
      </c>
      <c r="AV914">
        <v>12</v>
      </c>
      <c r="AW914">
        <v>21</v>
      </c>
      <c r="AX914" t="s">
        <v>74</v>
      </c>
      <c r="AY914" t="s">
        <v>74</v>
      </c>
      <c r="AZ914" t="s">
        <v>74</v>
      </c>
      <c r="BA914" t="s">
        <v>74</v>
      </c>
      <c r="BB914">
        <v>6515</v>
      </c>
      <c r="BC914">
        <v>6528</v>
      </c>
      <c r="BD914" t="s">
        <v>74</v>
      </c>
      <c r="BE914" t="s">
        <v>17321</v>
      </c>
      <c r="BF914" t="str">
        <f>HYPERLINK("http://dx.doi.org/10.5194/bg-12-6515-2015","http://dx.doi.org/10.5194/bg-12-6515-2015")</f>
        <v>http://dx.doi.org/10.5194/bg-12-6515-2015</v>
      </c>
      <c r="BG914" t="s">
        <v>74</v>
      </c>
      <c r="BH914" t="s">
        <v>74</v>
      </c>
      <c r="BI914">
        <v>14</v>
      </c>
      <c r="BJ914" t="s">
        <v>9999</v>
      </c>
      <c r="BK914" t="s">
        <v>100</v>
      </c>
      <c r="BL914" t="s">
        <v>7144</v>
      </c>
      <c r="BM914" t="s">
        <v>17304</v>
      </c>
      <c r="BN914" t="s">
        <v>74</v>
      </c>
      <c r="BO914" t="s">
        <v>1685</v>
      </c>
      <c r="BP914" t="s">
        <v>74</v>
      </c>
      <c r="BQ914" t="s">
        <v>74</v>
      </c>
      <c r="BR914" t="s">
        <v>104</v>
      </c>
      <c r="BS914" t="s">
        <v>17322</v>
      </c>
      <c r="BT914" t="str">
        <f>HYPERLINK("https%3A%2F%2Fwww.webofscience.com%2Fwos%2Fwoscc%2Ffull-record%2FWOS:000365091900018","View Full Record in Web of Science")</f>
        <v>View Full Record in Web of Science</v>
      </c>
    </row>
    <row r="915" spans="1:72" x14ac:dyDescent="0.15">
      <c r="A915" t="s">
        <v>72</v>
      </c>
      <c r="B915" t="s">
        <v>17323</v>
      </c>
      <c r="C915" t="s">
        <v>74</v>
      </c>
      <c r="D915" t="s">
        <v>74</v>
      </c>
      <c r="E915" t="s">
        <v>74</v>
      </c>
      <c r="F915" t="s">
        <v>17324</v>
      </c>
      <c r="G915" t="s">
        <v>74</v>
      </c>
      <c r="H915" t="s">
        <v>74</v>
      </c>
      <c r="I915" t="s">
        <v>17325</v>
      </c>
      <c r="J915" t="s">
        <v>17326</v>
      </c>
      <c r="K915" t="s">
        <v>74</v>
      </c>
      <c r="L915" t="s">
        <v>74</v>
      </c>
      <c r="M915" t="s">
        <v>78</v>
      </c>
      <c r="N915" t="s">
        <v>79</v>
      </c>
      <c r="O915" t="s">
        <v>74</v>
      </c>
      <c r="P915" t="s">
        <v>74</v>
      </c>
      <c r="Q915" t="s">
        <v>74</v>
      </c>
      <c r="R915" t="s">
        <v>74</v>
      </c>
      <c r="S915" t="s">
        <v>74</v>
      </c>
      <c r="T915" t="s">
        <v>17327</v>
      </c>
      <c r="U915" t="s">
        <v>17328</v>
      </c>
      <c r="V915" t="s">
        <v>17329</v>
      </c>
      <c r="W915" t="s">
        <v>17330</v>
      </c>
      <c r="X915" t="s">
        <v>1596</v>
      </c>
      <c r="Y915" t="s">
        <v>17331</v>
      </c>
      <c r="Z915" t="s">
        <v>17332</v>
      </c>
      <c r="AA915" t="s">
        <v>74</v>
      </c>
      <c r="AB915" t="s">
        <v>74</v>
      </c>
      <c r="AC915" t="s">
        <v>17333</v>
      </c>
      <c r="AD915" t="s">
        <v>17333</v>
      </c>
      <c r="AE915" t="s">
        <v>17334</v>
      </c>
      <c r="AF915" t="s">
        <v>74</v>
      </c>
      <c r="AG915">
        <v>46</v>
      </c>
      <c r="AH915">
        <v>1</v>
      </c>
      <c r="AI915">
        <v>1</v>
      </c>
      <c r="AJ915">
        <v>1</v>
      </c>
      <c r="AK915">
        <v>10</v>
      </c>
      <c r="AL915" t="s">
        <v>17335</v>
      </c>
      <c r="AM915" t="s">
        <v>17336</v>
      </c>
      <c r="AN915" t="s">
        <v>17337</v>
      </c>
      <c r="AO915" t="s">
        <v>17338</v>
      </c>
      <c r="AP915" t="s">
        <v>17339</v>
      </c>
      <c r="AQ915" t="s">
        <v>74</v>
      </c>
      <c r="AR915" t="s">
        <v>17340</v>
      </c>
      <c r="AS915" t="s">
        <v>17341</v>
      </c>
      <c r="AT915" t="s">
        <v>74</v>
      </c>
      <c r="AU915">
        <v>2015</v>
      </c>
      <c r="AV915">
        <v>54</v>
      </c>
      <c r="AW915">
        <v>4</v>
      </c>
      <c r="AX915" t="s">
        <v>74</v>
      </c>
      <c r="AY915" t="s">
        <v>74</v>
      </c>
      <c r="AZ915" t="s">
        <v>74</v>
      </c>
      <c r="BA915" t="s">
        <v>74</v>
      </c>
      <c r="BB915">
        <v>265</v>
      </c>
      <c r="BC915">
        <v>273</v>
      </c>
      <c r="BD915" t="s">
        <v>74</v>
      </c>
      <c r="BE915" t="s">
        <v>17342</v>
      </c>
      <c r="BF915" t="str">
        <f>HYPERLINK("http://dx.doi.org/10.4467/16890027AP.15.021.3535","http://dx.doi.org/10.4467/16890027AP.15.021.3535")</f>
        <v>http://dx.doi.org/10.4467/16890027AP.15.021.3535</v>
      </c>
      <c r="BG915" t="s">
        <v>74</v>
      </c>
      <c r="BH915" t="s">
        <v>74</v>
      </c>
      <c r="BI915">
        <v>9</v>
      </c>
      <c r="BJ915" t="s">
        <v>483</v>
      </c>
      <c r="BK915" t="s">
        <v>100</v>
      </c>
      <c r="BL915" t="s">
        <v>483</v>
      </c>
      <c r="BM915" t="s">
        <v>17343</v>
      </c>
      <c r="BN915" t="s">
        <v>74</v>
      </c>
      <c r="BO915" t="s">
        <v>74</v>
      </c>
      <c r="BP915" t="s">
        <v>74</v>
      </c>
      <c r="BQ915" t="s">
        <v>74</v>
      </c>
      <c r="BR915" t="s">
        <v>104</v>
      </c>
      <c r="BS915" t="s">
        <v>17344</v>
      </c>
      <c r="BT915" t="str">
        <f>HYPERLINK("https%3A%2F%2Fwww.webofscience.com%2Fwos%2Fwoscc%2Ffull-record%2FWOS:000364713600001","View Full Record in Web of Science")</f>
        <v>View Full Record in Web of Science</v>
      </c>
    </row>
    <row r="916" spans="1:72" x14ac:dyDescent="0.15">
      <c r="A916" t="s">
        <v>72</v>
      </c>
      <c r="B916" t="s">
        <v>17345</v>
      </c>
      <c r="C916" t="s">
        <v>74</v>
      </c>
      <c r="D916" t="s">
        <v>74</v>
      </c>
      <c r="E916" t="s">
        <v>74</v>
      </c>
      <c r="F916" t="s">
        <v>17346</v>
      </c>
      <c r="G916" t="s">
        <v>74</v>
      </c>
      <c r="H916" t="s">
        <v>74</v>
      </c>
      <c r="I916" t="s">
        <v>17347</v>
      </c>
      <c r="J916" t="s">
        <v>17348</v>
      </c>
      <c r="K916" t="s">
        <v>74</v>
      </c>
      <c r="L916" t="s">
        <v>74</v>
      </c>
      <c r="M916" t="s">
        <v>78</v>
      </c>
      <c r="N916" t="s">
        <v>79</v>
      </c>
      <c r="O916" t="s">
        <v>74</v>
      </c>
      <c r="P916" t="s">
        <v>74</v>
      </c>
      <c r="Q916" t="s">
        <v>74</v>
      </c>
      <c r="R916" t="s">
        <v>74</v>
      </c>
      <c r="S916" t="s">
        <v>74</v>
      </c>
      <c r="T916" t="s">
        <v>74</v>
      </c>
      <c r="U916" t="s">
        <v>17349</v>
      </c>
      <c r="V916" t="s">
        <v>17350</v>
      </c>
      <c r="W916" t="s">
        <v>17351</v>
      </c>
      <c r="X916" t="s">
        <v>17352</v>
      </c>
      <c r="Y916" t="s">
        <v>17353</v>
      </c>
      <c r="Z916" t="s">
        <v>17354</v>
      </c>
      <c r="AA916" t="s">
        <v>17355</v>
      </c>
      <c r="AB916" t="s">
        <v>17356</v>
      </c>
      <c r="AC916" t="s">
        <v>17357</v>
      </c>
      <c r="AD916" t="s">
        <v>17358</v>
      </c>
      <c r="AE916" t="s">
        <v>17359</v>
      </c>
      <c r="AF916" t="s">
        <v>74</v>
      </c>
      <c r="AG916">
        <v>29</v>
      </c>
      <c r="AH916">
        <v>29</v>
      </c>
      <c r="AI916">
        <v>33</v>
      </c>
      <c r="AJ916">
        <v>2</v>
      </c>
      <c r="AK916">
        <v>42</v>
      </c>
      <c r="AL916" t="s">
        <v>16626</v>
      </c>
      <c r="AM916" t="s">
        <v>16627</v>
      </c>
      <c r="AN916" t="s">
        <v>16628</v>
      </c>
      <c r="AO916" t="s">
        <v>17360</v>
      </c>
      <c r="AP916" t="s">
        <v>17361</v>
      </c>
      <c r="AQ916" t="s">
        <v>74</v>
      </c>
      <c r="AR916" t="s">
        <v>17362</v>
      </c>
      <c r="AS916" t="s">
        <v>17363</v>
      </c>
      <c r="AT916" t="s">
        <v>74</v>
      </c>
      <c r="AU916">
        <v>2015</v>
      </c>
      <c r="AV916">
        <v>8</v>
      </c>
      <c r="AW916">
        <v>10</v>
      </c>
      <c r="AX916" t="s">
        <v>74</v>
      </c>
      <c r="AY916" t="s">
        <v>74</v>
      </c>
      <c r="AZ916" t="s">
        <v>74</v>
      </c>
      <c r="BA916" t="s">
        <v>74</v>
      </c>
      <c r="BB916">
        <v>4001</v>
      </c>
      <c r="BC916">
        <v>4011</v>
      </c>
      <c r="BD916" t="s">
        <v>74</v>
      </c>
      <c r="BE916" t="s">
        <v>17364</v>
      </c>
      <c r="BF916" t="str">
        <f>HYPERLINK("http://dx.doi.org/10.5194/amt-8-4001-2015","http://dx.doi.org/10.5194/amt-8-4001-2015")</f>
        <v>http://dx.doi.org/10.5194/amt-8-4001-2015</v>
      </c>
      <c r="BG916" t="s">
        <v>74</v>
      </c>
      <c r="BH916" t="s">
        <v>74</v>
      </c>
      <c r="BI916">
        <v>11</v>
      </c>
      <c r="BJ916" t="s">
        <v>406</v>
      </c>
      <c r="BK916" t="s">
        <v>100</v>
      </c>
      <c r="BL916" t="s">
        <v>406</v>
      </c>
      <c r="BM916" t="s">
        <v>17365</v>
      </c>
      <c r="BN916" t="s">
        <v>74</v>
      </c>
      <c r="BO916" t="s">
        <v>2800</v>
      </c>
      <c r="BP916" t="s">
        <v>74</v>
      </c>
      <c r="BQ916" t="s">
        <v>74</v>
      </c>
      <c r="BR916" t="s">
        <v>104</v>
      </c>
      <c r="BS916" t="s">
        <v>17366</v>
      </c>
      <c r="BT916" t="str">
        <f>HYPERLINK("https%3A%2F%2Fwww.webofscience.com%2Fwos%2Fwoscc%2Ffull-record%2FWOS:000364317600002","View Full Record in Web of Science")</f>
        <v>View Full Record in Web of Science</v>
      </c>
    </row>
    <row r="917" spans="1:72" x14ac:dyDescent="0.15">
      <c r="A917" t="s">
        <v>72</v>
      </c>
      <c r="B917" t="s">
        <v>17367</v>
      </c>
      <c r="C917" t="s">
        <v>74</v>
      </c>
      <c r="D917" t="s">
        <v>74</v>
      </c>
      <c r="E917" t="s">
        <v>74</v>
      </c>
      <c r="F917" t="s">
        <v>17368</v>
      </c>
      <c r="G917" t="s">
        <v>74</v>
      </c>
      <c r="H917" t="s">
        <v>74</v>
      </c>
      <c r="I917" t="s">
        <v>17369</v>
      </c>
      <c r="J917" t="s">
        <v>17370</v>
      </c>
      <c r="K917" t="s">
        <v>74</v>
      </c>
      <c r="L917" t="s">
        <v>74</v>
      </c>
      <c r="M917" t="s">
        <v>78</v>
      </c>
      <c r="N917" t="s">
        <v>79</v>
      </c>
      <c r="O917" t="s">
        <v>74</v>
      </c>
      <c r="P917" t="s">
        <v>74</v>
      </c>
      <c r="Q917" t="s">
        <v>74</v>
      </c>
      <c r="R917" t="s">
        <v>74</v>
      </c>
      <c r="S917" t="s">
        <v>74</v>
      </c>
      <c r="T917" t="s">
        <v>74</v>
      </c>
      <c r="U917" t="s">
        <v>17371</v>
      </c>
      <c r="V917" t="s">
        <v>17372</v>
      </c>
      <c r="W917" t="s">
        <v>17373</v>
      </c>
      <c r="X917" t="s">
        <v>17374</v>
      </c>
      <c r="Y917" t="s">
        <v>17375</v>
      </c>
      <c r="Z917" t="s">
        <v>17376</v>
      </c>
      <c r="AA917" t="s">
        <v>17377</v>
      </c>
      <c r="AB917" t="s">
        <v>17378</v>
      </c>
      <c r="AC917" t="s">
        <v>17379</v>
      </c>
      <c r="AD917" t="s">
        <v>17380</v>
      </c>
      <c r="AE917" t="s">
        <v>17381</v>
      </c>
      <c r="AF917" t="s">
        <v>74</v>
      </c>
      <c r="AG917">
        <v>58</v>
      </c>
      <c r="AH917">
        <v>25</v>
      </c>
      <c r="AI917">
        <v>26</v>
      </c>
      <c r="AJ917">
        <v>0</v>
      </c>
      <c r="AK917">
        <v>17</v>
      </c>
      <c r="AL917" t="s">
        <v>16626</v>
      </c>
      <c r="AM917" t="s">
        <v>16627</v>
      </c>
      <c r="AN917" t="s">
        <v>16628</v>
      </c>
      <c r="AO917" t="s">
        <v>17382</v>
      </c>
      <c r="AP917" t="s">
        <v>17383</v>
      </c>
      <c r="AQ917" t="s">
        <v>74</v>
      </c>
      <c r="AR917" t="s">
        <v>17384</v>
      </c>
      <c r="AS917" t="s">
        <v>17385</v>
      </c>
      <c r="AT917" t="s">
        <v>74</v>
      </c>
      <c r="AU917">
        <v>2015</v>
      </c>
      <c r="AV917">
        <v>11</v>
      </c>
      <c r="AW917">
        <v>10</v>
      </c>
      <c r="AX917" t="s">
        <v>74</v>
      </c>
      <c r="AY917" t="s">
        <v>74</v>
      </c>
      <c r="AZ917" t="s">
        <v>74</v>
      </c>
      <c r="BA917" t="s">
        <v>74</v>
      </c>
      <c r="BB917">
        <v>1395</v>
      </c>
      <c r="BC917">
        <v>1416</v>
      </c>
      <c r="BD917" t="s">
        <v>74</v>
      </c>
      <c r="BE917" t="s">
        <v>17386</v>
      </c>
      <c r="BF917" t="str">
        <f>HYPERLINK("http://dx.doi.org/10.5194/cp-11-1395-2015","http://dx.doi.org/10.5194/cp-11-1395-2015")</f>
        <v>http://dx.doi.org/10.5194/cp-11-1395-2015</v>
      </c>
      <c r="BG917" t="s">
        <v>74</v>
      </c>
      <c r="BH917" t="s">
        <v>74</v>
      </c>
      <c r="BI917">
        <v>22</v>
      </c>
      <c r="BJ917" t="s">
        <v>16634</v>
      </c>
      <c r="BK917" t="s">
        <v>100</v>
      </c>
      <c r="BL917" t="s">
        <v>16635</v>
      </c>
      <c r="BM917" t="s">
        <v>17387</v>
      </c>
      <c r="BN917" t="s">
        <v>74</v>
      </c>
      <c r="BO917" t="s">
        <v>1490</v>
      </c>
      <c r="BP917" t="s">
        <v>74</v>
      </c>
      <c r="BQ917" t="s">
        <v>74</v>
      </c>
      <c r="BR917" t="s">
        <v>104</v>
      </c>
      <c r="BS917" t="s">
        <v>17388</v>
      </c>
      <c r="BT917" t="str">
        <f>HYPERLINK("https%3A%2F%2Fwww.webofscience.com%2Fwos%2Fwoscc%2Ffull-record%2FWOS:000364324600009","View Full Record in Web of Science")</f>
        <v>View Full Record in Web of Science</v>
      </c>
    </row>
    <row r="918" spans="1:72" x14ac:dyDescent="0.15">
      <c r="A918" t="s">
        <v>72</v>
      </c>
      <c r="B918" t="s">
        <v>17389</v>
      </c>
      <c r="C918" t="s">
        <v>74</v>
      </c>
      <c r="D918" t="s">
        <v>74</v>
      </c>
      <c r="E918" t="s">
        <v>74</v>
      </c>
      <c r="F918" t="s">
        <v>17390</v>
      </c>
      <c r="G918" t="s">
        <v>74</v>
      </c>
      <c r="H918" t="s">
        <v>74</v>
      </c>
      <c r="I918" t="s">
        <v>17391</v>
      </c>
      <c r="J918" t="s">
        <v>16713</v>
      </c>
      <c r="K918" t="s">
        <v>74</v>
      </c>
      <c r="L918" t="s">
        <v>74</v>
      </c>
      <c r="M918" t="s">
        <v>78</v>
      </c>
      <c r="N918" t="s">
        <v>79</v>
      </c>
      <c r="O918" t="s">
        <v>74</v>
      </c>
      <c r="P918" t="s">
        <v>74</v>
      </c>
      <c r="Q918" t="s">
        <v>74</v>
      </c>
      <c r="R918" t="s">
        <v>74</v>
      </c>
      <c r="S918" t="s">
        <v>74</v>
      </c>
      <c r="T918" t="s">
        <v>74</v>
      </c>
      <c r="U918" t="s">
        <v>17392</v>
      </c>
      <c r="V918" t="s">
        <v>17393</v>
      </c>
      <c r="W918" t="s">
        <v>17394</v>
      </c>
      <c r="X918" t="s">
        <v>17395</v>
      </c>
      <c r="Y918" t="s">
        <v>17396</v>
      </c>
      <c r="Z918" t="s">
        <v>17397</v>
      </c>
      <c r="AA918" t="s">
        <v>17398</v>
      </c>
      <c r="AB918" t="s">
        <v>17399</v>
      </c>
      <c r="AC918" t="s">
        <v>17400</v>
      </c>
      <c r="AD918" t="s">
        <v>17401</v>
      </c>
      <c r="AE918" t="s">
        <v>17402</v>
      </c>
      <c r="AF918" t="s">
        <v>74</v>
      </c>
      <c r="AG918">
        <v>63</v>
      </c>
      <c r="AH918">
        <v>204</v>
      </c>
      <c r="AI918">
        <v>216</v>
      </c>
      <c r="AJ918">
        <v>3</v>
      </c>
      <c r="AK918">
        <v>33</v>
      </c>
      <c r="AL918" t="s">
        <v>16626</v>
      </c>
      <c r="AM918" t="s">
        <v>16627</v>
      </c>
      <c r="AN918" t="s">
        <v>16628</v>
      </c>
      <c r="AO918" t="s">
        <v>16724</v>
      </c>
      <c r="AP918" t="s">
        <v>16725</v>
      </c>
      <c r="AQ918" t="s">
        <v>74</v>
      </c>
      <c r="AR918" t="s">
        <v>16713</v>
      </c>
      <c r="AS918" t="s">
        <v>16726</v>
      </c>
      <c r="AT918" t="s">
        <v>74</v>
      </c>
      <c r="AU918">
        <v>2015</v>
      </c>
      <c r="AV918">
        <v>9</v>
      </c>
      <c r="AW918">
        <v>5</v>
      </c>
      <c r="AX918" t="s">
        <v>74</v>
      </c>
      <c r="AY918" t="s">
        <v>74</v>
      </c>
      <c r="AZ918" t="s">
        <v>74</v>
      </c>
      <c r="BA918" t="s">
        <v>74</v>
      </c>
      <c r="BB918">
        <v>1797</v>
      </c>
      <c r="BC918">
        <v>1817</v>
      </c>
      <c r="BD918" t="s">
        <v>74</v>
      </c>
      <c r="BE918" t="s">
        <v>17403</v>
      </c>
      <c r="BF918" t="str">
        <f>HYPERLINK("http://dx.doi.org/10.5194/tc-9-1797-2015","http://dx.doi.org/10.5194/tc-9-1797-2015")</f>
        <v>http://dx.doi.org/10.5194/tc-9-1797-2015</v>
      </c>
      <c r="BG918" t="s">
        <v>74</v>
      </c>
      <c r="BH918" t="s">
        <v>74</v>
      </c>
      <c r="BI918">
        <v>21</v>
      </c>
      <c r="BJ918" t="s">
        <v>795</v>
      </c>
      <c r="BK918" t="s">
        <v>100</v>
      </c>
      <c r="BL918" t="s">
        <v>796</v>
      </c>
      <c r="BM918" t="s">
        <v>17404</v>
      </c>
      <c r="BN918" t="s">
        <v>74</v>
      </c>
      <c r="BO918" t="s">
        <v>1490</v>
      </c>
      <c r="BP918" t="s">
        <v>74</v>
      </c>
      <c r="BQ918" t="s">
        <v>74</v>
      </c>
      <c r="BR918" t="s">
        <v>104</v>
      </c>
      <c r="BS918" t="s">
        <v>17405</v>
      </c>
      <c r="BT918" t="str">
        <f>HYPERLINK("https%3A%2F%2Fwww.webofscience.com%2Fwos%2Fwoscc%2Ffull-record%2FWOS:000364330700004","View Full Record in Web of Science")</f>
        <v>View Full Record in Web of Science</v>
      </c>
    </row>
    <row r="919" spans="1:72" x14ac:dyDescent="0.15">
      <c r="A919" t="s">
        <v>72</v>
      </c>
      <c r="B919" t="s">
        <v>17406</v>
      </c>
      <c r="C919" t="s">
        <v>74</v>
      </c>
      <c r="D919" t="s">
        <v>74</v>
      </c>
      <c r="E919" t="s">
        <v>74</v>
      </c>
      <c r="F919" t="s">
        <v>17407</v>
      </c>
      <c r="G919" t="s">
        <v>74</v>
      </c>
      <c r="H919" t="s">
        <v>74</v>
      </c>
      <c r="I919" t="s">
        <v>17408</v>
      </c>
      <c r="J919" t="s">
        <v>17409</v>
      </c>
      <c r="K919" t="s">
        <v>74</v>
      </c>
      <c r="L919" t="s">
        <v>74</v>
      </c>
      <c r="M919" t="s">
        <v>78</v>
      </c>
      <c r="N919" t="s">
        <v>16901</v>
      </c>
      <c r="O919" t="s">
        <v>74</v>
      </c>
      <c r="P919" t="s">
        <v>74</v>
      </c>
      <c r="Q919" t="s">
        <v>74</v>
      </c>
      <c r="R919" t="s">
        <v>74</v>
      </c>
      <c r="S919" t="s">
        <v>74</v>
      </c>
      <c r="T919" t="s">
        <v>74</v>
      </c>
      <c r="U919" t="s">
        <v>74</v>
      </c>
      <c r="V919" t="s">
        <v>74</v>
      </c>
      <c r="W919" t="s">
        <v>17410</v>
      </c>
      <c r="X919" t="s">
        <v>17411</v>
      </c>
      <c r="Y919" t="s">
        <v>17412</v>
      </c>
      <c r="Z919" t="s">
        <v>74</v>
      </c>
      <c r="AA919" t="s">
        <v>74</v>
      </c>
      <c r="AB919" t="s">
        <v>74</v>
      </c>
      <c r="AC919" t="s">
        <v>74</v>
      </c>
      <c r="AD919" t="s">
        <v>74</v>
      </c>
      <c r="AE919" t="s">
        <v>74</v>
      </c>
      <c r="AF919" t="s">
        <v>74</v>
      </c>
      <c r="AG919">
        <v>1</v>
      </c>
      <c r="AH919">
        <v>0</v>
      </c>
      <c r="AI919">
        <v>0</v>
      </c>
      <c r="AJ919">
        <v>0</v>
      </c>
      <c r="AK919">
        <v>1</v>
      </c>
      <c r="AL919" t="s">
        <v>447</v>
      </c>
      <c r="AM919" t="s">
        <v>448</v>
      </c>
      <c r="AN919" t="s">
        <v>17413</v>
      </c>
      <c r="AO919" t="s">
        <v>17414</v>
      </c>
      <c r="AP919" t="s">
        <v>17415</v>
      </c>
      <c r="AQ919" t="s">
        <v>74</v>
      </c>
      <c r="AR919" t="s">
        <v>17409</v>
      </c>
      <c r="AS919" t="s">
        <v>17416</v>
      </c>
      <c r="AT919" t="s">
        <v>74</v>
      </c>
      <c r="AU919">
        <v>2015</v>
      </c>
      <c r="AV919">
        <v>101</v>
      </c>
      <c r="AW919">
        <v>4</v>
      </c>
      <c r="AX919" t="s">
        <v>74</v>
      </c>
      <c r="AY919" t="s">
        <v>74</v>
      </c>
      <c r="AZ919" t="s">
        <v>74</v>
      </c>
      <c r="BA919" t="s">
        <v>74</v>
      </c>
      <c r="BB919">
        <v>479</v>
      </c>
      <c r="BC919">
        <v>480</v>
      </c>
      <c r="BD919" t="s">
        <v>74</v>
      </c>
      <c r="BE919" t="s">
        <v>17417</v>
      </c>
      <c r="BF919" t="str">
        <f>HYPERLINK("http://dx.doi.org/10.1080/00253359.2015.1097151","http://dx.doi.org/10.1080/00253359.2015.1097151")</f>
        <v>http://dx.doi.org/10.1080/00253359.2015.1097151</v>
      </c>
      <c r="BG919" t="s">
        <v>74</v>
      </c>
      <c r="BH919" t="s">
        <v>74</v>
      </c>
      <c r="BI919">
        <v>2</v>
      </c>
      <c r="BJ919" t="s">
        <v>8594</v>
      </c>
      <c r="BK919" t="s">
        <v>457</v>
      </c>
      <c r="BL919" t="s">
        <v>8594</v>
      </c>
      <c r="BM919" t="s">
        <v>17418</v>
      </c>
      <c r="BN919" t="s">
        <v>74</v>
      </c>
      <c r="BO919" t="s">
        <v>74</v>
      </c>
      <c r="BP919" t="s">
        <v>74</v>
      </c>
      <c r="BQ919" t="s">
        <v>74</v>
      </c>
      <c r="BR919" t="s">
        <v>104</v>
      </c>
      <c r="BS919" t="s">
        <v>17419</v>
      </c>
      <c r="BT919" t="str">
        <f>HYPERLINK("https%3A%2F%2Fwww.webofscience.com%2Fwos%2Fwoscc%2Ffull-record%2FWOS:000364565000016","View Full Record in Web of Science")</f>
        <v>View Full Record in Web of Science</v>
      </c>
    </row>
    <row r="920" spans="1:72" x14ac:dyDescent="0.15">
      <c r="A920" t="s">
        <v>15490</v>
      </c>
      <c r="B920" t="s">
        <v>17420</v>
      </c>
      <c r="C920" t="s">
        <v>74</v>
      </c>
      <c r="D920" t="s">
        <v>17421</v>
      </c>
      <c r="E920" t="s">
        <v>74</v>
      </c>
      <c r="F920" t="s">
        <v>17422</v>
      </c>
      <c r="G920" t="s">
        <v>74</v>
      </c>
      <c r="H920" t="s">
        <v>74</v>
      </c>
      <c r="I920" t="s">
        <v>17423</v>
      </c>
      <c r="J920" t="s">
        <v>17424</v>
      </c>
      <c r="K920" t="s">
        <v>17425</v>
      </c>
      <c r="L920" t="s">
        <v>74</v>
      </c>
      <c r="M920" t="s">
        <v>78</v>
      </c>
      <c r="N920" t="s">
        <v>15564</v>
      </c>
      <c r="O920" t="s">
        <v>74</v>
      </c>
      <c r="P920" t="s">
        <v>74</v>
      </c>
      <c r="Q920" t="s">
        <v>74</v>
      </c>
      <c r="R920" t="s">
        <v>74</v>
      </c>
      <c r="S920" t="s">
        <v>74</v>
      </c>
      <c r="T920" t="s">
        <v>74</v>
      </c>
      <c r="U920" t="s">
        <v>74</v>
      </c>
      <c r="V920" t="s">
        <v>74</v>
      </c>
      <c r="W920" t="s">
        <v>17426</v>
      </c>
      <c r="X920" t="s">
        <v>17427</v>
      </c>
      <c r="Y920" t="s">
        <v>17428</v>
      </c>
      <c r="Z920" t="s">
        <v>74</v>
      </c>
      <c r="AA920" t="s">
        <v>74</v>
      </c>
      <c r="AB920" t="s">
        <v>74</v>
      </c>
      <c r="AC920" t="s">
        <v>74</v>
      </c>
      <c r="AD920" t="s">
        <v>74</v>
      </c>
      <c r="AE920" t="s">
        <v>74</v>
      </c>
      <c r="AF920" t="s">
        <v>74</v>
      </c>
      <c r="AG920">
        <v>9</v>
      </c>
      <c r="AH920">
        <v>5</v>
      </c>
      <c r="AI920">
        <v>6</v>
      </c>
      <c r="AJ920">
        <v>0</v>
      </c>
      <c r="AK920">
        <v>0</v>
      </c>
      <c r="AL920" t="s">
        <v>266</v>
      </c>
      <c r="AM920" t="s">
        <v>267</v>
      </c>
      <c r="AN920" t="s">
        <v>268</v>
      </c>
      <c r="AO920" t="s">
        <v>74</v>
      </c>
      <c r="AP920" t="s">
        <v>74</v>
      </c>
      <c r="AQ920" t="s">
        <v>17429</v>
      </c>
      <c r="AR920" t="s">
        <v>17430</v>
      </c>
      <c r="AS920" t="s">
        <v>74</v>
      </c>
      <c r="AT920" t="s">
        <v>74</v>
      </c>
      <c r="AU920">
        <v>2015</v>
      </c>
      <c r="AV920">
        <v>68</v>
      </c>
      <c r="AW920" t="s">
        <v>74</v>
      </c>
      <c r="AX920" t="s">
        <v>74</v>
      </c>
      <c r="AY920" t="s">
        <v>74</v>
      </c>
      <c r="AZ920" t="s">
        <v>74</v>
      </c>
      <c r="BA920" t="s">
        <v>74</v>
      </c>
      <c r="BB920">
        <v>1</v>
      </c>
      <c r="BC920">
        <v>22</v>
      </c>
      <c r="BD920" t="s">
        <v>74</v>
      </c>
      <c r="BE920" t="s">
        <v>74</v>
      </c>
      <c r="BF920" t="s">
        <v>74</v>
      </c>
      <c r="BG920" t="s">
        <v>74</v>
      </c>
      <c r="BH920" t="s">
        <v>74</v>
      </c>
      <c r="BI920">
        <v>22</v>
      </c>
      <c r="BJ920" t="s">
        <v>17431</v>
      </c>
      <c r="BK920" t="s">
        <v>15510</v>
      </c>
      <c r="BL920" t="s">
        <v>17431</v>
      </c>
      <c r="BM920" t="s">
        <v>17432</v>
      </c>
      <c r="BN920" t="s">
        <v>74</v>
      </c>
      <c r="BO920" t="s">
        <v>74</v>
      </c>
      <c r="BP920" t="s">
        <v>74</v>
      </c>
      <c r="BQ920" t="s">
        <v>74</v>
      </c>
      <c r="BR920" t="s">
        <v>104</v>
      </c>
      <c r="BS920" t="s">
        <v>17433</v>
      </c>
      <c r="BT920" t="str">
        <f>HYPERLINK("https%3A%2F%2Fwww.webofscience.com%2Fwos%2Fwoscc%2Ffull-record%2FWOS:000362338600002","View Full Record in Web of Science")</f>
        <v>View Full Record in Web of Science</v>
      </c>
    </row>
    <row r="921" spans="1:72" x14ac:dyDescent="0.15">
      <c r="A921" t="s">
        <v>15490</v>
      </c>
      <c r="B921" t="s">
        <v>74</v>
      </c>
      <c r="C921" t="s">
        <v>74</v>
      </c>
      <c r="D921" t="s">
        <v>17421</v>
      </c>
      <c r="E921" t="s">
        <v>74</v>
      </c>
      <c r="F921" t="s">
        <v>74</v>
      </c>
      <c r="G921" t="s">
        <v>74</v>
      </c>
      <c r="H921" t="s">
        <v>74</v>
      </c>
      <c r="I921" t="s">
        <v>17434</v>
      </c>
      <c r="J921" t="s">
        <v>17424</v>
      </c>
      <c r="K921" t="s">
        <v>17425</v>
      </c>
      <c r="L921" t="s">
        <v>74</v>
      </c>
      <c r="M921" t="s">
        <v>78</v>
      </c>
      <c r="N921" t="s">
        <v>17435</v>
      </c>
      <c r="O921" t="s">
        <v>74</v>
      </c>
      <c r="P921" t="s">
        <v>74</v>
      </c>
      <c r="Q921" t="s">
        <v>74</v>
      </c>
      <c r="R921" t="s">
        <v>74</v>
      </c>
      <c r="S921" t="s">
        <v>74</v>
      </c>
      <c r="T921" t="s">
        <v>74</v>
      </c>
      <c r="U921" t="s">
        <v>74</v>
      </c>
      <c r="V921" t="s">
        <v>74</v>
      </c>
      <c r="W921" t="s">
        <v>74</v>
      </c>
      <c r="X921" t="s">
        <v>74</v>
      </c>
      <c r="Y921" t="s">
        <v>74</v>
      </c>
      <c r="Z921" t="s">
        <v>74</v>
      </c>
      <c r="AA921" t="s">
        <v>74</v>
      </c>
      <c r="AB921" t="s">
        <v>74</v>
      </c>
      <c r="AC921" t="s">
        <v>74</v>
      </c>
      <c r="AD921" t="s">
        <v>74</v>
      </c>
      <c r="AE921" t="s">
        <v>74</v>
      </c>
      <c r="AF921" t="s">
        <v>74</v>
      </c>
      <c r="AG921">
        <v>0</v>
      </c>
      <c r="AH921">
        <v>0</v>
      </c>
      <c r="AI921">
        <v>0</v>
      </c>
      <c r="AJ921">
        <v>0</v>
      </c>
      <c r="AK921">
        <v>2</v>
      </c>
      <c r="AL921" t="s">
        <v>266</v>
      </c>
      <c r="AM921" t="s">
        <v>267</v>
      </c>
      <c r="AN921" t="s">
        <v>268</v>
      </c>
      <c r="AO921" t="s">
        <v>74</v>
      </c>
      <c r="AP921" t="s">
        <v>74</v>
      </c>
      <c r="AQ921" t="s">
        <v>17429</v>
      </c>
      <c r="AR921" t="s">
        <v>17430</v>
      </c>
      <c r="AS921" t="s">
        <v>74</v>
      </c>
      <c r="AT921" t="s">
        <v>74</v>
      </c>
      <c r="AU921">
        <v>2015</v>
      </c>
      <c r="AV921">
        <v>68</v>
      </c>
      <c r="AW921" t="s">
        <v>74</v>
      </c>
      <c r="AX921" t="s">
        <v>74</v>
      </c>
      <c r="AY921" t="s">
        <v>74</v>
      </c>
      <c r="AZ921" t="s">
        <v>74</v>
      </c>
      <c r="BA921" t="s">
        <v>74</v>
      </c>
      <c r="BB921">
        <v>1</v>
      </c>
      <c r="BC921">
        <v>195</v>
      </c>
      <c r="BD921" t="s">
        <v>74</v>
      </c>
      <c r="BE921" t="s">
        <v>74</v>
      </c>
      <c r="BF921" t="s">
        <v>74</v>
      </c>
      <c r="BG921" t="s">
        <v>74</v>
      </c>
      <c r="BH921" t="s">
        <v>74</v>
      </c>
      <c r="BI921">
        <v>308</v>
      </c>
      <c r="BJ921" t="s">
        <v>17431</v>
      </c>
      <c r="BK921" t="s">
        <v>15510</v>
      </c>
      <c r="BL921" t="s">
        <v>17431</v>
      </c>
      <c r="BM921" t="s">
        <v>17432</v>
      </c>
      <c r="BN921" t="s">
        <v>74</v>
      </c>
      <c r="BO921" t="s">
        <v>74</v>
      </c>
      <c r="BP921" t="s">
        <v>74</v>
      </c>
      <c r="BQ921" t="s">
        <v>74</v>
      </c>
      <c r="BR921" t="s">
        <v>104</v>
      </c>
      <c r="BS921" t="s">
        <v>17436</v>
      </c>
      <c r="BT921" t="str">
        <f>HYPERLINK("https%3A%2F%2Fwww.webofscience.com%2Fwos%2Fwoscc%2Ffull-record%2FWOS:000362338600012","View Full Record in Web of Science")</f>
        <v>View Full Record in Web of Science</v>
      </c>
    </row>
    <row r="922" spans="1:72" x14ac:dyDescent="0.15">
      <c r="A922" t="s">
        <v>15490</v>
      </c>
      <c r="B922" t="s">
        <v>17437</v>
      </c>
      <c r="C922" t="s">
        <v>74</v>
      </c>
      <c r="D922" t="s">
        <v>17421</v>
      </c>
      <c r="E922" t="s">
        <v>74</v>
      </c>
      <c r="F922" t="s">
        <v>17438</v>
      </c>
      <c r="G922" t="s">
        <v>74</v>
      </c>
      <c r="H922" t="s">
        <v>74</v>
      </c>
      <c r="I922" t="s">
        <v>17439</v>
      </c>
      <c r="J922" t="s">
        <v>17424</v>
      </c>
      <c r="K922" t="s">
        <v>17425</v>
      </c>
      <c r="L922" t="s">
        <v>74</v>
      </c>
      <c r="M922" t="s">
        <v>78</v>
      </c>
      <c r="N922" t="s">
        <v>15564</v>
      </c>
      <c r="O922" t="s">
        <v>74</v>
      </c>
      <c r="P922" t="s">
        <v>74</v>
      </c>
      <c r="Q922" t="s">
        <v>74</v>
      </c>
      <c r="R922" t="s">
        <v>74</v>
      </c>
      <c r="S922" t="s">
        <v>74</v>
      </c>
      <c r="T922" t="s">
        <v>74</v>
      </c>
      <c r="U922" t="s">
        <v>74</v>
      </c>
      <c r="V922" t="s">
        <v>74</v>
      </c>
      <c r="W922" t="s">
        <v>17440</v>
      </c>
      <c r="X922" t="s">
        <v>17441</v>
      </c>
      <c r="Y922" t="s">
        <v>17442</v>
      </c>
      <c r="Z922" t="s">
        <v>74</v>
      </c>
      <c r="AA922" t="s">
        <v>74</v>
      </c>
      <c r="AB922" t="s">
        <v>74</v>
      </c>
      <c r="AC922" t="s">
        <v>74</v>
      </c>
      <c r="AD922" t="s">
        <v>74</v>
      </c>
      <c r="AE922" t="s">
        <v>74</v>
      </c>
      <c r="AF922" t="s">
        <v>74</v>
      </c>
      <c r="AG922">
        <v>25</v>
      </c>
      <c r="AH922">
        <v>5</v>
      </c>
      <c r="AI922">
        <v>5</v>
      </c>
      <c r="AJ922">
        <v>0</v>
      </c>
      <c r="AK922">
        <v>1</v>
      </c>
      <c r="AL922" t="s">
        <v>266</v>
      </c>
      <c r="AM922" t="s">
        <v>267</v>
      </c>
      <c r="AN922" t="s">
        <v>268</v>
      </c>
      <c r="AO922" t="s">
        <v>74</v>
      </c>
      <c r="AP922" t="s">
        <v>74</v>
      </c>
      <c r="AQ922" t="s">
        <v>17429</v>
      </c>
      <c r="AR922" t="s">
        <v>17430</v>
      </c>
      <c r="AS922" t="s">
        <v>74</v>
      </c>
      <c r="AT922" t="s">
        <v>74</v>
      </c>
      <c r="AU922">
        <v>2015</v>
      </c>
      <c r="AV922">
        <v>68</v>
      </c>
      <c r="AW922" t="s">
        <v>74</v>
      </c>
      <c r="AX922" t="s">
        <v>74</v>
      </c>
      <c r="AY922" t="s">
        <v>74</v>
      </c>
      <c r="AZ922" t="s">
        <v>74</v>
      </c>
      <c r="BA922" t="s">
        <v>74</v>
      </c>
      <c r="BB922">
        <v>23</v>
      </c>
      <c r="BC922">
        <v>41</v>
      </c>
      <c r="BD922" t="s">
        <v>74</v>
      </c>
      <c r="BE922" t="s">
        <v>74</v>
      </c>
      <c r="BF922" t="s">
        <v>74</v>
      </c>
      <c r="BG922" t="s">
        <v>74</v>
      </c>
      <c r="BH922" t="s">
        <v>74</v>
      </c>
      <c r="BI922">
        <v>19</v>
      </c>
      <c r="BJ922" t="s">
        <v>17431</v>
      </c>
      <c r="BK922" t="s">
        <v>15510</v>
      </c>
      <c r="BL922" t="s">
        <v>17431</v>
      </c>
      <c r="BM922" t="s">
        <v>17432</v>
      </c>
      <c r="BN922" t="s">
        <v>74</v>
      </c>
      <c r="BO922" t="s">
        <v>74</v>
      </c>
      <c r="BP922" t="s">
        <v>74</v>
      </c>
      <c r="BQ922" t="s">
        <v>74</v>
      </c>
      <c r="BR922" t="s">
        <v>104</v>
      </c>
      <c r="BS922" t="s">
        <v>17443</v>
      </c>
      <c r="BT922" t="str">
        <f>HYPERLINK("https%3A%2F%2Fwww.webofscience.com%2Fwos%2Fwoscc%2Ffull-record%2FWOS:000362338600003","View Full Record in Web of Science")</f>
        <v>View Full Record in Web of Science</v>
      </c>
    </row>
    <row r="923" spans="1:72" x14ac:dyDescent="0.15">
      <c r="A923" t="s">
        <v>15490</v>
      </c>
      <c r="B923" t="s">
        <v>17444</v>
      </c>
      <c r="C923" t="s">
        <v>74</v>
      </c>
      <c r="D923" t="s">
        <v>17421</v>
      </c>
      <c r="E923" t="s">
        <v>74</v>
      </c>
      <c r="F923" t="s">
        <v>17445</v>
      </c>
      <c r="G923" t="s">
        <v>74</v>
      </c>
      <c r="H923" t="s">
        <v>74</v>
      </c>
      <c r="I923" t="s">
        <v>17446</v>
      </c>
      <c r="J923" t="s">
        <v>17424</v>
      </c>
      <c r="K923" t="s">
        <v>17425</v>
      </c>
      <c r="L923" t="s">
        <v>74</v>
      </c>
      <c r="M923" t="s">
        <v>78</v>
      </c>
      <c r="N923" t="s">
        <v>15564</v>
      </c>
      <c r="O923" t="s">
        <v>74</v>
      </c>
      <c r="P923" t="s">
        <v>74</v>
      </c>
      <c r="Q923" t="s">
        <v>74</v>
      </c>
      <c r="R923" t="s">
        <v>74</v>
      </c>
      <c r="S923" t="s">
        <v>74</v>
      </c>
      <c r="T923" t="s">
        <v>74</v>
      </c>
      <c r="U923" t="s">
        <v>17447</v>
      </c>
      <c r="V923" t="s">
        <v>74</v>
      </c>
      <c r="W923" t="s">
        <v>17448</v>
      </c>
      <c r="X923" t="s">
        <v>17449</v>
      </c>
      <c r="Y923" t="s">
        <v>17450</v>
      </c>
      <c r="Z923" t="s">
        <v>74</v>
      </c>
      <c r="AA923" t="s">
        <v>74</v>
      </c>
      <c r="AB923" t="s">
        <v>74</v>
      </c>
      <c r="AC923" t="s">
        <v>74</v>
      </c>
      <c r="AD923" t="s">
        <v>74</v>
      </c>
      <c r="AE923" t="s">
        <v>74</v>
      </c>
      <c r="AF923" t="s">
        <v>74</v>
      </c>
      <c r="AG923">
        <v>58</v>
      </c>
      <c r="AH923">
        <v>2</v>
      </c>
      <c r="AI923">
        <v>2</v>
      </c>
      <c r="AJ923">
        <v>0</v>
      </c>
      <c r="AK923">
        <v>0</v>
      </c>
      <c r="AL923" t="s">
        <v>266</v>
      </c>
      <c r="AM923" t="s">
        <v>267</v>
      </c>
      <c r="AN923" t="s">
        <v>268</v>
      </c>
      <c r="AO923" t="s">
        <v>74</v>
      </c>
      <c r="AP923" t="s">
        <v>74</v>
      </c>
      <c r="AQ923" t="s">
        <v>17429</v>
      </c>
      <c r="AR923" t="s">
        <v>17430</v>
      </c>
      <c r="AS923" t="s">
        <v>74</v>
      </c>
      <c r="AT923" t="s">
        <v>74</v>
      </c>
      <c r="AU923">
        <v>2015</v>
      </c>
      <c r="AV923">
        <v>68</v>
      </c>
      <c r="AW923" t="s">
        <v>74</v>
      </c>
      <c r="AX923" t="s">
        <v>74</v>
      </c>
      <c r="AY923" t="s">
        <v>74</v>
      </c>
      <c r="AZ923" t="s">
        <v>74</v>
      </c>
      <c r="BA923" t="s">
        <v>74</v>
      </c>
      <c r="BB923">
        <v>43</v>
      </c>
      <c r="BC923">
        <v>63</v>
      </c>
      <c r="BD923" t="s">
        <v>74</v>
      </c>
      <c r="BE923" t="s">
        <v>74</v>
      </c>
      <c r="BF923" t="s">
        <v>74</v>
      </c>
      <c r="BG923" t="s">
        <v>74</v>
      </c>
      <c r="BH923" t="s">
        <v>74</v>
      </c>
      <c r="BI923">
        <v>21</v>
      </c>
      <c r="BJ923" t="s">
        <v>17431</v>
      </c>
      <c r="BK923" t="s">
        <v>15510</v>
      </c>
      <c r="BL923" t="s">
        <v>17431</v>
      </c>
      <c r="BM923" t="s">
        <v>17432</v>
      </c>
      <c r="BN923" t="s">
        <v>74</v>
      </c>
      <c r="BO923" t="s">
        <v>74</v>
      </c>
      <c r="BP923" t="s">
        <v>74</v>
      </c>
      <c r="BQ923" t="s">
        <v>74</v>
      </c>
      <c r="BR923" t="s">
        <v>104</v>
      </c>
      <c r="BS923" t="s">
        <v>17451</v>
      </c>
      <c r="BT923" t="str">
        <f>HYPERLINK("https%3A%2F%2Fwww.webofscience.com%2Fwos%2Fwoscc%2Ffull-record%2FWOS:000362338600004","View Full Record in Web of Science")</f>
        <v>View Full Record in Web of Science</v>
      </c>
    </row>
    <row r="924" spans="1:72" x14ac:dyDescent="0.15">
      <c r="A924" t="s">
        <v>15490</v>
      </c>
      <c r="B924" t="s">
        <v>17452</v>
      </c>
      <c r="C924" t="s">
        <v>74</v>
      </c>
      <c r="D924" t="s">
        <v>17421</v>
      </c>
      <c r="E924" t="s">
        <v>74</v>
      </c>
      <c r="F924" t="s">
        <v>17453</v>
      </c>
      <c r="G924" t="s">
        <v>74</v>
      </c>
      <c r="H924" t="s">
        <v>74</v>
      </c>
      <c r="I924" t="s">
        <v>17454</v>
      </c>
      <c r="J924" t="s">
        <v>17424</v>
      </c>
      <c r="K924" t="s">
        <v>17425</v>
      </c>
      <c r="L924" t="s">
        <v>74</v>
      </c>
      <c r="M924" t="s">
        <v>78</v>
      </c>
      <c r="N924" t="s">
        <v>15564</v>
      </c>
      <c r="O924" t="s">
        <v>74</v>
      </c>
      <c r="P924" t="s">
        <v>74</v>
      </c>
      <c r="Q924" t="s">
        <v>74</v>
      </c>
      <c r="R924" t="s">
        <v>74</v>
      </c>
      <c r="S924" t="s">
        <v>74</v>
      </c>
      <c r="T924" t="s">
        <v>74</v>
      </c>
      <c r="U924" t="s">
        <v>17455</v>
      </c>
      <c r="V924" t="s">
        <v>74</v>
      </c>
      <c r="W924" t="s">
        <v>17456</v>
      </c>
      <c r="X924" t="s">
        <v>17457</v>
      </c>
      <c r="Y924" t="s">
        <v>17458</v>
      </c>
      <c r="Z924" t="s">
        <v>74</v>
      </c>
      <c r="AA924" t="s">
        <v>74</v>
      </c>
      <c r="AB924" t="s">
        <v>74</v>
      </c>
      <c r="AC924" t="s">
        <v>74</v>
      </c>
      <c r="AD924" t="s">
        <v>74</v>
      </c>
      <c r="AE924" t="s">
        <v>74</v>
      </c>
      <c r="AF924" t="s">
        <v>74</v>
      </c>
      <c r="AG924">
        <v>86</v>
      </c>
      <c r="AH924">
        <v>0</v>
      </c>
      <c r="AI924">
        <v>0</v>
      </c>
      <c r="AJ924">
        <v>0</v>
      </c>
      <c r="AK924">
        <v>0</v>
      </c>
      <c r="AL924" t="s">
        <v>266</v>
      </c>
      <c r="AM924" t="s">
        <v>267</v>
      </c>
      <c r="AN924" t="s">
        <v>268</v>
      </c>
      <c r="AO924" t="s">
        <v>74</v>
      </c>
      <c r="AP924" t="s">
        <v>74</v>
      </c>
      <c r="AQ924" t="s">
        <v>17429</v>
      </c>
      <c r="AR924" t="s">
        <v>17430</v>
      </c>
      <c r="AS924" t="s">
        <v>74</v>
      </c>
      <c r="AT924" t="s">
        <v>74</v>
      </c>
      <c r="AU924">
        <v>2015</v>
      </c>
      <c r="AV924">
        <v>68</v>
      </c>
      <c r="AW924" t="s">
        <v>74</v>
      </c>
      <c r="AX924" t="s">
        <v>74</v>
      </c>
      <c r="AY924" t="s">
        <v>74</v>
      </c>
      <c r="AZ924" t="s">
        <v>74</v>
      </c>
      <c r="BA924" t="s">
        <v>74</v>
      </c>
      <c r="BB924">
        <v>65</v>
      </c>
      <c r="BC924">
        <v>77</v>
      </c>
      <c r="BD924" t="s">
        <v>74</v>
      </c>
      <c r="BE924" t="s">
        <v>74</v>
      </c>
      <c r="BF924" t="s">
        <v>74</v>
      </c>
      <c r="BG924" t="s">
        <v>74</v>
      </c>
      <c r="BH924" t="s">
        <v>74</v>
      </c>
      <c r="BI924">
        <v>13</v>
      </c>
      <c r="BJ924" t="s">
        <v>17431</v>
      </c>
      <c r="BK924" t="s">
        <v>15510</v>
      </c>
      <c r="BL924" t="s">
        <v>17431</v>
      </c>
      <c r="BM924" t="s">
        <v>17432</v>
      </c>
      <c r="BN924" t="s">
        <v>74</v>
      </c>
      <c r="BO924" t="s">
        <v>74</v>
      </c>
      <c r="BP924" t="s">
        <v>74</v>
      </c>
      <c r="BQ924" t="s">
        <v>74</v>
      </c>
      <c r="BR924" t="s">
        <v>104</v>
      </c>
      <c r="BS924" t="s">
        <v>17459</v>
      </c>
      <c r="BT924" t="str">
        <f>HYPERLINK("https%3A%2F%2Fwww.webofscience.com%2Fwos%2Fwoscc%2Ffull-record%2FWOS:000362338600005","View Full Record in Web of Science")</f>
        <v>View Full Record in Web of Science</v>
      </c>
    </row>
    <row r="925" spans="1:72" x14ac:dyDescent="0.15">
      <c r="A925" t="s">
        <v>15490</v>
      </c>
      <c r="B925" t="s">
        <v>17460</v>
      </c>
      <c r="C925" t="s">
        <v>74</v>
      </c>
      <c r="D925" t="s">
        <v>17421</v>
      </c>
      <c r="E925" t="s">
        <v>74</v>
      </c>
      <c r="F925" t="s">
        <v>17461</v>
      </c>
      <c r="G925" t="s">
        <v>74</v>
      </c>
      <c r="H925" t="s">
        <v>74</v>
      </c>
      <c r="I925" t="s">
        <v>17462</v>
      </c>
      <c r="J925" t="s">
        <v>17424</v>
      </c>
      <c r="K925" t="s">
        <v>17425</v>
      </c>
      <c r="L925" t="s">
        <v>74</v>
      </c>
      <c r="M925" t="s">
        <v>78</v>
      </c>
      <c r="N925" t="s">
        <v>15564</v>
      </c>
      <c r="O925" t="s">
        <v>74</v>
      </c>
      <c r="P925" t="s">
        <v>74</v>
      </c>
      <c r="Q925" t="s">
        <v>74</v>
      </c>
      <c r="R925" t="s">
        <v>74</v>
      </c>
      <c r="S925" t="s">
        <v>74</v>
      </c>
      <c r="T925" t="s">
        <v>74</v>
      </c>
      <c r="U925" t="s">
        <v>17463</v>
      </c>
      <c r="V925" t="s">
        <v>74</v>
      </c>
      <c r="W925" t="s">
        <v>17464</v>
      </c>
      <c r="X925" t="s">
        <v>17465</v>
      </c>
      <c r="Y925" t="s">
        <v>17466</v>
      </c>
      <c r="Z925" t="s">
        <v>74</v>
      </c>
      <c r="AA925" t="s">
        <v>17467</v>
      </c>
      <c r="AB925" t="s">
        <v>74</v>
      </c>
      <c r="AC925" t="s">
        <v>74</v>
      </c>
      <c r="AD925" t="s">
        <v>74</v>
      </c>
      <c r="AE925" t="s">
        <v>74</v>
      </c>
      <c r="AF925" t="s">
        <v>74</v>
      </c>
      <c r="AG925">
        <v>113</v>
      </c>
      <c r="AH925">
        <v>0</v>
      </c>
      <c r="AI925">
        <v>0</v>
      </c>
      <c r="AJ925">
        <v>1</v>
      </c>
      <c r="AK925">
        <v>5</v>
      </c>
      <c r="AL925" t="s">
        <v>266</v>
      </c>
      <c r="AM925" t="s">
        <v>267</v>
      </c>
      <c r="AN925" t="s">
        <v>268</v>
      </c>
      <c r="AO925" t="s">
        <v>74</v>
      </c>
      <c r="AP925" t="s">
        <v>74</v>
      </c>
      <c r="AQ925" t="s">
        <v>17429</v>
      </c>
      <c r="AR925" t="s">
        <v>17430</v>
      </c>
      <c r="AS925" t="s">
        <v>74</v>
      </c>
      <c r="AT925" t="s">
        <v>74</v>
      </c>
      <c r="AU925">
        <v>2015</v>
      </c>
      <c r="AV925">
        <v>68</v>
      </c>
      <c r="AW925" t="s">
        <v>74</v>
      </c>
      <c r="AX925" t="s">
        <v>74</v>
      </c>
      <c r="AY925" t="s">
        <v>74</v>
      </c>
      <c r="AZ925" t="s">
        <v>74</v>
      </c>
      <c r="BA925" t="s">
        <v>74</v>
      </c>
      <c r="BB925">
        <v>79</v>
      </c>
      <c r="BC925">
        <v>99</v>
      </c>
      <c r="BD925" t="s">
        <v>74</v>
      </c>
      <c r="BE925" t="s">
        <v>74</v>
      </c>
      <c r="BF925" t="s">
        <v>74</v>
      </c>
      <c r="BG925" t="s">
        <v>74</v>
      </c>
      <c r="BH925" t="s">
        <v>74</v>
      </c>
      <c r="BI925">
        <v>21</v>
      </c>
      <c r="BJ925" t="s">
        <v>17431</v>
      </c>
      <c r="BK925" t="s">
        <v>15510</v>
      </c>
      <c r="BL925" t="s">
        <v>17431</v>
      </c>
      <c r="BM925" t="s">
        <v>17432</v>
      </c>
      <c r="BN925" t="s">
        <v>74</v>
      </c>
      <c r="BO925" t="s">
        <v>74</v>
      </c>
      <c r="BP925" t="s">
        <v>74</v>
      </c>
      <c r="BQ925" t="s">
        <v>74</v>
      </c>
      <c r="BR925" t="s">
        <v>104</v>
      </c>
      <c r="BS925" t="s">
        <v>17468</v>
      </c>
      <c r="BT925" t="str">
        <f>HYPERLINK("https%3A%2F%2Fwww.webofscience.com%2Fwos%2Fwoscc%2Ffull-record%2FWOS:000362338600006","View Full Record in Web of Science")</f>
        <v>View Full Record in Web of Science</v>
      </c>
    </row>
    <row r="926" spans="1:72" x14ac:dyDescent="0.15">
      <c r="A926" t="s">
        <v>15490</v>
      </c>
      <c r="B926" t="s">
        <v>17469</v>
      </c>
      <c r="C926" t="s">
        <v>74</v>
      </c>
      <c r="D926" t="s">
        <v>17421</v>
      </c>
      <c r="E926" t="s">
        <v>74</v>
      </c>
      <c r="F926" t="s">
        <v>17470</v>
      </c>
      <c r="G926" t="s">
        <v>74</v>
      </c>
      <c r="H926" t="s">
        <v>74</v>
      </c>
      <c r="I926" t="s">
        <v>17471</v>
      </c>
      <c r="J926" t="s">
        <v>17424</v>
      </c>
      <c r="K926" t="s">
        <v>17425</v>
      </c>
      <c r="L926" t="s">
        <v>74</v>
      </c>
      <c r="M926" t="s">
        <v>78</v>
      </c>
      <c r="N926" t="s">
        <v>15564</v>
      </c>
      <c r="O926" t="s">
        <v>74</v>
      </c>
      <c r="P926" t="s">
        <v>74</v>
      </c>
      <c r="Q926" t="s">
        <v>74</v>
      </c>
      <c r="R926" t="s">
        <v>74</v>
      </c>
      <c r="S926" t="s">
        <v>74</v>
      </c>
      <c r="T926" t="s">
        <v>74</v>
      </c>
      <c r="U926" t="s">
        <v>17472</v>
      </c>
      <c r="V926" t="s">
        <v>74</v>
      </c>
      <c r="W926" t="s">
        <v>17473</v>
      </c>
      <c r="X926" t="s">
        <v>17474</v>
      </c>
      <c r="Y926" t="s">
        <v>17475</v>
      </c>
      <c r="Z926" t="s">
        <v>74</v>
      </c>
      <c r="AA926" t="s">
        <v>74</v>
      </c>
      <c r="AB926" t="s">
        <v>74</v>
      </c>
      <c r="AC926" t="s">
        <v>74</v>
      </c>
      <c r="AD926" t="s">
        <v>74</v>
      </c>
      <c r="AE926" t="s">
        <v>74</v>
      </c>
      <c r="AF926" t="s">
        <v>74</v>
      </c>
      <c r="AG926">
        <v>189</v>
      </c>
      <c r="AH926">
        <v>4</v>
      </c>
      <c r="AI926">
        <v>4</v>
      </c>
      <c r="AJ926">
        <v>0</v>
      </c>
      <c r="AK926">
        <v>0</v>
      </c>
      <c r="AL926" t="s">
        <v>266</v>
      </c>
      <c r="AM926" t="s">
        <v>267</v>
      </c>
      <c r="AN926" t="s">
        <v>268</v>
      </c>
      <c r="AO926" t="s">
        <v>74</v>
      </c>
      <c r="AP926" t="s">
        <v>74</v>
      </c>
      <c r="AQ926" t="s">
        <v>17429</v>
      </c>
      <c r="AR926" t="s">
        <v>17430</v>
      </c>
      <c r="AS926" t="s">
        <v>74</v>
      </c>
      <c r="AT926" t="s">
        <v>74</v>
      </c>
      <c r="AU926">
        <v>2015</v>
      </c>
      <c r="AV926">
        <v>68</v>
      </c>
      <c r="AW926" t="s">
        <v>74</v>
      </c>
      <c r="AX926" t="s">
        <v>74</v>
      </c>
      <c r="AY926" t="s">
        <v>74</v>
      </c>
      <c r="AZ926" t="s">
        <v>74</v>
      </c>
      <c r="BA926" t="s">
        <v>74</v>
      </c>
      <c r="BB926">
        <v>101</v>
      </c>
      <c r="BC926">
        <v>130</v>
      </c>
      <c r="BD926" t="s">
        <v>74</v>
      </c>
      <c r="BE926" t="s">
        <v>74</v>
      </c>
      <c r="BF926" t="s">
        <v>74</v>
      </c>
      <c r="BG926" t="s">
        <v>74</v>
      </c>
      <c r="BH926" t="s">
        <v>74</v>
      </c>
      <c r="BI926">
        <v>30</v>
      </c>
      <c r="BJ926" t="s">
        <v>17431</v>
      </c>
      <c r="BK926" t="s">
        <v>15510</v>
      </c>
      <c r="BL926" t="s">
        <v>17431</v>
      </c>
      <c r="BM926" t="s">
        <v>17432</v>
      </c>
      <c r="BN926" t="s">
        <v>74</v>
      </c>
      <c r="BO926" t="s">
        <v>74</v>
      </c>
      <c r="BP926" t="s">
        <v>74</v>
      </c>
      <c r="BQ926" t="s">
        <v>74</v>
      </c>
      <c r="BR926" t="s">
        <v>104</v>
      </c>
      <c r="BS926" t="s">
        <v>17476</v>
      </c>
      <c r="BT926" t="str">
        <f>HYPERLINK("https%3A%2F%2Fwww.webofscience.com%2Fwos%2Fwoscc%2Ffull-record%2FWOS:000362338600007","View Full Record in Web of Science")</f>
        <v>View Full Record in Web of Science</v>
      </c>
    </row>
    <row r="927" spans="1:72" x14ac:dyDescent="0.15">
      <c r="A927" t="s">
        <v>15490</v>
      </c>
      <c r="B927" t="s">
        <v>17477</v>
      </c>
      <c r="C927" t="s">
        <v>74</v>
      </c>
      <c r="D927" t="s">
        <v>17421</v>
      </c>
      <c r="E927" t="s">
        <v>74</v>
      </c>
      <c r="F927" t="s">
        <v>17478</v>
      </c>
      <c r="G927" t="s">
        <v>74</v>
      </c>
      <c r="H927" t="s">
        <v>74</v>
      </c>
      <c r="I927" t="s">
        <v>17479</v>
      </c>
      <c r="J927" t="s">
        <v>17424</v>
      </c>
      <c r="K927" t="s">
        <v>17425</v>
      </c>
      <c r="L927" t="s">
        <v>74</v>
      </c>
      <c r="M927" t="s">
        <v>78</v>
      </c>
      <c r="N927" t="s">
        <v>15564</v>
      </c>
      <c r="O927" t="s">
        <v>74</v>
      </c>
      <c r="P927" t="s">
        <v>74</v>
      </c>
      <c r="Q927" t="s">
        <v>74</v>
      </c>
      <c r="R927" t="s">
        <v>74</v>
      </c>
      <c r="S927" t="s">
        <v>74</v>
      </c>
      <c r="T927" t="s">
        <v>74</v>
      </c>
      <c r="U927" t="s">
        <v>17480</v>
      </c>
      <c r="V927" t="s">
        <v>74</v>
      </c>
      <c r="W927" t="s">
        <v>17481</v>
      </c>
      <c r="X927" t="s">
        <v>17482</v>
      </c>
      <c r="Y927" t="s">
        <v>17483</v>
      </c>
      <c r="Z927" t="s">
        <v>74</v>
      </c>
      <c r="AA927" t="s">
        <v>74</v>
      </c>
      <c r="AB927" t="s">
        <v>74</v>
      </c>
      <c r="AC927" t="s">
        <v>74</v>
      </c>
      <c r="AD927" t="s">
        <v>74</v>
      </c>
      <c r="AE927" t="s">
        <v>74</v>
      </c>
      <c r="AF927" t="s">
        <v>74</v>
      </c>
      <c r="AG927">
        <v>31</v>
      </c>
      <c r="AH927">
        <v>2</v>
      </c>
      <c r="AI927">
        <v>2</v>
      </c>
      <c r="AJ927">
        <v>0</v>
      </c>
      <c r="AK927">
        <v>0</v>
      </c>
      <c r="AL927" t="s">
        <v>266</v>
      </c>
      <c r="AM927" t="s">
        <v>267</v>
      </c>
      <c r="AN927" t="s">
        <v>268</v>
      </c>
      <c r="AO927" t="s">
        <v>74</v>
      </c>
      <c r="AP927" t="s">
        <v>74</v>
      </c>
      <c r="AQ927" t="s">
        <v>17429</v>
      </c>
      <c r="AR927" t="s">
        <v>17430</v>
      </c>
      <c r="AS927" t="s">
        <v>74</v>
      </c>
      <c r="AT927" t="s">
        <v>74</v>
      </c>
      <c r="AU927">
        <v>2015</v>
      </c>
      <c r="AV927">
        <v>68</v>
      </c>
      <c r="AW927" t="s">
        <v>74</v>
      </c>
      <c r="AX927" t="s">
        <v>74</v>
      </c>
      <c r="AY927" t="s">
        <v>74</v>
      </c>
      <c r="AZ927" t="s">
        <v>74</v>
      </c>
      <c r="BA927" t="s">
        <v>74</v>
      </c>
      <c r="BB927">
        <v>145</v>
      </c>
      <c r="BC927">
        <v>152</v>
      </c>
      <c r="BD927" t="s">
        <v>74</v>
      </c>
      <c r="BE927" t="s">
        <v>74</v>
      </c>
      <c r="BF927" t="s">
        <v>74</v>
      </c>
      <c r="BG927" t="s">
        <v>74</v>
      </c>
      <c r="BH927" t="s">
        <v>74</v>
      </c>
      <c r="BI927">
        <v>8</v>
      </c>
      <c r="BJ927" t="s">
        <v>17431</v>
      </c>
      <c r="BK927" t="s">
        <v>15510</v>
      </c>
      <c r="BL927" t="s">
        <v>17431</v>
      </c>
      <c r="BM927" t="s">
        <v>17432</v>
      </c>
      <c r="BN927" t="s">
        <v>74</v>
      </c>
      <c r="BO927" t="s">
        <v>74</v>
      </c>
      <c r="BP927" t="s">
        <v>74</v>
      </c>
      <c r="BQ927" t="s">
        <v>74</v>
      </c>
      <c r="BR927" t="s">
        <v>104</v>
      </c>
      <c r="BS927" t="s">
        <v>17484</v>
      </c>
      <c r="BT927" t="str">
        <f>HYPERLINK("https%3A%2F%2Fwww.webofscience.com%2Fwos%2Fwoscc%2Ffull-record%2FWOS:000362338600009","View Full Record in Web of Science")</f>
        <v>View Full Record in Web of Science</v>
      </c>
    </row>
    <row r="928" spans="1:72" x14ac:dyDescent="0.15">
      <c r="A928" t="s">
        <v>15490</v>
      </c>
      <c r="B928" t="s">
        <v>17485</v>
      </c>
      <c r="C928" t="s">
        <v>74</v>
      </c>
      <c r="D928" t="s">
        <v>17421</v>
      </c>
      <c r="E928" t="s">
        <v>74</v>
      </c>
      <c r="F928" t="s">
        <v>17486</v>
      </c>
      <c r="G928" t="s">
        <v>74</v>
      </c>
      <c r="H928" t="s">
        <v>74</v>
      </c>
      <c r="I928" t="s">
        <v>17487</v>
      </c>
      <c r="J928" t="s">
        <v>17424</v>
      </c>
      <c r="K928" t="s">
        <v>17425</v>
      </c>
      <c r="L928" t="s">
        <v>74</v>
      </c>
      <c r="M928" t="s">
        <v>78</v>
      </c>
      <c r="N928" t="s">
        <v>15564</v>
      </c>
      <c r="O928" t="s">
        <v>74</v>
      </c>
      <c r="P928" t="s">
        <v>74</v>
      </c>
      <c r="Q928" t="s">
        <v>74</v>
      </c>
      <c r="R928" t="s">
        <v>74</v>
      </c>
      <c r="S928" t="s">
        <v>74</v>
      </c>
      <c r="T928" t="s">
        <v>74</v>
      </c>
      <c r="U928" t="s">
        <v>17488</v>
      </c>
      <c r="V928" t="s">
        <v>74</v>
      </c>
      <c r="W928" t="s">
        <v>17489</v>
      </c>
      <c r="X928" t="s">
        <v>17490</v>
      </c>
      <c r="Y928" t="s">
        <v>17491</v>
      </c>
      <c r="Z928" t="s">
        <v>74</v>
      </c>
      <c r="AA928" t="s">
        <v>74</v>
      </c>
      <c r="AB928" t="s">
        <v>74</v>
      </c>
      <c r="AC928" t="s">
        <v>74</v>
      </c>
      <c r="AD928" t="s">
        <v>74</v>
      </c>
      <c r="AE928" t="s">
        <v>74</v>
      </c>
      <c r="AF928" t="s">
        <v>74</v>
      </c>
      <c r="AG928">
        <v>122</v>
      </c>
      <c r="AH928">
        <v>7</v>
      </c>
      <c r="AI928">
        <v>7</v>
      </c>
      <c r="AJ928">
        <v>0</v>
      </c>
      <c r="AK928">
        <v>2</v>
      </c>
      <c r="AL928" t="s">
        <v>266</v>
      </c>
      <c r="AM928" t="s">
        <v>267</v>
      </c>
      <c r="AN928" t="s">
        <v>268</v>
      </c>
      <c r="AO928" t="s">
        <v>74</v>
      </c>
      <c r="AP928" t="s">
        <v>74</v>
      </c>
      <c r="AQ928" t="s">
        <v>17429</v>
      </c>
      <c r="AR928" t="s">
        <v>17430</v>
      </c>
      <c r="AS928" t="s">
        <v>74</v>
      </c>
      <c r="AT928" t="s">
        <v>74</v>
      </c>
      <c r="AU928">
        <v>2015</v>
      </c>
      <c r="AV928">
        <v>68</v>
      </c>
      <c r="AW928" t="s">
        <v>74</v>
      </c>
      <c r="AX928" t="s">
        <v>74</v>
      </c>
      <c r="AY928" t="s">
        <v>74</v>
      </c>
      <c r="AZ928" t="s">
        <v>74</v>
      </c>
      <c r="BA928" t="s">
        <v>74</v>
      </c>
      <c r="BB928">
        <v>153</v>
      </c>
      <c r="BC928">
        <v>172</v>
      </c>
      <c r="BD928" t="s">
        <v>74</v>
      </c>
      <c r="BE928" t="s">
        <v>74</v>
      </c>
      <c r="BF928" t="s">
        <v>74</v>
      </c>
      <c r="BG928" t="s">
        <v>74</v>
      </c>
      <c r="BH928" t="s">
        <v>74</v>
      </c>
      <c r="BI928">
        <v>20</v>
      </c>
      <c r="BJ928" t="s">
        <v>17431</v>
      </c>
      <c r="BK928" t="s">
        <v>15510</v>
      </c>
      <c r="BL928" t="s">
        <v>17431</v>
      </c>
      <c r="BM928" t="s">
        <v>17432</v>
      </c>
      <c r="BN928" t="s">
        <v>74</v>
      </c>
      <c r="BO928" t="s">
        <v>74</v>
      </c>
      <c r="BP928" t="s">
        <v>74</v>
      </c>
      <c r="BQ928" t="s">
        <v>74</v>
      </c>
      <c r="BR928" t="s">
        <v>104</v>
      </c>
      <c r="BS928" t="s">
        <v>17492</v>
      </c>
      <c r="BT928" t="str">
        <f>HYPERLINK("https%3A%2F%2Fwww.webofscience.com%2Fwos%2Fwoscc%2Ffull-record%2FWOS:000362338600010","View Full Record in Web of Science")</f>
        <v>View Full Record in Web of Science</v>
      </c>
    </row>
    <row r="929" spans="1:72" x14ac:dyDescent="0.15">
      <c r="A929" t="s">
        <v>15490</v>
      </c>
      <c r="B929" t="s">
        <v>17493</v>
      </c>
      <c r="C929" t="s">
        <v>74</v>
      </c>
      <c r="D929" t="s">
        <v>17421</v>
      </c>
      <c r="E929" t="s">
        <v>74</v>
      </c>
      <c r="F929" t="s">
        <v>17494</v>
      </c>
      <c r="G929" t="s">
        <v>74</v>
      </c>
      <c r="H929" t="s">
        <v>74</v>
      </c>
      <c r="I929" t="s">
        <v>17495</v>
      </c>
      <c r="J929" t="s">
        <v>17424</v>
      </c>
      <c r="K929" t="s">
        <v>17425</v>
      </c>
      <c r="L929" t="s">
        <v>74</v>
      </c>
      <c r="M929" t="s">
        <v>78</v>
      </c>
      <c r="N929" t="s">
        <v>15564</v>
      </c>
      <c r="O929" t="s">
        <v>74</v>
      </c>
      <c r="P929" t="s">
        <v>74</v>
      </c>
      <c r="Q929" t="s">
        <v>74</v>
      </c>
      <c r="R929" t="s">
        <v>74</v>
      </c>
      <c r="S929" t="s">
        <v>74</v>
      </c>
      <c r="T929" t="s">
        <v>74</v>
      </c>
      <c r="U929" t="s">
        <v>17496</v>
      </c>
      <c r="V929" t="s">
        <v>74</v>
      </c>
      <c r="W929" t="s">
        <v>17497</v>
      </c>
      <c r="X929" t="s">
        <v>17498</v>
      </c>
      <c r="Y929" t="s">
        <v>17499</v>
      </c>
      <c r="Z929" t="s">
        <v>74</v>
      </c>
      <c r="AA929" t="s">
        <v>74</v>
      </c>
      <c r="AB929" t="s">
        <v>74</v>
      </c>
      <c r="AC929" t="s">
        <v>74</v>
      </c>
      <c r="AD929" t="s">
        <v>74</v>
      </c>
      <c r="AE929" t="s">
        <v>74</v>
      </c>
      <c r="AF929" t="s">
        <v>74</v>
      </c>
      <c r="AG929">
        <v>34</v>
      </c>
      <c r="AH929">
        <v>1</v>
      </c>
      <c r="AI929">
        <v>1</v>
      </c>
      <c r="AJ929">
        <v>0</v>
      </c>
      <c r="AK929">
        <v>1</v>
      </c>
      <c r="AL929" t="s">
        <v>266</v>
      </c>
      <c r="AM929" t="s">
        <v>267</v>
      </c>
      <c r="AN929" t="s">
        <v>268</v>
      </c>
      <c r="AO929" t="s">
        <v>74</v>
      </c>
      <c r="AP929" t="s">
        <v>74</v>
      </c>
      <c r="AQ929" t="s">
        <v>17429</v>
      </c>
      <c r="AR929" t="s">
        <v>17430</v>
      </c>
      <c r="AS929" t="s">
        <v>74</v>
      </c>
      <c r="AT929" t="s">
        <v>74</v>
      </c>
      <c r="AU929">
        <v>2015</v>
      </c>
      <c r="AV929">
        <v>68</v>
      </c>
      <c r="AW929" t="s">
        <v>74</v>
      </c>
      <c r="AX929" t="s">
        <v>74</v>
      </c>
      <c r="AY929" t="s">
        <v>74</v>
      </c>
      <c r="AZ929" t="s">
        <v>74</v>
      </c>
      <c r="BA929" t="s">
        <v>74</v>
      </c>
      <c r="BB929">
        <v>173</v>
      </c>
      <c r="BC929">
        <v>187</v>
      </c>
      <c r="BD929" t="s">
        <v>74</v>
      </c>
      <c r="BE929" t="s">
        <v>74</v>
      </c>
      <c r="BF929" t="s">
        <v>74</v>
      </c>
      <c r="BG929" t="s">
        <v>74</v>
      </c>
      <c r="BH929" t="s">
        <v>74</v>
      </c>
      <c r="BI929">
        <v>15</v>
      </c>
      <c r="BJ929" t="s">
        <v>17431</v>
      </c>
      <c r="BK929" t="s">
        <v>15510</v>
      </c>
      <c r="BL929" t="s">
        <v>17431</v>
      </c>
      <c r="BM929" t="s">
        <v>17432</v>
      </c>
      <c r="BN929" t="s">
        <v>74</v>
      </c>
      <c r="BO929" t="s">
        <v>74</v>
      </c>
      <c r="BP929" t="s">
        <v>74</v>
      </c>
      <c r="BQ929" t="s">
        <v>74</v>
      </c>
      <c r="BR929" t="s">
        <v>104</v>
      </c>
      <c r="BS929" t="s">
        <v>17500</v>
      </c>
      <c r="BT929" t="str">
        <f>HYPERLINK("https%3A%2F%2Fwww.webofscience.com%2Fwos%2Fwoscc%2Ffull-record%2FWOS:000362338600011","View Full Record in Web of Science")</f>
        <v>View Full Record in Web of Science</v>
      </c>
    </row>
    <row r="930" spans="1:72" x14ac:dyDescent="0.15">
      <c r="A930" t="s">
        <v>72</v>
      </c>
      <c r="B930" t="s">
        <v>17501</v>
      </c>
      <c r="C930" t="s">
        <v>74</v>
      </c>
      <c r="D930" t="s">
        <v>74</v>
      </c>
      <c r="E930" t="s">
        <v>74</v>
      </c>
      <c r="F930" t="s">
        <v>17502</v>
      </c>
      <c r="G930" t="s">
        <v>74</v>
      </c>
      <c r="H930" t="s">
        <v>74</v>
      </c>
      <c r="I930" t="s">
        <v>17503</v>
      </c>
      <c r="J930" t="s">
        <v>17348</v>
      </c>
      <c r="K930" t="s">
        <v>74</v>
      </c>
      <c r="L930" t="s">
        <v>74</v>
      </c>
      <c r="M930" t="s">
        <v>78</v>
      </c>
      <c r="N930" t="s">
        <v>79</v>
      </c>
      <c r="O930" t="s">
        <v>74</v>
      </c>
      <c r="P930" t="s">
        <v>74</v>
      </c>
      <c r="Q930" t="s">
        <v>74</v>
      </c>
      <c r="R930" t="s">
        <v>74</v>
      </c>
      <c r="S930" t="s">
        <v>74</v>
      </c>
      <c r="T930" t="s">
        <v>74</v>
      </c>
      <c r="U930" t="s">
        <v>17504</v>
      </c>
      <c r="V930" t="s">
        <v>17505</v>
      </c>
      <c r="W930" t="s">
        <v>17506</v>
      </c>
      <c r="X930" t="s">
        <v>17507</v>
      </c>
      <c r="Y930" t="s">
        <v>17508</v>
      </c>
      <c r="Z930" t="s">
        <v>17509</v>
      </c>
      <c r="AA930" t="s">
        <v>17510</v>
      </c>
      <c r="AB930" t="s">
        <v>17511</v>
      </c>
      <c r="AC930" t="s">
        <v>17512</v>
      </c>
      <c r="AD930" t="s">
        <v>17513</v>
      </c>
      <c r="AE930" t="s">
        <v>17514</v>
      </c>
      <c r="AF930" t="s">
        <v>74</v>
      </c>
      <c r="AG930">
        <v>49</v>
      </c>
      <c r="AH930">
        <v>14</v>
      </c>
      <c r="AI930">
        <v>15</v>
      </c>
      <c r="AJ930">
        <v>3</v>
      </c>
      <c r="AK930">
        <v>41</v>
      </c>
      <c r="AL930" t="s">
        <v>16626</v>
      </c>
      <c r="AM930" t="s">
        <v>16627</v>
      </c>
      <c r="AN930" t="s">
        <v>16628</v>
      </c>
      <c r="AO930" t="s">
        <v>17360</v>
      </c>
      <c r="AP930" t="s">
        <v>17361</v>
      </c>
      <c r="AQ930" t="s">
        <v>74</v>
      </c>
      <c r="AR930" t="s">
        <v>17362</v>
      </c>
      <c r="AS930" t="s">
        <v>17363</v>
      </c>
      <c r="AT930" t="s">
        <v>74</v>
      </c>
      <c r="AU930">
        <v>2015</v>
      </c>
      <c r="AV930">
        <v>8</v>
      </c>
      <c r="AW930">
        <v>9</v>
      </c>
      <c r="AX930" t="s">
        <v>74</v>
      </c>
      <c r="AY930" t="s">
        <v>74</v>
      </c>
      <c r="AZ930" t="s">
        <v>74</v>
      </c>
      <c r="BA930" t="s">
        <v>74</v>
      </c>
      <c r="BB930">
        <v>3959</v>
      </c>
      <c r="BC930">
        <v>3969</v>
      </c>
      <c r="BD930" t="s">
        <v>74</v>
      </c>
      <c r="BE930" t="s">
        <v>17515</v>
      </c>
      <c r="BF930" t="str">
        <f>HYPERLINK("http://dx.doi.org/10.5194/amt-8-3959-2015","http://dx.doi.org/10.5194/amt-8-3959-2015")</f>
        <v>http://dx.doi.org/10.5194/amt-8-3959-2015</v>
      </c>
      <c r="BG930" t="s">
        <v>74</v>
      </c>
      <c r="BH930" t="s">
        <v>74</v>
      </c>
      <c r="BI930">
        <v>11</v>
      </c>
      <c r="BJ930" t="s">
        <v>406</v>
      </c>
      <c r="BK930" t="s">
        <v>100</v>
      </c>
      <c r="BL930" t="s">
        <v>406</v>
      </c>
      <c r="BM930" t="s">
        <v>17516</v>
      </c>
      <c r="BN930" t="s">
        <v>74</v>
      </c>
      <c r="BO930" t="s">
        <v>17517</v>
      </c>
      <c r="BP930" t="s">
        <v>74</v>
      </c>
      <c r="BQ930" t="s">
        <v>74</v>
      </c>
      <c r="BR930" t="s">
        <v>104</v>
      </c>
      <c r="BS930" t="s">
        <v>17518</v>
      </c>
      <c r="BT930" t="str">
        <f>HYPERLINK("https%3A%2F%2Fwww.webofscience.com%2Fwos%2Fwoscc%2Ffull-record%2FWOS:000362458000024","View Full Record in Web of Science")</f>
        <v>View Full Record in Web of Science</v>
      </c>
    </row>
    <row r="931" spans="1:72" x14ac:dyDescent="0.15">
      <c r="A931" t="s">
        <v>72</v>
      </c>
      <c r="B931" t="s">
        <v>17519</v>
      </c>
      <c r="C931" t="s">
        <v>74</v>
      </c>
      <c r="D931" t="s">
        <v>74</v>
      </c>
      <c r="E931" t="s">
        <v>74</v>
      </c>
      <c r="F931" t="s">
        <v>17520</v>
      </c>
      <c r="G931" t="s">
        <v>74</v>
      </c>
      <c r="H931" t="s">
        <v>74</v>
      </c>
      <c r="I931" t="s">
        <v>17521</v>
      </c>
      <c r="J931" t="s">
        <v>17522</v>
      </c>
      <c r="K931" t="s">
        <v>74</v>
      </c>
      <c r="L931" t="s">
        <v>74</v>
      </c>
      <c r="M931" t="s">
        <v>78</v>
      </c>
      <c r="N931" t="s">
        <v>79</v>
      </c>
      <c r="O931" t="s">
        <v>74</v>
      </c>
      <c r="P931" t="s">
        <v>74</v>
      </c>
      <c r="Q931" t="s">
        <v>74</v>
      </c>
      <c r="R931" t="s">
        <v>74</v>
      </c>
      <c r="S931" t="s">
        <v>74</v>
      </c>
      <c r="T931" t="s">
        <v>74</v>
      </c>
      <c r="U931" t="s">
        <v>17523</v>
      </c>
      <c r="V931" t="s">
        <v>17524</v>
      </c>
      <c r="W931" t="s">
        <v>17525</v>
      </c>
      <c r="X931" t="s">
        <v>17526</v>
      </c>
      <c r="Y931" t="s">
        <v>17527</v>
      </c>
      <c r="Z931" t="s">
        <v>17528</v>
      </c>
      <c r="AA931" t="s">
        <v>17529</v>
      </c>
      <c r="AB931" t="s">
        <v>17530</v>
      </c>
      <c r="AC931" t="s">
        <v>17531</v>
      </c>
      <c r="AD931" t="s">
        <v>17532</v>
      </c>
      <c r="AE931" t="s">
        <v>17533</v>
      </c>
      <c r="AF931" t="s">
        <v>74</v>
      </c>
      <c r="AG931">
        <v>87</v>
      </c>
      <c r="AH931">
        <v>19</v>
      </c>
      <c r="AI931">
        <v>22</v>
      </c>
      <c r="AJ931">
        <v>0</v>
      </c>
      <c r="AK931">
        <v>19</v>
      </c>
      <c r="AL931" t="s">
        <v>16626</v>
      </c>
      <c r="AM931" t="s">
        <v>16627</v>
      </c>
      <c r="AN931" t="s">
        <v>16628</v>
      </c>
      <c r="AO931" t="s">
        <v>17534</v>
      </c>
      <c r="AP931" t="s">
        <v>74</v>
      </c>
      <c r="AQ931" t="s">
        <v>74</v>
      </c>
      <c r="AR931" t="s">
        <v>17535</v>
      </c>
      <c r="AS931" t="s">
        <v>17536</v>
      </c>
      <c r="AT931" t="s">
        <v>74</v>
      </c>
      <c r="AU931">
        <v>2015</v>
      </c>
      <c r="AV931">
        <v>11</v>
      </c>
      <c r="AW931">
        <v>5</v>
      </c>
      <c r="AX931" t="s">
        <v>74</v>
      </c>
      <c r="AY931" t="s">
        <v>74</v>
      </c>
      <c r="AZ931" t="s">
        <v>74</v>
      </c>
      <c r="BA931" t="s">
        <v>74</v>
      </c>
      <c r="BB931">
        <v>803</v>
      </c>
      <c r="BC931">
        <v>827</v>
      </c>
      <c r="BD931" t="s">
        <v>74</v>
      </c>
      <c r="BE931" t="s">
        <v>17537</v>
      </c>
      <c r="BF931" t="str">
        <f>HYPERLINK("http://dx.doi.org/10.5194/os-11-803-2015","http://dx.doi.org/10.5194/os-11-803-2015")</f>
        <v>http://dx.doi.org/10.5194/os-11-803-2015</v>
      </c>
      <c r="BG931" t="s">
        <v>74</v>
      </c>
      <c r="BH931" t="s">
        <v>74</v>
      </c>
      <c r="BI931">
        <v>25</v>
      </c>
      <c r="BJ931" t="s">
        <v>3585</v>
      </c>
      <c r="BK931" t="s">
        <v>100</v>
      </c>
      <c r="BL931" t="s">
        <v>3585</v>
      </c>
      <c r="BM931" t="s">
        <v>17538</v>
      </c>
      <c r="BN931" t="s">
        <v>74</v>
      </c>
      <c r="BO931" t="s">
        <v>1490</v>
      </c>
      <c r="BP931" t="s">
        <v>74</v>
      </c>
      <c r="BQ931" t="s">
        <v>74</v>
      </c>
      <c r="BR931" t="s">
        <v>104</v>
      </c>
      <c r="BS931" t="s">
        <v>17539</v>
      </c>
      <c r="BT931" t="str">
        <f>HYPERLINK("https%3A%2F%2Fwww.webofscience.com%2Fwos%2Fwoscc%2Ffull-record%2FWOS:000364329800003","View Full Record in Web of Science")</f>
        <v>View Full Record in Web of Science</v>
      </c>
    </row>
    <row r="932" spans="1:72" x14ac:dyDescent="0.15">
      <c r="A932" t="s">
        <v>15490</v>
      </c>
      <c r="B932" t="s">
        <v>17540</v>
      </c>
      <c r="C932" t="s">
        <v>74</v>
      </c>
      <c r="D932" t="s">
        <v>17541</v>
      </c>
      <c r="E932" t="s">
        <v>74</v>
      </c>
      <c r="F932" t="s">
        <v>17542</v>
      </c>
      <c r="G932" t="s">
        <v>74</v>
      </c>
      <c r="H932" t="s">
        <v>74</v>
      </c>
      <c r="I932" t="s">
        <v>17543</v>
      </c>
      <c r="J932" t="s">
        <v>17544</v>
      </c>
      <c r="K932" t="s">
        <v>74</v>
      </c>
      <c r="L932" t="s">
        <v>74</v>
      </c>
      <c r="M932" t="s">
        <v>78</v>
      </c>
      <c r="N932" t="s">
        <v>15564</v>
      </c>
      <c r="O932" t="s">
        <v>74</v>
      </c>
      <c r="P932" t="s">
        <v>74</v>
      </c>
      <c r="Q932" t="s">
        <v>74</v>
      </c>
      <c r="R932" t="s">
        <v>74</v>
      </c>
      <c r="S932" t="s">
        <v>74</v>
      </c>
      <c r="T932" t="s">
        <v>74</v>
      </c>
      <c r="U932" t="s">
        <v>17545</v>
      </c>
      <c r="V932" t="s">
        <v>74</v>
      </c>
      <c r="W932" t="s">
        <v>17546</v>
      </c>
      <c r="X932" t="s">
        <v>17547</v>
      </c>
      <c r="Y932" t="s">
        <v>17548</v>
      </c>
      <c r="Z932" t="s">
        <v>74</v>
      </c>
      <c r="AA932" t="s">
        <v>17549</v>
      </c>
      <c r="AB932" t="s">
        <v>17550</v>
      </c>
      <c r="AC932" t="s">
        <v>74</v>
      </c>
      <c r="AD932" t="s">
        <v>74</v>
      </c>
      <c r="AE932" t="s">
        <v>74</v>
      </c>
      <c r="AF932" t="s">
        <v>74</v>
      </c>
      <c r="AG932">
        <v>69</v>
      </c>
      <c r="AH932">
        <v>9</v>
      </c>
      <c r="AI932">
        <v>10</v>
      </c>
      <c r="AJ932">
        <v>0</v>
      </c>
      <c r="AK932">
        <v>3</v>
      </c>
      <c r="AL932" t="s">
        <v>17551</v>
      </c>
      <c r="AM932" t="s">
        <v>92</v>
      </c>
      <c r="AN932" t="s">
        <v>7317</v>
      </c>
      <c r="AO932" t="s">
        <v>74</v>
      </c>
      <c r="AP932" t="s">
        <v>74</v>
      </c>
      <c r="AQ932" t="s">
        <v>17552</v>
      </c>
      <c r="AR932" t="s">
        <v>74</v>
      </c>
      <c r="AS932" t="s">
        <v>74</v>
      </c>
      <c r="AT932" t="s">
        <v>74</v>
      </c>
      <c r="AU932">
        <v>2015</v>
      </c>
      <c r="AV932" t="s">
        <v>74</v>
      </c>
      <c r="AW932" t="s">
        <v>74</v>
      </c>
      <c r="AX932" t="s">
        <v>74</v>
      </c>
      <c r="AY932" t="s">
        <v>74</v>
      </c>
      <c r="AZ932" t="s">
        <v>74</v>
      </c>
      <c r="BA932" t="s">
        <v>74</v>
      </c>
      <c r="BB932">
        <v>497</v>
      </c>
      <c r="BC932">
        <v>512</v>
      </c>
      <c r="BD932" t="s">
        <v>74</v>
      </c>
      <c r="BE932" t="s">
        <v>74</v>
      </c>
      <c r="BF932" t="s">
        <v>74</v>
      </c>
      <c r="BG932" t="s">
        <v>74</v>
      </c>
      <c r="BH932" t="s">
        <v>74</v>
      </c>
      <c r="BI932">
        <v>16</v>
      </c>
      <c r="BJ932" t="s">
        <v>17553</v>
      </c>
      <c r="BK932" t="s">
        <v>15510</v>
      </c>
      <c r="BL932" t="s">
        <v>586</v>
      </c>
      <c r="BM932" t="s">
        <v>17554</v>
      </c>
      <c r="BN932" t="s">
        <v>74</v>
      </c>
      <c r="BO932" t="s">
        <v>74</v>
      </c>
      <c r="BP932" t="s">
        <v>74</v>
      </c>
      <c r="BQ932" t="s">
        <v>74</v>
      </c>
      <c r="BR932" t="s">
        <v>104</v>
      </c>
      <c r="BS932" t="s">
        <v>17555</v>
      </c>
      <c r="BT932" t="str">
        <f>HYPERLINK("https%3A%2F%2Fwww.webofscience.com%2Fwos%2Fwoscc%2Ffull-record%2FWOS:000361809100022","View Full Record in Web of Science")</f>
        <v>View Full Record in Web of Science</v>
      </c>
    </row>
    <row r="933" spans="1:72" x14ac:dyDescent="0.15">
      <c r="A933" t="s">
        <v>15490</v>
      </c>
      <c r="B933" t="s">
        <v>17556</v>
      </c>
      <c r="C933" t="s">
        <v>17556</v>
      </c>
      <c r="D933" t="s">
        <v>74</v>
      </c>
      <c r="E933" t="s">
        <v>74</v>
      </c>
      <c r="F933" t="s">
        <v>17557</v>
      </c>
      <c r="G933" t="s">
        <v>17556</v>
      </c>
      <c r="H933" t="s">
        <v>74</v>
      </c>
      <c r="I933" t="s">
        <v>17558</v>
      </c>
      <c r="J933" t="s">
        <v>17559</v>
      </c>
      <c r="K933" t="s">
        <v>74</v>
      </c>
      <c r="L933" t="s">
        <v>74</v>
      </c>
      <c r="M933" t="s">
        <v>78</v>
      </c>
      <c r="N933" t="s">
        <v>15564</v>
      </c>
      <c r="O933" t="s">
        <v>74</v>
      </c>
      <c r="P933" t="s">
        <v>74</v>
      </c>
      <c r="Q933" t="s">
        <v>74</v>
      </c>
      <c r="R933" t="s">
        <v>74</v>
      </c>
      <c r="S933" t="s">
        <v>74</v>
      </c>
      <c r="T933" t="s">
        <v>74</v>
      </c>
      <c r="U933" t="s">
        <v>17560</v>
      </c>
      <c r="V933" t="s">
        <v>74</v>
      </c>
      <c r="W933" t="s">
        <v>17561</v>
      </c>
      <c r="X933" t="s">
        <v>17562</v>
      </c>
      <c r="Y933" t="s">
        <v>17563</v>
      </c>
      <c r="Z933" t="s">
        <v>74</v>
      </c>
      <c r="AA933" t="s">
        <v>74</v>
      </c>
      <c r="AB933" t="s">
        <v>74</v>
      </c>
      <c r="AC933" t="s">
        <v>74</v>
      </c>
      <c r="AD933" t="s">
        <v>74</v>
      </c>
      <c r="AE933" t="s">
        <v>74</v>
      </c>
      <c r="AF933" t="s">
        <v>74</v>
      </c>
      <c r="AG933">
        <v>123</v>
      </c>
      <c r="AH933">
        <v>17</v>
      </c>
      <c r="AI933">
        <v>18</v>
      </c>
      <c r="AJ933">
        <v>1</v>
      </c>
      <c r="AK933">
        <v>21</v>
      </c>
      <c r="AL933" t="s">
        <v>17551</v>
      </c>
      <c r="AM933" t="s">
        <v>92</v>
      </c>
      <c r="AN933" t="s">
        <v>7317</v>
      </c>
      <c r="AO933" t="s">
        <v>74</v>
      </c>
      <c r="AP933" t="s">
        <v>74</v>
      </c>
      <c r="AQ933" t="s">
        <v>17564</v>
      </c>
      <c r="AR933" t="s">
        <v>74</v>
      </c>
      <c r="AS933" t="s">
        <v>74</v>
      </c>
      <c r="AT933" t="s">
        <v>74</v>
      </c>
      <c r="AU933">
        <v>2015</v>
      </c>
      <c r="AV933" t="s">
        <v>74</v>
      </c>
      <c r="AW933" t="s">
        <v>74</v>
      </c>
      <c r="AX933" t="s">
        <v>74</v>
      </c>
      <c r="AY933" t="s">
        <v>74</v>
      </c>
      <c r="AZ933" t="s">
        <v>74</v>
      </c>
      <c r="BA933" t="s">
        <v>74</v>
      </c>
      <c r="BB933">
        <v>295</v>
      </c>
      <c r="BC933">
        <v>318</v>
      </c>
      <c r="BD933" t="s">
        <v>74</v>
      </c>
      <c r="BE933" t="s">
        <v>74</v>
      </c>
      <c r="BF933" t="s">
        <v>74</v>
      </c>
      <c r="BG933" t="s">
        <v>17565</v>
      </c>
      <c r="BH933" t="s">
        <v>74</v>
      </c>
      <c r="BI933">
        <v>24</v>
      </c>
      <c r="BJ933" t="s">
        <v>17566</v>
      </c>
      <c r="BK933" t="s">
        <v>15510</v>
      </c>
      <c r="BL933" t="s">
        <v>5011</v>
      </c>
      <c r="BM933" t="s">
        <v>17567</v>
      </c>
      <c r="BN933" t="s">
        <v>74</v>
      </c>
      <c r="BO933" t="s">
        <v>74</v>
      </c>
      <c r="BP933" t="s">
        <v>74</v>
      </c>
      <c r="BQ933" t="s">
        <v>74</v>
      </c>
      <c r="BR933" t="s">
        <v>104</v>
      </c>
      <c r="BS933" t="s">
        <v>17568</v>
      </c>
      <c r="BT933" t="str">
        <f>HYPERLINK("https%3A%2F%2Fwww.webofscience.com%2Fwos%2Fwoscc%2Ffull-record%2FWOS:000361816800011","View Full Record in Web of Science")</f>
        <v>View Full Record in Web of Science</v>
      </c>
    </row>
    <row r="934" spans="1:72" x14ac:dyDescent="0.15">
      <c r="A934" t="s">
        <v>15978</v>
      </c>
      <c r="B934" t="s">
        <v>17569</v>
      </c>
      <c r="C934" t="s">
        <v>74</v>
      </c>
      <c r="D934" t="s">
        <v>17570</v>
      </c>
      <c r="E934" t="s">
        <v>74</v>
      </c>
      <c r="F934" t="s">
        <v>17571</v>
      </c>
      <c r="G934" t="s">
        <v>74</v>
      </c>
      <c r="H934" t="s">
        <v>74</v>
      </c>
      <c r="I934" t="s">
        <v>17572</v>
      </c>
      <c r="J934" t="s">
        <v>17573</v>
      </c>
      <c r="K934" t="s">
        <v>17574</v>
      </c>
      <c r="L934" t="s">
        <v>74</v>
      </c>
      <c r="M934" t="s">
        <v>78</v>
      </c>
      <c r="N934" t="s">
        <v>17575</v>
      </c>
      <c r="O934" t="s">
        <v>74</v>
      </c>
      <c r="P934" t="s">
        <v>74</v>
      </c>
      <c r="Q934" t="s">
        <v>74</v>
      </c>
      <c r="R934" t="s">
        <v>74</v>
      </c>
      <c r="S934" t="s">
        <v>74</v>
      </c>
      <c r="T934" t="s">
        <v>74</v>
      </c>
      <c r="U934" t="s">
        <v>17576</v>
      </c>
      <c r="V934" t="s">
        <v>17577</v>
      </c>
      <c r="W934" t="s">
        <v>17578</v>
      </c>
      <c r="X934" t="s">
        <v>17579</v>
      </c>
      <c r="Y934" t="s">
        <v>17580</v>
      </c>
      <c r="Z934" t="s">
        <v>17581</v>
      </c>
      <c r="AA934" t="s">
        <v>17582</v>
      </c>
      <c r="AB934" t="s">
        <v>17583</v>
      </c>
      <c r="AC934" t="s">
        <v>74</v>
      </c>
      <c r="AD934" t="s">
        <v>74</v>
      </c>
      <c r="AE934" t="s">
        <v>74</v>
      </c>
      <c r="AF934" t="s">
        <v>74</v>
      </c>
      <c r="AG934">
        <v>619</v>
      </c>
      <c r="AH934">
        <v>14</v>
      </c>
      <c r="AI934">
        <v>15</v>
      </c>
      <c r="AJ934">
        <v>1</v>
      </c>
      <c r="AK934">
        <v>50</v>
      </c>
      <c r="AL934" t="s">
        <v>17584</v>
      </c>
      <c r="AM934" t="s">
        <v>240</v>
      </c>
      <c r="AN934" t="s">
        <v>17585</v>
      </c>
      <c r="AO934" t="s">
        <v>17586</v>
      </c>
      <c r="AP934" t="s">
        <v>17587</v>
      </c>
      <c r="AQ934" t="s">
        <v>17588</v>
      </c>
      <c r="AR934" t="s">
        <v>17589</v>
      </c>
      <c r="AS934" t="s">
        <v>17590</v>
      </c>
      <c r="AT934" t="s">
        <v>74</v>
      </c>
      <c r="AU934">
        <v>2015</v>
      </c>
      <c r="AV934">
        <v>70</v>
      </c>
      <c r="AW934" t="s">
        <v>74</v>
      </c>
      <c r="AX934" t="s">
        <v>74</v>
      </c>
      <c r="AY934" t="s">
        <v>74</v>
      </c>
      <c r="AZ934" t="s">
        <v>74</v>
      </c>
      <c r="BA934" t="s">
        <v>74</v>
      </c>
      <c r="BB934">
        <v>1</v>
      </c>
      <c r="BC934">
        <v>286</v>
      </c>
      <c r="BD934" t="s">
        <v>74</v>
      </c>
      <c r="BE934" t="s">
        <v>17591</v>
      </c>
      <c r="BF934" t="str">
        <f>HYPERLINK("http://dx.doi.org/10.1016/bs.amb.2015.06.001","http://dx.doi.org/10.1016/bs.amb.2015.06.001")</f>
        <v>http://dx.doi.org/10.1016/bs.amb.2015.06.001</v>
      </c>
      <c r="BG934" t="s">
        <v>74</v>
      </c>
      <c r="BH934" t="s">
        <v>74</v>
      </c>
      <c r="BI934">
        <v>286</v>
      </c>
      <c r="BJ934" t="s">
        <v>2667</v>
      </c>
      <c r="BK934" t="s">
        <v>17592</v>
      </c>
      <c r="BL934" t="s">
        <v>2667</v>
      </c>
      <c r="BM934" t="s">
        <v>17593</v>
      </c>
      <c r="BN934">
        <v>26296718</v>
      </c>
      <c r="BO934" t="s">
        <v>74</v>
      </c>
      <c r="BP934" t="s">
        <v>74</v>
      </c>
      <c r="BQ934" t="s">
        <v>74</v>
      </c>
      <c r="BR934" t="s">
        <v>104</v>
      </c>
      <c r="BS934" t="s">
        <v>17594</v>
      </c>
      <c r="BT934" t="str">
        <f>HYPERLINK("https%3A%2F%2Fwww.webofscience.com%2Fwos%2Fwoscc%2Ffull-record%2FWOS:000363312800001","View Full Record in Web of Science")</f>
        <v>View Full Record in Web of Science</v>
      </c>
    </row>
    <row r="935" spans="1:72" x14ac:dyDescent="0.15">
      <c r="A935" t="s">
        <v>72</v>
      </c>
      <c r="B935" t="s">
        <v>17595</v>
      </c>
      <c r="C935" t="s">
        <v>74</v>
      </c>
      <c r="D935" t="s">
        <v>74</v>
      </c>
      <c r="E935" t="s">
        <v>74</v>
      </c>
      <c r="F935" t="s">
        <v>17596</v>
      </c>
      <c r="G935" t="s">
        <v>74</v>
      </c>
      <c r="H935" t="s">
        <v>74</v>
      </c>
      <c r="I935" t="s">
        <v>17597</v>
      </c>
      <c r="J935" t="s">
        <v>17598</v>
      </c>
      <c r="K935" t="s">
        <v>74</v>
      </c>
      <c r="L935" t="s">
        <v>74</v>
      </c>
      <c r="M935" t="s">
        <v>78</v>
      </c>
      <c r="N935" t="s">
        <v>1291</v>
      </c>
      <c r="O935" t="s">
        <v>74</v>
      </c>
      <c r="P935" t="s">
        <v>74</v>
      </c>
      <c r="Q935" t="s">
        <v>74</v>
      </c>
      <c r="R935" t="s">
        <v>74</v>
      </c>
      <c r="S935" t="s">
        <v>74</v>
      </c>
      <c r="T935" t="s">
        <v>17599</v>
      </c>
      <c r="U935" t="s">
        <v>17600</v>
      </c>
      <c r="V935" t="s">
        <v>17601</v>
      </c>
      <c r="W935" t="s">
        <v>17602</v>
      </c>
      <c r="X935" t="s">
        <v>17603</v>
      </c>
      <c r="Y935" t="s">
        <v>17604</v>
      </c>
      <c r="Z935" t="s">
        <v>17605</v>
      </c>
      <c r="AA935" t="s">
        <v>17606</v>
      </c>
      <c r="AB935" t="s">
        <v>17607</v>
      </c>
      <c r="AC935" t="s">
        <v>17608</v>
      </c>
      <c r="AD935" t="s">
        <v>17608</v>
      </c>
      <c r="AE935" t="s">
        <v>17609</v>
      </c>
      <c r="AF935" t="s">
        <v>74</v>
      </c>
      <c r="AG935">
        <v>90</v>
      </c>
      <c r="AH935">
        <v>14</v>
      </c>
      <c r="AI935">
        <v>14</v>
      </c>
      <c r="AJ935">
        <v>2</v>
      </c>
      <c r="AK935">
        <v>25</v>
      </c>
      <c r="AL935" t="s">
        <v>2275</v>
      </c>
      <c r="AM935" t="s">
        <v>2276</v>
      </c>
      <c r="AN935" t="s">
        <v>2277</v>
      </c>
      <c r="AO935" t="s">
        <v>17610</v>
      </c>
      <c r="AP935" t="s">
        <v>17611</v>
      </c>
      <c r="AQ935" t="s">
        <v>74</v>
      </c>
      <c r="AR935" t="s">
        <v>17612</v>
      </c>
      <c r="AS935" t="s">
        <v>17613</v>
      </c>
      <c r="AT935" t="s">
        <v>74</v>
      </c>
      <c r="AU935">
        <v>2015</v>
      </c>
      <c r="AV935">
        <v>37</v>
      </c>
      <c r="AW935">
        <v>3</v>
      </c>
      <c r="AX935" t="s">
        <v>74</v>
      </c>
      <c r="AY935" t="s">
        <v>74</v>
      </c>
      <c r="AZ935" t="s">
        <v>74</v>
      </c>
      <c r="BA935" t="s">
        <v>74</v>
      </c>
      <c r="BB935">
        <v>285</v>
      </c>
      <c r="BC935">
        <v>311</v>
      </c>
      <c r="BD935" t="s">
        <v>74</v>
      </c>
      <c r="BE935" t="s">
        <v>17614</v>
      </c>
      <c r="BF935" t="str">
        <f>HYPERLINK("http://dx.doi.org/10.2989/1814232X.2015.1070201","http://dx.doi.org/10.2989/1814232X.2015.1070201")</f>
        <v>http://dx.doi.org/10.2989/1814232X.2015.1070201</v>
      </c>
      <c r="BG935" t="s">
        <v>74</v>
      </c>
      <c r="BH935" t="s">
        <v>74</v>
      </c>
      <c r="BI935">
        <v>27</v>
      </c>
      <c r="BJ935" t="s">
        <v>2667</v>
      </c>
      <c r="BK935" t="s">
        <v>100</v>
      </c>
      <c r="BL935" t="s">
        <v>2667</v>
      </c>
      <c r="BM935" t="s">
        <v>17615</v>
      </c>
      <c r="BN935" t="s">
        <v>74</v>
      </c>
      <c r="BO935" t="s">
        <v>248</v>
      </c>
      <c r="BP935" t="s">
        <v>74</v>
      </c>
      <c r="BQ935" t="s">
        <v>74</v>
      </c>
      <c r="BR935" t="s">
        <v>104</v>
      </c>
      <c r="BS935" t="s">
        <v>17616</v>
      </c>
      <c r="BT935" t="str">
        <f>HYPERLINK("https%3A%2F%2Fwww.webofscience.com%2Fwos%2Fwoscc%2Ffull-record%2FWOS:000363342200001","View Full Record in Web of Science")</f>
        <v>View Full Record in Web of Science</v>
      </c>
    </row>
    <row r="936" spans="1:72" x14ac:dyDescent="0.15">
      <c r="A936" t="s">
        <v>72</v>
      </c>
      <c r="B936" t="s">
        <v>17617</v>
      </c>
      <c r="C936" t="s">
        <v>74</v>
      </c>
      <c r="D936" t="s">
        <v>74</v>
      </c>
      <c r="E936" t="s">
        <v>74</v>
      </c>
      <c r="F936" t="s">
        <v>17618</v>
      </c>
      <c r="G936" t="s">
        <v>74</v>
      </c>
      <c r="H936" t="s">
        <v>74</v>
      </c>
      <c r="I936" t="s">
        <v>17619</v>
      </c>
      <c r="J936" t="s">
        <v>17620</v>
      </c>
      <c r="K936" t="s">
        <v>74</v>
      </c>
      <c r="L936" t="s">
        <v>74</v>
      </c>
      <c r="M936" t="s">
        <v>78</v>
      </c>
      <c r="N936" t="s">
        <v>79</v>
      </c>
      <c r="O936" t="s">
        <v>74</v>
      </c>
      <c r="P936" t="s">
        <v>74</v>
      </c>
      <c r="Q936" t="s">
        <v>74</v>
      </c>
      <c r="R936" t="s">
        <v>74</v>
      </c>
      <c r="S936" t="s">
        <v>74</v>
      </c>
      <c r="T936" t="s">
        <v>17621</v>
      </c>
      <c r="U936" t="s">
        <v>17622</v>
      </c>
      <c r="V936" t="s">
        <v>17623</v>
      </c>
      <c r="W936" t="s">
        <v>17624</v>
      </c>
      <c r="X936" t="s">
        <v>4090</v>
      </c>
      <c r="Y936" t="s">
        <v>17625</v>
      </c>
      <c r="Z936" t="s">
        <v>17626</v>
      </c>
      <c r="AA936" t="s">
        <v>74</v>
      </c>
      <c r="AB936" t="s">
        <v>17627</v>
      </c>
      <c r="AC936" t="s">
        <v>17628</v>
      </c>
      <c r="AD936" t="s">
        <v>17629</v>
      </c>
      <c r="AE936" t="s">
        <v>17630</v>
      </c>
      <c r="AF936" t="s">
        <v>74</v>
      </c>
      <c r="AG936">
        <v>69</v>
      </c>
      <c r="AH936">
        <v>241</v>
      </c>
      <c r="AI936">
        <v>267</v>
      </c>
      <c r="AJ936">
        <v>3</v>
      </c>
      <c r="AK936">
        <v>64</v>
      </c>
      <c r="AL936" t="s">
        <v>2167</v>
      </c>
      <c r="AM936" t="s">
        <v>2168</v>
      </c>
      <c r="AN936" t="s">
        <v>2169</v>
      </c>
      <c r="AO936" t="s">
        <v>17631</v>
      </c>
      <c r="AP936" t="s">
        <v>17632</v>
      </c>
      <c r="AQ936" t="s">
        <v>74</v>
      </c>
      <c r="AR936" t="s">
        <v>17633</v>
      </c>
      <c r="AS936" t="s">
        <v>17634</v>
      </c>
      <c r="AT936" t="s">
        <v>74</v>
      </c>
      <c r="AU936">
        <v>2015</v>
      </c>
      <c r="AV936">
        <v>56</v>
      </c>
      <c r="AW936">
        <v>69</v>
      </c>
      <c r="AX936">
        <v>1</v>
      </c>
      <c r="AY936" t="s">
        <v>74</v>
      </c>
      <c r="AZ936" t="s">
        <v>74</v>
      </c>
      <c r="BA936" t="s">
        <v>74</v>
      </c>
      <c r="BB936">
        <v>18</v>
      </c>
      <c r="BC936">
        <v>28</v>
      </c>
      <c r="BD936" t="s">
        <v>74</v>
      </c>
      <c r="BE936" t="s">
        <v>17635</v>
      </c>
      <c r="BF936" t="str">
        <f>HYPERLINK("http://dx.doi.org/10.3189/2015AoG69A909","http://dx.doi.org/10.3189/2015AoG69A909")</f>
        <v>http://dx.doi.org/10.3189/2015AoG69A909</v>
      </c>
      <c r="BG936" t="s">
        <v>74</v>
      </c>
      <c r="BH936" t="s">
        <v>74</v>
      </c>
      <c r="BI936">
        <v>11</v>
      </c>
      <c r="BJ936" t="s">
        <v>795</v>
      </c>
      <c r="BK936" t="s">
        <v>100</v>
      </c>
      <c r="BL936" t="s">
        <v>796</v>
      </c>
      <c r="BM936" t="s">
        <v>17636</v>
      </c>
      <c r="BN936" t="s">
        <v>74</v>
      </c>
      <c r="BO936" t="s">
        <v>2201</v>
      </c>
      <c r="BP936" t="s">
        <v>4339</v>
      </c>
      <c r="BQ936" t="s">
        <v>4340</v>
      </c>
      <c r="BR936" t="s">
        <v>104</v>
      </c>
      <c r="BS936" t="s">
        <v>17637</v>
      </c>
      <c r="BT936" t="str">
        <f>HYPERLINK("https%3A%2F%2Fwww.webofscience.com%2Fwos%2Fwoscc%2Ffull-record%2FWOS:000363082900004","View Full Record in Web of Science")</f>
        <v>View Full Record in Web of Science</v>
      </c>
    </row>
    <row r="937" spans="1:72" x14ac:dyDescent="0.15">
      <c r="A937" t="s">
        <v>72</v>
      </c>
      <c r="B937" t="s">
        <v>17638</v>
      </c>
      <c r="C937" t="s">
        <v>74</v>
      </c>
      <c r="D937" t="s">
        <v>74</v>
      </c>
      <c r="E937" t="s">
        <v>74</v>
      </c>
      <c r="F937" t="s">
        <v>17639</v>
      </c>
      <c r="G937" t="s">
        <v>74</v>
      </c>
      <c r="H937" t="s">
        <v>74</v>
      </c>
      <c r="I937" t="s">
        <v>17640</v>
      </c>
      <c r="J937" t="s">
        <v>17620</v>
      </c>
      <c r="K937" t="s">
        <v>74</v>
      </c>
      <c r="L937" t="s">
        <v>74</v>
      </c>
      <c r="M937" t="s">
        <v>78</v>
      </c>
      <c r="N937" t="s">
        <v>79</v>
      </c>
      <c r="O937" t="s">
        <v>74</v>
      </c>
      <c r="P937" t="s">
        <v>74</v>
      </c>
      <c r="Q937" t="s">
        <v>74</v>
      </c>
      <c r="R937" t="s">
        <v>74</v>
      </c>
      <c r="S937" t="s">
        <v>74</v>
      </c>
      <c r="T937" t="s">
        <v>17641</v>
      </c>
      <c r="U937" t="s">
        <v>17642</v>
      </c>
      <c r="V937" t="s">
        <v>17643</v>
      </c>
      <c r="W937" t="s">
        <v>17644</v>
      </c>
      <c r="X937" t="s">
        <v>17645</v>
      </c>
      <c r="Y937" t="s">
        <v>17646</v>
      </c>
      <c r="Z937" t="s">
        <v>17647</v>
      </c>
      <c r="AA937" t="s">
        <v>17648</v>
      </c>
      <c r="AB937" t="s">
        <v>17649</v>
      </c>
      <c r="AC937" t="s">
        <v>17650</v>
      </c>
      <c r="AD937" t="s">
        <v>17651</v>
      </c>
      <c r="AE937" t="s">
        <v>17652</v>
      </c>
      <c r="AF937" t="s">
        <v>74</v>
      </c>
      <c r="AG937">
        <v>41</v>
      </c>
      <c r="AH937">
        <v>23</v>
      </c>
      <c r="AI937">
        <v>27</v>
      </c>
      <c r="AJ937">
        <v>3</v>
      </c>
      <c r="AK937">
        <v>19</v>
      </c>
      <c r="AL937" t="s">
        <v>2167</v>
      </c>
      <c r="AM937" t="s">
        <v>2168</v>
      </c>
      <c r="AN937" t="s">
        <v>2169</v>
      </c>
      <c r="AO937" t="s">
        <v>17631</v>
      </c>
      <c r="AP937" t="s">
        <v>17632</v>
      </c>
      <c r="AQ937" t="s">
        <v>74</v>
      </c>
      <c r="AR937" t="s">
        <v>17633</v>
      </c>
      <c r="AS937" t="s">
        <v>17634</v>
      </c>
      <c r="AT937" t="s">
        <v>74</v>
      </c>
      <c r="AU937">
        <v>2015</v>
      </c>
      <c r="AV937">
        <v>56</v>
      </c>
      <c r="AW937">
        <v>69</v>
      </c>
      <c r="AX937">
        <v>1</v>
      </c>
      <c r="AY937" t="s">
        <v>74</v>
      </c>
      <c r="AZ937" t="s">
        <v>74</v>
      </c>
      <c r="BA937" t="s">
        <v>74</v>
      </c>
      <c r="BB937">
        <v>38</v>
      </c>
      <c r="BC937">
        <v>44</v>
      </c>
      <c r="BD937" t="s">
        <v>74</v>
      </c>
      <c r="BE937" t="s">
        <v>17653</v>
      </c>
      <c r="BF937" t="str">
        <f>HYPERLINK("http://dx.doi.org/10.3189/2015AoG69A740","http://dx.doi.org/10.3189/2015AoG69A740")</f>
        <v>http://dx.doi.org/10.3189/2015AoG69A740</v>
      </c>
      <c r="BG937" t="s">
        <v>74</v>
      </c>
      <c r="BH937" t="s">
        <v>74</v>
      </c>
      <c r="BI937">
        <v>7</v>
      </c>
      <c r="BJ937" t="s">
        <v>795</v>
      </c>
      <c r="BK937" t="s">
        <v>100</v>
      </c>
      <c r="BL937" t="s">
        <v>796</v>
      </c>
      <c r="BM937" t="s">
        <v>17636</v>
      </c>
      <c r="BN937" t="s">
        <v>74</v>
      </c>
      <c r="BO937" t="s">
        <v>3228</v>
      </c>
      <c r="BP937" t="s">
        <v>74</v>
      </c>
      <c r="BQ937" t="s">
        <v>74</v>
      </c>
      <c r="BR937" t="s">
        <v>104</v>
      </c>
      <c r="BS937" t="s">
        <v>17654</v>
      </c>
      <c r="BT937" t="str">
        <f>HYPERLINK("https%3A%2F%2Fwww.webofscience.com%2Fwos%2Fwoscc%2Ffull-record%2FWOS:000363082900006","View Full Record in Web of Science")</f>
        <v>View Full Record in Web of Science</v>
      </c>
    </row>
    <row r="938" spans="1:72" x14ac:dyDescent="0.15">
      <c r="A938" t="s">
        <v>72</v>
      </c>
      <c r="B938" t="s">
        <v>17655</v>
      </c>
      <c r="C938" t="s">
        <v>74</v>
      </c>
      <c r="D938" t="s">
        <v>74</v>
      </c>
      <c r="E938" t="s">
        <v>74</v>
      </c>
      <c r="F938" t="s">
        <v>17656</v>
      </c>
      <c r="G938" t="s">
        <v>74</v>
      </c>
      <c r="H938" t="s">
        <v>74</v>
      </c>
      <c r="I938" t="s">
        <v>17657</v>
      </c>
      <c r="J938" t="s">
        <v>17620</v>
      </c>
      <c r="K938" t="s">
        <v>74</v>
      </c>
      <c r="L938" t="s">
        <v>74</v>
      </c>
      <c r="M938" t="s">
        <v>78</v>
      </c>
      <c r="N938" t="s">
        <v>79</v>
      </c>
      <c r="O938" t="s">
        <v>74</v>
      </c>
      <c r="P938" t="s">
        <v>74</v>
      </c>
      <c r="Q938" t="s">
        <v>74</v>
      </c>
      <c r="R938" t="s">
        <v>74</v>
      </c>
      <c r="S938" t="s">
        <v>74</v>
      </c>
      <c r="T938" t="s">
        <v>17658</v>
      </c>
      <c r="U938" t="s">
        <v>17659</v>
      </c>
      <c r="V938" t="s">
        <v>17660</v>
      </c>
      <c r="W938" t="s">
        <v>17661</v>
      </c>
      <c r="X938" t="s">
        <v>17662</v>
      </c>
      <c r="Y938" t="s">
        <v>17663</v>
      </c>
      <c r="Z938" t="s">
        <v>17664</v>
      </c>
      <c r="AA938" t="s">
        <v>12467</v>
      </c>
      <c r="AB938" t="s">
        <v>17665</v>
      </c>
      <c r="AC938" t="s">
        <v>17666</v>
      </c>
      <c r="AD938" t="s">
        <v>17667</v>
      </c>
      <c r="AE938" t="s">
        <v>17668</v>
      </c>
      <c r="AF938" t="s">
        <v>74</v>
      </c>
      <c r="AG938">
        <v>15</v>
      </c>
      <c r="AH938">
        <v>11</v>
      </c>
      <c r="AI938">
        <v>14</v>
      </c>
      <c r="AJ938">
        <v>0</v>
      </c>
      <c r="AK938">
        <v>20</v>
      </c>
      <c r="AL938" t="s">
        <v>16329</v>
      </c>
      <c r="AM938" t="s">
        <v>2168</v>
      </c>
      <c r="AN938" t="s">
        <v>16330</v>
      </c>
      <c r="AO938" t="s">
        <v>17631</v>
      </c>
      <c r="AP938" t="s">
        <v>17632</v>
      </c>
      <c r="AQ938" t="s">
        <v>74</v>
      </c>
      <c r="AR938" t="s">
        <v>17633</v>
      </c>
      <c r="AS938" t="s">
        <v>17634</v>
      </c>
      <c r="AT938" t="s">
        <v>74</v>
      </c>
      <c r="AU938">
        <v>2015</v>
      </c>
      <c r="AV938">
        <v>56</v>
      </c>
      <c r="AW938">
        <v>69</v>
      </c>
      <c r="AX938">
        <v>1</v>
      </c>
      <c r="AY938" t="s">
        <v>74</v>
      </c>
      <c r="AZ938" t="s">
        <v>74</v>
      </c>
      <c r="BA938" t="s">
        <v>74</v>
      </c>
      <c r="BB938">
        <v>45</v>
      </c>
      <c r="BC938">
        <v>52</v>
      </c>
      <c r="BD938" t="s">
        <v>74</v>
      </c>
      <c r="BE938" t="s">
        <v>17669</v>
      </c>
      <c r="BF938" t="str">
        <f>HYPERLINK("http://dx.doi.org/10.3189/2015AoG69A588","http://dx.doi.org/10.3189/2015AoG69A588")</f>
        <v>http://dx.doi.org/10.3189/2015AoG69A588</v>
      </c>
      <c r="BG938" t="s">
        <v>74</v>
      </c>
      <c r="BH938" t="s">
        <v>74</v>
      </c>
      <c r="BI938">
        <v>8</v>
      </c>
      <c r="BJ938" t="s">
        <v>795</v>
      </c>
      <c r="BK938" t="s">
        <v>100</v>
      </c>
      <c r="BL938" t="s">
        <v>796</v>
      </c>
      <c r="BM938" t="s">
        <v>17636</v>
      </c>
      <c r="BN938" t="s">
        <v>74</v>
      </c>
      <c r="BO938" t="s">
        <v>2201</v>
      </c>
      <c r="BP938" t="s">
        <v>74</v>
      </c>
      <c r="BQ938" t="s">
        <v>74</v>
      </c>
      <c r="BR938" t="s">
        <v>104</v>
      </c>
      <c r="BS938" t="s">
        <v>17670</v>
      </c>
      <c r="BT938" t="str">
        <f>HYPERLINK("https%3A%2F%2Fwww.webofscience.com%2Fwos%2Fwoscc%2Ffull-record%2FWOS:000363082900007","View Full Record in Web of Science")</f>
        <v>View Full Record in Web of Science</v>
      </c>
    </row>
    <row r="939" spans="1:72" x14ac:dyDescent="0.15">
      <c r="A939" t="s">
        <v>72</v>
      </c>
      <c r="B939" t="s">
        <v>17671</v>
      </c>
      <c r="C939" t="s">
        <v>74</v>
      </c>
      <c r="D939" t="s">
        <v>74</v>
      </c>
      <c r="E939" t="s">
        <v>74</v>
      </c>
      <c r="F939" t="s">
        <v>17672</v>
      </c>
      <c r="G939" t="s">
        <v>74</v>
      </c>
      <c r="H939" t="s">
        <v>74</v>
      </c>
      <c r="I939" t="s">
        <v>17673</v>
      </c>
      <c r="J939" t="s">
        <v>17620</v>
      </c>
      <c r="K939" t="s">
        <v>74</v>
      </c>
      <c r="L939" t="s">
        <v>74</v>
      </c>
      <c r="M939" t="s">
        <v>78</v>
      </c>
      <c r="N939" t="s">
        <v>79</v>
      </c>
      <c r="O939" t="s">
        <v>74</v>
      </c>
      <c r="P939" t="s">
        <v>74</v>
      </c>
      <c r="Q939" t="s">
        <v>74</v>
      </c>
      <c r="R939" t="s">
        <v>74</v>
      </c>
      <c r="S939" t="s">
        <v>74</v>
      </c>
      <c r="T939" t="s">
        <v>17674</v>
      </c>
      <c r="U939" t="s">
        <v>17675</v>
      </c>
      <c r="V939" t="s">
        <v>17676</v>
      </c>
      <c r="W939" t="s">
        <v>17677</v>
      </c>
      <c r="X939" t="s">
        <v>17678</v>
      </c>
      <c r="Y939" t="s">
        <v>17679</v>
      </c>
      <c r="Z939" t="s">
        <v>17680</v>
      </c>
      <c r="AA939" t="s">
        <v>74</v>
      </c>
      <c r="AB939" t="s">
        <v>74</v>
      </c>
      <c r="AC939" t="s">
        <v>17681</v>
      </c>
      <c r="AD939" t="s">
        <v>17682</v>
      </c>
      <c r="AE939" t="s">
        <v>17683</v>
      </c>
      <c r="AF939" t="s">
        <v>74</v>
      </c>
      <c r="AG939">
        <v>47</v>
      </c>
      <c r="AH939">
        <v>28</v>
      </c>
      <c r="AI939">
        <v>32</v>
      </c>
      <c r="AJ939">
        <v>0</v>
      </c>
      <c r="AK939">
        <v>23</v>
      </c>
      <c r="AL939" t="s">
        <v>2167</v>
      </c>
      <c r="AM939" t="s">
        <v>2168</v>
      </c>
      <c r="AN939" t="s">
        <v>2169</v>
      </c>
      <c r="AO939" t="s">
        <v>17631</v>
      </c>
      <c r="AP939" t="s">
        <v>17632</v>
      </c>
      <c r="AQ939" t="s">
        <v>74</v>
      </c>
      <c r="AR939" t="s">
        <v>17633</v>
      </c>
      <c r="AS939" t="s">
        <v>17634</v>
      </c>
      <c r="AT939" t="s">
        <v>74</v>
      </c>
      <c r="AU939">
        <v>2015</v>
      </c>
      <c r="AV939">
        <v>56</v>
      </c>
      <c r="AW939">
        <v>69</v>
      </c>
      <c r="AX939">
        <v>1</v>
      </c>
      <c r="AY939" t="s">
        <v>74</v>
      </c>
      <c r="AZ939" t="s">
        <v>74</v>
      </c>
      <c r="BA939" t="s">
        <v>74</v>
      </c>
      <c r="BB939">
        <v>53</v>
      </c>
      <c r="BC939">
        <v>64</v>
      </c>
      <c r="BD939" t="s">
        <v>74</v>
      </c>
      <c r="BE939" t="s">
        <v>17684</v>
      </c>
      <c r="BF939" t="str">
        <f>HYPERLINK("http://dx.doi.org/10.3189/2015AoG69A574","http://dx.doi.org/10.3189/2015AoG69A574")</f>
        <v>http://dx.doi.org/10.3189/2015AoG69A574</v>
      </c>
      <c r="BG939" t="s">
        <v>74</v>
      </c>
      <c r="BH939" t="s">
        <v>74</v>
      </c>
      <c r="BI939">
        <v>12</v>
      </c>
      <c r="BJ939" t="s">
        <v>795</v>
      </c>
      <c r="BK939" t="s">
        <v>100</v>
      </c>
      <c r="BL939" t="s">
        <v>796</v>
      </c>
      <c r="BM939" t="s">
        <v>17636</v>
      </c>
      <c r="BN939" t="s">
        <v>74</v>
      </c>
      <c r="BO939" t="s">
        <v>156</v>
      </c>
      <c r="BP939" t="s">
        <v>74</v>
      </c>
      <c r="BQ939" t="s">
        <v>74</v>
      </c>
      <c r="BR939" t="s">
        <v>104</v>
      </c>
      <c r="BS939" t="s">
        <v>17685</v>
      </c>
      <c r="BT939" t="str">
        <f>HYPERLINK("https%3A%2F%2Fwww.webofscience.com%2Fwos%2Fwoscc%2Ffull-record%2FWOS:000363082900008","View Full Record in Web of Science")</f>
        <v>View Full Record in Web of Science</v>
      </c>
    </row>
    <row r="940" spans="1:72" x14ac:dyDescent="0.15">
      <c r="A940" t="s">
        <v>72</v>
      </c>
      <c r="B940" t="s">
        <v>17686</v>
      </c>
      <c r="C940" t="s">
        <v>74</v>
      </c>
      <c r="D940" t="s">
        <v>74</v>
      </c>
      <c r="E940" t="s">
        <v>74</v>
      </c>
      <c r="F940" t="s">
        <v>17687</v>
      </c>
      <c r="G940" t="s">
        <v>74</v>
      </c>
      <c r="H940" t="s">
        <v>74</v>
      </c>
      <c r="I940" t="s">
        <v>17688</v>
      </c>
      <c r="J940" t="s">
        <v>17620</v>
      </c>
      <c r="K940" t="s">
        <v>74</v>
      </c>
      <c r="L940" t="s">
        <v>74</v>
      </c>
      <c r="M940" t="s">
        <v>78</v>
      </c>
      <c r="N940" t="s">
        <v>79</v>
      </c>
      <c r="O940" t="s">
        <v>74</v>
      </c>
      <c r="P940" t="s">
        <v>74</v>
      </c>
      <c r="Q940" t="s">
        <v>74</v>
      </c>
      <c r="R940" t="s">
        <v>74</v>
      </c>
      <c r="S940" t="s">
        <v>74</v>
      </c>
      <c r="T940" t="s">
        <v>17689</v>
      </c>
      <c r="U940" t="s">
        <v>17690</v>
      </c>
      <c r="V940" t="s">
        <v>17691</v>
      </c>
      <c r="W940" t="s">
        <v>17692</v>
      </c>
      <c r="X940" t="s">
        <v>17693</v>
      </c>
      <c r="Y940" t="s">
        <v>17694</v>
      </c>
      <c r="Z940" t="s">
        <v>17695</v>
      </c>
      <c r="AA940" t="s">
        <v>17696</v>
      </c>
      <c r="AB940" t="s">
        <v>17697</v>
      </c>
      <c r="AC940" t="s">
        <v>17698</v>
      </c>
      <c r="AD940" t="s">
        <v>17699</v>
      </c>
      <c r="AE940" t="s">
        <v>17700</v>
      </c>
      <c r="AF940" t="s">
        <v>74</v>
      </c>
      <c r="AG940">
        <v>50</v>
      </c>
      <c r="AH940">
        <v>20</v>
      </c>
      <c r="AI940">
        <v>23</v>
      </c>
      <c r="AJ940">
        <v>1</v>
      </c>
      <c r="AK940">
        <v>18</v>
      </c>
      <c r="AL940" t="s">
        <v>2167</v>
      </c>
      <c r="AM940" t="s">
        <v>2168</v>
      </c>
      <c r="AN940" t="s">
        <v>2169</v>
      </c>
      <c r="AO940" t="s">
        <v>17631</v>
      </c>
      <c r="AP940" t="s">
        <v>17632</v>
      </c>
      <c r="AQ940" t="s">
        <v>74</v>
      </c>
      <c r="AR940" t="s">
        <v>17633</v>
      </c>
      <c r="AS940" t="s">
        <v>17634</v>
      </c>
      <c r="AT940" t="s">
        <v>74</v>
      </c>
      <c r="AU940">
        <v>2015</v>
      </c>
      <c r="AV940">
        <v>56</v>
      </c>
      <c r="AW940">
        <v>69</v>
      </c>
      <c r="AX940">
        <v>1</v>
      </c>
      <c r="AY940" t="s">
        <v>74</v>
      </c>
      <c r="AZ940" t="s">
        <v>74</v>
      </c>
      <c r="BA940" t="s">
        <v>74</v>
      </c>
      <c r="BB940">
        <v>99</v>
      </c>
      <c r="BC940">
        <v>106</v>
      </c>
      <c r="BD940" t="s">
        <v>74</v>
      </c>
      <c r="BE940" t="s">
        <v>17701</v>
      </c>
      <c r="BF940" t="str">
        <f>HYPERLINK("http://dx.doi.org/10.3189/2015AoG69A892","http://dx.doi.org/10.3189/2015AoG69A892")</f>
        <v>http://dx.doi.org/10.3189/2015AoG69A892</v>
      </c>
      <c r="BG940" t="s">
        <v>74</v>
      </c>
      <c r="BH940" t="s">
        <v>74</v>
      </c>
      <c r="BI940">
        <v>8</v>
      </c>
      <c r="BJ940" t="s">
        <v>795</v>
      </c>
      <c r="BK940" t="s">
        <v>100</v>
      </c>
      <c r="BL940" t="s">
        <v>796</v>
      </c>
      <c r="BM940" t="s">
        <v>17636</v>
      </c>
      <c r="BN940" t="s">
        <v>74</v>
      </c>
      <c r="BO940" t="s">
        <v>156</v>
      </c>
      <c r="BP940" t="s">
        <v>74</v>
      </c>
      <c r="BQ940" t="s">
        <v>74</v>
      </c>
      <c r="BR940" t="s">
        <v>104</v>
      </c>
      <c r="BS940" t="s">
        <v>17702</v>
      </c>
      <c r="BT940" t="str">
        <f>HYPERLINK("https%3A%2F%2Fwww.webofscience.com%2Fwos%2Fwoscc%2Ffull-record%2FWOS:000363082900013","View Full Record in Web of Science")</f>
        <v>View Full Record in Web of Science</v>
      </c>
    </row>
    <row r="941" spans="1:72" x14ac:dyDescent="0.15">
      <c r="A941" t="s">
        <v>72</v>
      </c>
      <c r="B941" t="s">
        <v>17703</v>
      </c>
      <c r="C941" t="s">
        <v>74</v>
      </c>
      <c r="D941" t="s">
        <v>74</v>
      </c>
      <c r="E941" t="s">
        <v>74</v>
      </c>
      <c r="F941" t="s">
        <v>17704</v>
      </c>
      <c r="G941" t="s">
        <v>74</v>
      </c>
      <c r="H941" t="s">
        <v>74</v>
      </c>
      <c r="I941" t="s">
        <v>17705</v>
      </c>
      <c r="J941" t="s">
        <v>17620</v>
      </c>
      <c r="K941" t="s">
        <v>74</v>
      </c>
      <c r="L941" t="s">
        <v>74</v>
      </c>
      <c r="M941" t="s">
        <v>78</v>
      </c>
      <c r="N941" t="s">
        <v>79</v>
      </c>
      <c r="O941" t="s">
        <v>74</v>
      </c>
      <c r="P941" t="s">
        <v>74</v>
      </c>
      <c r="Q941" t="s">
        <v>74</v>
      </c>
      <c r="R941" t="s">
        <v>74</v>
      </c>
      <c r="S941" t="s">
        <v>74</v>
      </c>
      <c r="T941" t="s">
        <v>17706</v>
      </c>
      <c r="U941" t="s">
        <v>17707</v>
      </c>
      <c r="V941" t="s">
        <v>17708</v>
      </c>
      <c r="W941" t="s">
        <v>17709</v>
      </c>
      <c r="X941" t="s">
        <v>17710</v>
      </c>
      <c r="Y941" t="s">
        <v>17711</v>
      </c>
      <c r="Z941" t="s">
        <v>17712</v>
      </c>
      <c r="AA941" t="s">
        <v>17713</v>
      </c>
      <c r="AB941" t="s">
        <v>17714</v>
      </c>
      <c r="AC941" t="s">
        <v>17715</v>
      </c>
      <c r="AD941" t="s">
        <v>17715</v>
      </c>
      <c r="AE941" t="s">
        <v>17716</v>
      </c>
      <c r="AF941" t="s">
        <v>74</v>
      </c>
      <c r="AG941">
        <v>39</v>
      </c>
      <c r="AH941">
        <v>15</v>
      </c>
      <c r="AI941">
        <v>15</v>
      </c>
      <c r="AJ941">
        <v>0</v>
      </c>
      <c r="AK941">
        <v>14</v>
      </c>
      <c r="AL941" t="s">
        <v>16329</v>
      </c>
      <c r="AM941" t="s">
        <v>2168</v>
      </c>
      <c r="AN941" t="s">
        <v>16330</v>
      </c>
      <c r="AO941" t="s">
        <v>17631</v>
      </c>
      <c r="AP941" t="s">
        <v>17632</v>
      </c>
      <c r="AQ941" t="s">
        <v>74</v>
      </c>
      <c r="AR941" t="s">
        <v>17633</v>
      </c>
      <c r="AS941" t="s">
        <v>17634</v>
      </c>
      <c r="AT941" t="s">
        <v>74</v>
      </c>
      <c r="AU941">
        <v>2015</v>
      </c>
      <c r="AV941">
        <v>56</v>
      </c>
      <c r="AW941">
        <v>69</v>
      </c>
      <c r="AX941">
        <v>1</v>
      </c>
      <c r="AY941" t="s">
        <v>74</v>
      </c>
      <c r="AZ941" t="s">
        <v>74</v>
      </c>
      <c r="BA941" t="s">
        <v>74</v>
      </c>
      <c r="BB941">
        <v>127</v>
      </c>
      <c r="BC941">
        <v>136</v>
      </c>
      <c r="BD941" t="s">
        <v>74</v>
      </c>
      <c r="BE941" t="s">
        <v>17717</v>
      </c>
      <c r="BF941" t="str">
        <f>HYPERLINK("http://dx.doi.org/10.3189/2015AoG69A777","http://dx.doi.org/10.3189/2015AoG69A777")</f>
        <v>http://dx.doi.org/10.3189/2015AoG69A777</v>
      </c>
      <c r="BG941" t="s">
        <v>74</v>
      </c>
      <c r="BH941" t="s">
        <v>74</v>
      </c>
      <c r="BI941">
        <v>10</v>
      </c>
      <c r="BJ941" t="s">
        <v>795</v>
      </c>
      <c r="BK941" t="s">
        <v>100</v>
      </c>
      <c r="BL941" t="s">
        <v>796</v>
      </c>
      <c r="BM941" t="s">
        <v>17636</v>
      </c>
      <c r="BN941" t="s">
        <v>74</v>
      </c>
      <c r="BO941" t="s">
        <v>3228</v>
      </c>
      <c r="BP941" t="s">
        <v>74</v>
      </c>
      <c r="BQ941" t="s">
        <v>74</v>
      </c>
      <c r="BR941" t="s">
        <v>104</v>
      </c>
      <c r="BS941" t="s">
        <v>17718</v>
      </c>
      <c r="BT941" t="str">
        <f>HYPERLINK("https%3A%2F%2Fwww.webofscience.com%2Fwos%2Fwoscc%2Ffull-record%2FWOS:000363082900016","View Full Record in Web of Science")</f>
        <v>View Full Record in Web of Science</v>
      </c>
    </row>
    <row r="942" spans="1:72" x14ac:dyDescent="0.15">
      <c r="A942" t="s">
        <v>72</v>
      </c>
      <c r="B942" t="s">
        <v>17719</v>
      </c>
      <c r="C942" t="s">
        <v>74</v>
      </c>
      <c r="D942" t="s">
        <v>74</v>
      </c>
      <c r="E942" t="s">
        <v>74</v>
      </c>
      <c r="F942" t="s">
        <v>17720</v>
      </c>
      <c r="G942" t="s">
        <v>74</v>
      </c>
      <c r="H942" t="s">
        <v>74</v>
      </c>
      <c r="I942" t="s">
        <v>17721</v>
      </c>
      <c r="J942" t="s">
        <v>17620</v>
      </c>
      <c r="K942" t="s">
        <v>74</v>
      </c>
      <c r="L942" t="s">
        <v>74</v>
      </c>
      <c r="M942" t="s">
        <v>78</v>
      </c>
      <c r="N942" t="s">
        <v>79</v>
      </c>
      <c r="O942" t="s">
        <v>74</v>
      </c>
      <c r="P942" t="s">
        <v>74</v>
      </c>
      <c r="Q942" t="s">
        <v>74</v>
      </c>
      <c r="R942" t="s">
        <v>74</v>
      </c>
      <c r="S942" t="s">
        <v>74</v>
      </c>
      <c r="T942" t="s">
        <v>17722</v>
      </c>
      <c r="U942" t="s">
        <v>17723</v>
      </c>
      <c r="V942" t="s">
        <v>17724</v>
      </c>
      <c r="W942" t="s">
        <v>17725</v>
      </c>
      <c r="X942" t="s">
        <v>17726</v>
      </c>
      <c r="Y942" t="s">
        <v>17727</v>
      </c>
      <c r="Z942" t="s">
        <v>17728</v>
      </c>
      <c r="AA942" t="s">
        <v>17729</v>
      </c>
      <c r="AB942" t="s">
        <v>17730</v>
      </c>
      <c r="AC942" t="s">
        <v>17731</v>
      </c>
      <c r="AD942" t="s">
        <v>17732</v>
      </c>
      <c r="AE942" t="s">
        <v>17733</v>
      </c>
      <c r="AF942" t="s">
        <v>74</v>
      </c>
      <c r="AG942">
        <v>36</v>
      </c>
      <c r="AH942">
        <v>21</v>
      </c>
      <c r="AI942">
        <v>21</v>
      </c>
      <c r="AJ942">
        <v>0</v>
      </c>
      <c r="AK942">
        <v>9</v>
      </c>
      <c r="AL942" t="s">
        <v>16329</v>
      </c>
      <c r="AM942" t="s">
        <v>2168</v>
      </c>
      <c r="AN942" t="s">
        <v>16330</v>
      </c>
      <c r="AO942" t="s">
        <v>17631</v>
      </c>
      <c r="AP942" t="s">
        <v>17632</v>
      </c>
      <c r="AQ942" t="s">
        <v>74</v>
      </c>
      <c r="AR942" t="s">
        <v>17633</v>
      </c>
      <c r="AS942" t="s">
        <v>17634</v>
      </c>
      <c r="AT942" t="s">
        <v>74</v>
      </c>
      <c r="AU942">
        <v>2015</v>
      </c>
      <c r="AV942">
        <v>56</v>
      </c>
      <c r="AW942">
        <v>69</v>
      </c>
      <c r="AX942">
        <v>1</v>
      </c>
      <c r="AY942" t="s">
        <v>74</v>
      </c>
      <c r="AZ942" t="s">
        <v>74</v>
      </c>
      <c r="BA942" t="s">
        <v>74</v>
      </c>
      <c r="BB942">
        <v>137</v>
      </c>
      <c r="BC942">
        <v>146</v>
      </c>
      <c r="BD942" t="s">
        <v>74</v>
      </c>
      <c r="BE942" t="s">
        <v>17734</v>
      </c>
      <c r="BF942" t="str">
        <f>HYPERLINK("http://dx.doi.org/10.3189/2015AoG69A705","http://dx.doi.org/10.3189/2015AoG69A705")</f>
        <v>http://dx.doi.org/10.3189/2015AoG69A705</v>
      </c>
      <c r="BG942" t="s">
        <v>74</v>
      </c>
      <c r="BH942" t="s">
        <v>74</v>
      </c>
      <c r="BI942">
        <v>10</v>
      </c>
      <c r="BJ942" t="s">
        <v>795</v>
      </c>
      <c r="BK942" t="s">
        <v>100</v>
      </c>
      <c r="BL942" t="s">
        <v>796</v>
      </c>
      <c r="BM942" t="s">
        <v>17636</v>
      </c>
      <c r="BN942" t="s">
        <v>74</v>
      </c>
      <c r="BO942" t="s">
        <v>2201</v>
      </c>
      <c r="BP942" t="s">
        <v>74</v>
      </c>
      <c r="BQ942" t="s">
        <v>74</v>
      </c>
      <c r="BR942" t="s">
        <v>104</v>
      </c>
      <c r="BS942" t="s">
        <v>17735</v>
      </c>
      <c r="BT942" t="str">
        <f>HYPERLINK("https%3A%2F%2Fwww.webofscience.com%2Fwos%2Fwoscc%2Ffull-record%2FWOS:000363082900017","View Full Record in Web of Science")</f>
        <v>View Full Record in Web of Science</v>
      </c>
    </row>
    <row r="943" spans="1:72" x14ac:dyDescent="0.15">
      <c r="A943" t="s">
        <v>72</v>
      </c>
      <c r="B943" t="s">
        <v>17736</v>
      </c>
      <c r="C943" t="s">
        <v>74</v>
      </c>
      <c r="D943" t="s">
        <v>74</v>
      </c>
      <c r="E943" t="s">
        <v>74</v>
      </c>
      <c r="F943" t="s">
        <v>17737</v>
      </c>
      <c r="G943" t="s">
        <v>74</v>
      </c>
      <c r="H943" t="s">
        <v>74</v>
      </c>
      <c r="I943" t="s">
        <v>17738</v>
      </c>
      <c r="J943" t="s">
        <v>17620</v>
      </c>
      <c r="K943" t="s">
        <v>74</v>
      </c>
      <c r="L943" t="s">
        <v>74</v>
      </c>
      <c r="M943" t="s">
        <v>78</v>
      </c>
      <c r="N943" t="s">
        <v>79</v>
      </c>
      <c r="O943" t="s">
        <v>74</v>
      </c>
      <c r="P943" t="s">
        <v>74</v>
      </c>
      <c r="Q943" t="s">
        <v>74</v>
      </c>
      <c r="R943" t="s">
        <v>74</v>
      </c>
      <c r="S943" t="s">
        <v>74</v>
      </c>
      <c r="T943" t="s">
        <v>17739</v>
      </c>
      <c r="U943" t="s">
        <v>74</v>
      </c>
      <c r="V943" t="s">
        <v>17740</v>
      </c>
      <c r="W943" t="s">
        <v>17741</v>
      </c>
      <c r="X943" t="s">
        <v>17742</v>
      </c>
      <c r="Y943" t="s">
        <v>17743</v>
      </c>
      <c r="Z943" t="s">
        <v>17744</v>
      </c>
      <c r="AA943" t="s">
        <v>5904</v>
      </c>
      <c r="AB943" t="s">
        <v>17745</v>
      </c>
      <c r="AC943" t="s">
        <v>17746</v>
      </c>
      <c r="AD943" t="s">
        <v>17747</v>
      </c>
      <c r="AE943" t="s">
        <v>17748</v>
      </c>
      <c r="AF943" t="s">
        <v>74</v>
      </c>
      <c r="AG943">
        <v>10</v>
      </c>
      <c r="AH943">
        <v>24</v>
      </c>
      <c r="AI943">
        <v>28</v>
      </c>
      <c r="AJ943">
        <v>0</v>
      </c>
      <c r="AK943">
        <v>6</v>
      </c>
      <c r="AL943" t="s">
        <v>16329</v>
      </c>
      <c r="AM943" t="s">
        <v>2168</v>
      </c>
      <c r="AN943" t="s">
        <v>16330</v>
      </c>
      <c r="AO943" t="s">
        <v>17631</v>
      </c>
      <c r="AP943" t="s">
        <v>17632</v>
      </c>
      <c r="AQ943" t="s">
        <v>74</v>
      </c>
      <c r="AR943" t="s">
        <v>17633</v>
      </c>
      <c r="AS943" t="s">
        <v>17634</v>
      </c>
      <c r="AT943" t="s">
        <v>74</v>
      </c>
      <c r="AU943">
        <v>2015</v>
      </c>
      <c r="AV943">
        <v>56</v>
      </c>
      <c r="AW943">
        <v>69</v>
      </c>
      <c r="AX943">
        <v>1</v>
      </c>
      <c r="AY943" t="s">
        <v>74</v>
      </c>
      <c r="AZ943" t="s">
        <v>74</v>
      </c>
      <c r="BA943" t="s">
        <v>74</v>
      </c>
      <c r="BB943">
        <v>155</v>
      </c>
      <c r="BC943">
        <v>159</v>
      </c>
      <c r="BD943" t="s">
        <v>74</v>
      </c>
      <c r="BE943" t="s">
        <v>17749</v>
      </c>
      <c r="BF943" t="str">
        <f>HYPERLINK("http://dx.doi.org/10.3189/2015AoG69A646","http://dx.doi.org/10.3189/2015AoG69A646")</f>
        <v>http://dx.doi.org/10.3189/2015AoG69A646</v>
      </c>
      <c r="BG943" t="s">
        <v>74</v>
      </c>
      <c r="BH943" t="s">
        <v>74</v>
      </c>
      <c r="BI943">
        <v>5</v>
      </c>
      <c r="BJ943" t="s">
        <v>795</v>
      </c>
      <c r="BK943" t="s">
        <v>100</v>
      </c>
      <c r="BL943" t="s">
        <v>796</v>
      </c>
      <c r="BM943" t="s">
        <v>17636</v>
      </c>
      <c r="BN943" t="s">
        <v>74</v>
      </c>
      <c r="BO943" t="s">
        <v>17750</v>
      </c>
      <c r="BP943" t="s">
        <v>74</v>
      </c>
      <c r="BQ943" t="s">
        <v>74</v>
      </c>
      <c r="BR943" t="s">
        <v>104</v>
      </c>
      <c r="BS943" t="s">
        <v>17751</v>
      </c>
      <c r="BT943" t="str">
        <f>HYPERLINK("https%3A%2F%2Fwww.webofscience.com%2Fwos%2Fwoscc%2Ffull-record%2FWOS:000363082900019","View Full Record in Web of Science")</f>
        <v>View Full Record in Web of Science</v>
      </c>
    </row>
    <row r="944" spans="1:72" x14ac:dyDescent="0.15">
      <c r="A944" t="s">
        <v>72</v>
      </c>
      <c r="B944" t="s">
        <v>17752</v>
      </c>
      <c r="C944" t="s">
        <v>74</v>
      </c>
      <c r="D944" t="s">
        <v>74</v>
      </c>
      <c r="E944" t="s">
        <v>74</v>
      </c>
      <c r="F944" t="s">
        <v>17753</v>
      </c>
      <c r="G944" t="s">
        <v>74</v>
      </c>
      <c r="H944" t="s">
        <v>74</v>
      </c>
      <c r="I944" t="s">
        <v>17754</v>
      </c>
      <c r="J944" t="s">
        <v>17620</v>
      </c>
      <c r="K944" t="s">
        <v>74</v>
      </c>
      <c r="L944" t="s">
        <v>74</v>
      </c>
      <c r="M944" t="s">
        <v>78</v>
      </c>
      <c r="N944" t="s">
        <v>79</v>
      </c>
      <c r="O944" t="s">
        <v>74</v>
      </c>
      <c r="P944" t="s">
        <v>74</v>
      </c>
      <c r="Q944" t="s">
        <v>74</v>
      </c>
      <c r="R944" t="s">
        <v>74</v>
      </c>
      <c r="S944" t="s">
        <v>74</v>
      </c>
      <c r="T944" t="s">
        <v>17755</v>
      </c>
      <c r="U944" t="s">
        <v>17756</v>
      </c>
      <c r="V944" t="s">
        <v>17757</v>
      </c>
      <c r="W944" t="s">
        <v>17758</v>
      </c>
      <c r="X944" t="s">
        <v>17726</v>
      </c>
      <c r="Y944" t="s">
        <v>11261</v>
      </c>
      <c r="Z944" t="s">
        <v>17759</v>
      </c>
      <c r="AA944" t="s">
        <v>17760</v>
      </c>
      <c r="AB944" t="s">
        <v>17761</v>
      </c>
      <c r="AC944" t="s">
        <v>17762</v>
      </c>
      <c r="AD944" t="s">
        <v>17763</v>
      </c>
      <c r="AE944" t="s">
        <v>17764</v>
      </c>
      <c r="AF944" t="s">
        <v>74</v>
      </c>
      <c r="AG944">
        <v>70</v>
      </c>
      <c r="AH944">
        <v>21</v>
      </c>
      <c r="AI944">
        <v>22</v>
      </c>
      <c r="AJ944">
        <v>1</v>
      </c>
      <c r="AK944">
        <v>5</v>
      </c>
      <c r="AL944" t="s">
        <v>2167</v>
      </c>
      <c r="AM944" t="s">
        <v>2168</v>
      </c>
      <c r="AN944" t="s">
        <v>2169</v>
      </c>
      <c r="AO944" t="s">
        <v>17631</v>
      </c>
      <c r="AP944" t="s">
        <v>17632</v>
      </c>
      <c r="AQ944" t="s">
        <v>74</v>
      </c>
      <c r="AR944" t="s">
        <v>17633</v>
      </c>
      <c r="AS944" t="s">
        <v>17634</v>
      </c>
      <c r="AT944" t="s">
        <v>74</v>
      </c>
      <c r="AU944">
        <v>2015</v>
      </c>
      <c r="AV944">
        <v>56</v>
      </c>
      <c r="AW944">
        <v>69</v>
      </c>
      <c r="AX944">
        <v>1</v>
      </c>
      <c r="AY944" t="s">
        <v>74</v>
      </c>
      <c r="AZ944" t="s">
        <v>74</v>
      </c>
      <c r="BA944" t="s">
        <v>74</v>
      </c>
      <c r="BB944">
        <v>175</v>
      </c>
      <c r="BC944">
        <v>190</v>
      </c>
      <c r="BD944" t="s">
        <v>74</v>
      </c>
      <c r="BE944" t="s">
        <v>17765</v>
      </c>
      <c r="BF944" t="str">
        <f>HYPERLINK("http://dx.doi.org/10.3189/2015AoG69A678","http://dx.doi.org/10.3189/2015AoG69A678")</f>
        <v>http://dx.doi.org/10.3189/2015AoG69A678</v>
      </c>
      <c r="BG944" t="s">
        <v>74</v>
      </c>
      <c r="BH944" t="s">
        <v>74</v>
      </c>
      <c r="BI944">
        <v>16</v>
      </c>
      <c r="BJ944" t="s">
        <v>795</v>
      </c>
      <c r="BK944" t="s">
        <v>100</v>
      </c>
      <c r="BL944" t="s">
        <v>796</v>
      </c>
      <c r="BM944" t="s">
        <v>17636</v>
      </c>
      <c r="BN944" t="s">
        <v>74</v>
      </c>
      <c r="BO944" t="s">
        <v>17766</v>
      </c>
      <c r="BP944" t="s">
        <v>74</v>
      </c>
      <c r="BQ944" t="s">
        <v>74</v>
      </c>
      <c r="BR944" t="s">
        <v>104</v>
      </c>
      <c r="BS944" t="s">
        <v>17767</v>
      </c>
      <c r="BT944" t="str">
        <f>HYPERLINK("https%3A%2F%2Fwww.webofscience.com%2Fwos%2Fwoscc%2Ffull-record%2FWOS:000363082900022","View Full Record in Web of Science")</f>
        <v>View Full Record in Web of Science</v>
      </c>
    </row>
    <row r="945" spans="1:72" x14ac:dyDescent="0.15">
      <c r="A945" t="s">
        <v>15464</v>
      </c>
      <c r="B945" t="s">
        <v>17768</v>
      </c>
      <c r="C945" t="s">
        <v>74</v>
      </c>
      <c r="D945" t="s">
        <v>17769</v>
      </c>
      <c r="E945" t="s">
        <v>74</v>
      </c>
      <c r="F945" t="s">
        <v>17770</v>
      </c>
      <c r="G945" t="s">
        <v>74</v>
      </c>
      <c r="H945" t="s">
        <v>74</v>
      </c>
      <c r="I945" t="s">
        <v>17771</v>
      </c>
      <c r="J945" t="s">
        <v>17772</v>
      </c>
      <c r="K945" t="s">
        <v>16784</v>
      </c>
      <c r="L945" t="s">
        <v>74</v>
      </c>
      <c r="M945" t="s">
        <v>78</v>
      </c>
      <c r="N945" t="s">
        <v>15471</v>
      </c>
      <c r="O945" t="s">
        <v>17773</v>
      </c>
      <c r="P945" t="s">
        <v>17774</v>
      </c>
      <c r="Q945" t="s">
        <v>17775</v>
      </c>
      <c r="R945" t="s">
        <v>74</v>
      </c>
      <c r="S945" t="s">
        <v>74</v>
      </c>
      <c r="T945" t="s">
        <v>17776</v>
      </c>
      <c r="U945" t="s">
        <v>74</v>
      </c>
      <c r="V945" t="s">
        <v>17777</v>
      </c>
      <c r="W945" t="s">
        <v>17778</v>
      </c>
      <c r="X945" t="s">
        <v>17779</v>
      </c>
      <c r="Y945" t="s">
        <v>17780</v>
      </c>
      <c r="Z945" t="s">
        <v>74</v>
      </c>
      <c r="AA945" t="s">
        <v>17781</v>
      </c>
      <c r="AB945" t="s">
        <v>74</v>
      </c>
      <c r="AC945" t="s">
        <v>74</v>
      </c>
      <c r="AD945" t="s">
        <v>74</v>
      </c>
      <c r="AE945" t="s">
        <v>74</v>
      </c>
      <c r="AF945" t="s">
        <v>74</v>
      </c>
      <c r="AG945">
        <v>9</v>
      </c>
      <c r="AH945">
        <v>1</v>
      </c>
      <c r="AI945">
        <v>1</v>
      </c>
      <c r="AJ945">
        <v>0</v>
      </c>
      <c r="AK945">
        <v>5</v>
      </c>
      <c r="AL945" t="s">
        <v>16794</v>
      </c>
      <c r="AM945" t="s">
        <v>16795</v>
      </c>
      <c r="AN945" t="s">
        <v>16796</v>
      </c>
      <c r="AO945" t="s">
        <v>16797</v>
      </c>
      <c r="AP945" t="s">
        <v>74</v>
      </c>
      <c r="AQ945" t="s">
        <v>17782</v>
      </c>
      <c r="AR945" t="s">
        <v>16799</v>
      </c>
      <c r="AS945" t="s">
        <v>74</v>
      </c>
      <c r="AT945" t="s">
        <v>74</v>
      </c>
      <c r="AU945">
        <v>2015</v>
      </c>
      <c r="AV945">
        <v>9678</v>
      </c>
      <c r="AW945" t="s">
        <v>74</v>
      </c>
      <c r="AX945" t="s">
        <v>74</v>
      </c>
      <c r="AY945" t="s">
        <v>74</v>
      </c>
      <c r="AZ945" t="s">
        <v>74</v>
      </c>
      <c r="BA945" t="s">
        <v>74</v>
      </c>
      <c r="BB945" t="s">
        <v>74</v>
      </c>
      <c r="BC945" t="s">
        <v>74</v>
      </c>
      <c r="BD945">
        <v>967816</v>
      </c>
      <c r="BE945" t="s">
        <v>17783</v>
      </c>
      <c r="BF945" t="str">
        <f>HYPERLINK("http://dx.doi.org/10.1117/12.2202802","http://dx.doi.org/10.1117/12.2202802")</f>
        <v>http://dx.doi.org/10.1117/12.2202802</v>
      </c>
      <c r="BG945" t="s">
        <v>74</v>
      </c>
      <c r="BH945" t="s">
        <v>74</v>
      </c>
      <c r="BI945">
        <v>5</v>
      </c>
      <c r="BJ945" t="s">
        <v>17784</v>
      </c>
      <c r="BK945" t="s">
        <v>15487</v>
      </c>
      <c r="BL945" t="s">
        <v>17784</v>
      </c>
      <c r="BM945" t="s">
        <v>17785</v>
      </c>
      <c r="BN945" t="s">
        <v>74</v>
      </c>
      <c r="BO945" t="s">
        <v>74</v>
      </c>
      <c r="BP945" t="s">
        <v>74</v>
      </c>
      <c r="BQ945" t="s">
        <v>74</v>
      </c>
      <c r="BR945" t="s">
        <v>104</v>
      </c>
      <c r="BS945" t="s">
        <v>17786</v>
      </c>
      <c r="BT945" t="str">
        <f>HYPERLINK("https%3A%2F%2Fwww.webofscience.com%2Fwos%2Fwoscc%2Ffull-record%2FWOS:000363283600042","View Full Record in Web of Science")</f>
        <v>View Full Record in Web of Science</v>
      </c>
    </row>
    <row r="946" spans="1:72" x14ac:dyDescent="0.15">
      <c r="A946" t="s">
        <v>72</v>
      </c>
      <c r="B946" t="s">
        <v>17787</v>
      </c>
      <c r="C946" t="s">
        <v>74</v>
      </c>
      <c r="D946" t="s">
        <v>74</v>
      </c>
      <c r="E946" t="s">
        <v>74</v>
      </c>
      <c r="F946" t="s">
        <v>17788</v>
      </c>
      <c r="G946" t="s">
        <v>74</v>
      </c>
      <c r="H946" t="s">
        <v>74</v>
      </c>
      <c r="I946" t="s">
        <v>17789</v>
      </c>
      <c r="J946" t="s">
        <v>17620</v>
      </c>
      <c r="K946" t="s">
        <v>74</v>
      </c>
      <c r="L946" t="s">
        <v>74</v>
      </c>
      <c r="M946" t="s">
        <v>78</v>
      </c>
      <c r="N946" t="s">
        <v>79</v>
      </c>
      <c r="O946" t="s">
        <v>74</v>
      </c>
      <c r="P946" t="s">
        <v>74</v>
      </c>
      <c r="Q946" t="s">
        <v>74</v>
      </c>
      <c r="R946" t="s">
        <v>74</v>
      </c>
      <c r="S946" t="s">
        <v>74</v>
      </c>
      <c r="T946" t="s">
        <v>17790</v>
      </c>
      <c r="U946" t="s">
        <v>17791</v>
      </c>
      <c r="V946" t="s">
        <v>17792</v>
      </c>
      <c r="W946" t="s">
        <v>17793</v>
      </c>
      <c r="X946" t="s">
        <v>3442</v>
      </c>
      <c r="Y946" t="s">
        <v>17794</v>
      </c>
      <c r="Z946" t="s">
        <v>17795</v>
      </c>
      <c r="AA946" t="s">
        <v>74</v>
      </c>
      <c r="AB946" t="s">
        <v>74</v>
      </c>
      <c r="AC946" t="s">
        <v>17796</v>
      </c>
      <c r="AD946" t="s">
        <v>17796</v>
      </c>
      <c r="AE946" t="s">
        <v>17797</v>
      </c>
      <c r="AF946" t="s">
        <v>74</v>
      </c>
      <c r="AG946">
        <v>24</v>
      </c>
      <c r="AH946">
        <v>23</v>
      </c>
      <c r="AI946">
        <v>23</v>
      </c>
      <c r="AJ946">
        <v>2</v>
      </c>
      <c r="AK946">
        <v>10</v>
      </c>
      <c r="AL946" t="s">
        <v>2167</v>
      </c>
      <c r="AM946" t="s">
        <v>2168</v>
      </c>
      <c r="AN946" t="s">
        <v>2169</v>
      </c>
      <c r="AO946" t="s">
        <v>17631</v>
      </c>
      <c r="AP946" t="s">
        <v>17632</v>
      </c>
      <c r="AQ946" t="s">
        <v>74</v>
      </c>
      <c r="AR946" t="s">
        <v>17633</v>
      </c>
      <c r="AS946" t="s">
        <v>17634</v>
      </c>
      <c r="AT946" t="s">
        <v>74</v>
      </c>
      <c r="AU946">
        <v>2015</v>
      </c>
      <c r="AV946">
        <v>56</v>
      </c>
      <c r="AW946">
        <v>70</v>
      </c>
      <c r="AX946" t="s">
        <v>74</v>
      </c>
      <c r="AY946" t="s">
        <v>74</v>
      </c>
      <c r="AZ946" t="s">
        <v>74</v>
      </c>
      <c r="BA946" t="s">
        <v>74</v>
      </c>
      <c r="BB946">
        <v>141</v>
      </c>
      <c r="BC946">
        <v>146</v>
      </c>
      <c r="BD946" t="s">
        <v>74</v>
      </c>
      <c r="BE946" t="s">
        <v>17798</v>
      </c>
      <c r="BF946" t="str">
        <f>HYPERLINK("http://dx.doi.org/10.3189/2015AoG70A958","http://dx.doi.org/10.3189/2015AoG70A958")</f>
        <v>http://dx.doi.org/10.3189/2015AoG70A958</v>
      </c>
      <c r="BG946" t="s">
        <v>74</v>
      </c>
      <c r="BH946" t="s">
        <v>74</v>
      </c>
      <c r="BI946">
        <v>6</v>
      </c>
      <c r="BJ946" t="s">
        <v>795</v>
      </c>
      <c r="BK946" t="s">
        <v>100</v>
      </c>
      <c r="BL946" t="s">
        <v>796</v>
      </c>
      <c r="BM946" t="s">
        <v>17799</v>
      </c>
      <c r="BN946" t="s">
        <v>74</v>
      </c>
      <c r="BO946" t="s">
        <v>156</v>
      </c>
      <c r="BP946" t="s">
        <v>74</v>
      </c>
      <c r="BQ946" t="s">
        <v>74</v>
      </c>
      <c r="BR946" t="s">
        <v>104</v>
      </c>
      <c r="BS946" t="s">
        <v>17800</v>
      </c>
      <c r="BT946" t="str">
        <f>HYPERLINK("https%3A%2F%2Fwww.webofscience.com%2Fwos%2Fwoscc%2Ffull-record%2FWOS:000363001700017","View Full Record in Web of Science")</f>
        <v>View Full Record in Web of Science</v>
      </c>
    </row>
    <row r="947" spans="1:72" x14ac:dyDescent="0.15">
      <c r="A947" t="s">
        <v>72</v>
      </c>
      <c r="B947" t="s">
        <v>17801</v>
      </c>
      <c r="C947" t="s">
        <v>74</v>
      </c>
      <c r="D947" t="s">
        <v>74</v>
      </c>
      <c r="E947" t="s">
        <v>74</v>
      </c>
      <c r="F947" t="s">
        <v>17802</v>
      </c>
      <c r="G947" t="s">
        <v>74</v>
      </c>
      <c r="H947" t="s">
        <v>74</v>
      </c>
      <c r="I947" t="s">
        <v>17803</v>
      </c>
      <c r="J947" t="s">
        <v>17620</v>
      </c>
      <c r="K947" t="s">
        <v>74</v>
      </c>
      <c r="L947" t="s">
        <v>74</v>
      </c>
      <c r="M947" t="s">
        <v>78</v>
      </c>
      <c r="N947" t="s">
        <v>79</v>
      </c>
      <c r="O947" t="s">
        <v>74</v>
      </c>
      <c r="P947" t="s">
        <v>74</v>
      </c>
      <c r="Q947" t="s">
        <v>74</v>
      </c>
      <c r="R947" t="s">
        <v>74</v>
      </c>
      <c r="S947" t="s">
        <v>74</v>
      </c>
      <c r="T947" t="s">
        <v>17804</v>
      </c>
      <c r="U947" t="s">
        <v>17805</v>
      </c>
      <c r="V947" t="s">
        <v>17806</v>
      </c>
      <c r="W947" t="s">
        <v>17807</v>
      </c>
      <c r="X947" t="s">
        <v>17808</v>
      </c>
      <c r="Y947" t="s">
        <v>17809</v>
      </c>
      <c r="Z947" t="s">
        <v>16718</v>
      </c>
      <c r="AA947" t="s">
        <v>17810</v>
      </c>
      <c r="AB947" t="s">
        <v>17811</v>
      </c>
      <c r="AC947" t="s">
        <v>17812</v>
      </c>
      <c r="AD947" t="s">
        <v>17813</v>
      </c>
      <c r="AE947" t="s">
        <v>17814</v>
      </c>
      <c r="AF947" t="s">
        <v>74</v>
      </c>
      <c r="AG947">
        <v>33</v>
      </c>
      <c r="AH947">
        <v>9</v>
      </c>
      <c r="AI947">
        <v>9</v>
      </c>
      <c r="AJ947">
        <v>0</v>
      </c>
      <c r="AK947">
        <v>8</v>
      </c>
      <c r="AL947" t="s">
        <v>2167</v>
      </c>
      <c r="AM947" t="s">
        <v>2168</v>
      </c>
      <c r="AN947" t="s">
        <v>2169</v>
      </c>
      <c r="AO947" t="s">
        <v>17631</v>
      </c>
      <c r="AP947" t="s">
        <v>17632</v>
      </c>
      <c r="AQ947" t="s">
        <v>74</v>
      </c>
      <c r="AR947" t="s">
        <v>17633</v>
      </c>
      <c r="AS947" t="s">
        <v>17634</v>
      </c>
      <c r="AT947" t="s">
        <v>74</v>
      </c>
      <c r="AU947">
        <v>2015</v>
      </c>
      <c r="AV947">
        <v>56</v>
      </c>
      <c r="AW947">
        <v>69</v>
      </c>
      <c r="AX947">
        <v>2</v>
      </c>
      <c r="AY947" t="s">
        <v>74</v>
      </c>
      <c r="AZ947" t="s">
        <v>74</v>
      </c>
      <c r="BA947" t="s">
        <v>74</v>
      </c>
      <c r="BB947">
        <v>263</v>
      </c>
      <c r="BC947">
        <v>273</v>
      </c>
      <c r="BD947" t="s">
        <v>74</v>
      </c>
      <c r="BE947" t="s">
        <v>17815</v>
      </c>
      <c r="BF947" t="str">
        <f>HYPERLINK("http://dx.doi.org/10.3189/2015AoG69A715","http://dx.doi.org/10.3189/2015AoG69A715")</f>
        <v>http://dx.doi.org/10.3189/2015AoG69A715</v>
      </c>
      <c r="BG947" t="s">
        <v>74</v>
      </c>
      <c r="BH947" t="s">
        <v>74</v>
      </c>
      <c r="BI947">
        <v>11</v>
      </c>
      <c r="BJ947" t="s">
        <v>795</v>
      </c>
      <c r="BK947" t="s">
        <v>100</v>
      </c>
      <c r="BL947" t="s">
        <v>796</v>
      </c>
      <c r="BM947" t="s">
        <v>17816</v>
      </c>
      <c r="BN947" t="s">
        <v>74</v>
      </c>
      <c r="BO947" t="s">
        <v>156</v>
      </c>
      <c r="BP947" t="s">
        <v>74</v>
      </c>
      <c r="BQ947" t="s">
        <v>74</v>
      </c>
      <c r="BR947" t="s">
        <v>104</v>
      </c>
      <c r="BS947" t="s">
        <v>17817</v>
      </c>
      <c r="BT947" t="str">
        <f>HYPERLINK("https%3A%2F%2Fwww.webofscience.com%2Fwos%2Fwoscc%2Ffull-record%2FWOS:000363083200006","View Full Record in Web of Science")</f>
        <v>View Full Record in Web of Science</v>
      </c>
    </row>
    <row r="948" spans="1:72" x14ac:dyDescent="0.15">
      <c r="A948" t="s">
        <v>72</v>
      </c>
      <c r="B948" t="s">
        <v>17818</v>
      </c>
      <c r="C948" t="s">
        <v>74</v>
      </c>
      <c r="D948" t="s">
        <v>74</v>
      </c>
      <c r="E948" t="s">
        <v>74</v>
      </c>
      <c r="F948" t="s">
        <v>17819</v>
      </c>
      <c r="G948" t="s">
        <v>74</v>
      </c>
      <c r="H948" t="s">
        <v>74</v>
      </c>
      <c r="I948" t="s">
        <v>17820</v>
      </c>
      <c r="J948" t="s">
        <v>17620</v>
      </c>
      <c r="K948" t="s">
        <v>74</v>
      </c>
      <c r="L948" t="s">
        <v>74</v>
      </c>
      <c r="M948" t="s">
        <v>78</v>
      </c>
      <c r="N948" t="s">
        <v>79</v>
      </c>
      <c r="O948" t="s">
        <v>74</v>
      </c>
      <c r="P948" t="s">
        <v>74</v>
      </c>
      <c r="Q948" t="s">
        <v>74</v>
      </c>
      <c r="R948" t="s">
        <v>74</v>
      </c>
      <c r="S948" t="s">
        <v>74</v>
      </c>
      <c r="T948" t="s">
        <v>17821</v>
      </c>
      <c r="U948" t="s">
        <v>17822</v>
      </c>
      <c r="V948" t="s">
        <v>17823</v>
      </c>
      <c r="W948" t="s">
        <v>17824</v>
      </c>
      <c r="X948" t="s">
        <v>17825</v>
      </c>
      <c r="Y948" t="s">
        <v>17826</v>
      </c>
      <c r="Z948" t="s">
        <v>17827</v>
      </c>
      <c r="AA948" t="s">
        <v>17828</v>
      </c>
      <c r="AB948" t="s">
        <v>17829</v>
      </c>
      <c r="AC948" t="s">
        <v>17830</v>
      </c>
      <c r="AD948" t="s">
        <v>17831</v>
      </c>
      <c r="AE948" t="s">
        <v>17832</v>
      </c>
      <c r="AF948" t="s">
        <v>74</v>
      </c>
      <c r="AG948">
        <v>37</v>
      </c>
      <c r="AH948">
        <v>25</v>
      </c>
      <c r="AI948">
        <v>27</v>
      </c>
      <c r="AJ948">
        <v>1</v>
      </c>
      <c r="AK948">
        <v>9</v>
      </c>
      <c r="AL948" t="s">
        <v>16329</v>
      </c>
      <c r="AM948" t="s">
        <v>2168</v>
      </c>
      <c r="AN948" t="s">
        <v>16330</v>
      </c>
      <c r="AO948" t="s">
        <v>17631</v>
      </c>
      <c r="AP948" t="s">
        <v>17632</v>
      </c>
      <c r="AQ948" t="s">
        <v>74</v>
      </c>
      <c r="AR948" t="s">
        <v>17633</v>
      </c>
      <c r="AS948" t="s">
        <v>17634</v>
      </c>
      <c r="AT948" t="s">
        <v>74</v>
      </c>
      <c r="AU948">
        <v>2015</v>
      </c>
      <c r="AV948">
        <v>56</v>
      </c>
      <c r="AW948">
        <v>69</v>
      </c>
      <c r="AX948">
        <v>2</v>
      </c>
      <c r="AY948" t="s">
        <v>74</v>
      </c>
      <c r="AZ948" t="s">
        <v>74</v>
      </c>
      <c r="BA948" t="s">
        <v>74</v>
      </c>
      <c r="BB948">
        <v>307</v>
      </c>
      <c r="BC948">
        <v>314</v>
      </c>
      <c r="BD948" t="s">
        <v>74</v>
      </c>
      <c r="BE948" t="s">
        <v>17833</v>
      </c>
      <c r="BF948" t="str">
        <f>HYPERLINK("http://dx.doi.org/10.3189/2015AoG69A839","http://dx.doi.org/10.3189/2015AoG69A839")</f>
        <v>http://dx.doi.org/10.3189/2015AoG69A839</v>
      </c>
      <c r="BG948" t="s">
        <v>74</v>
      </c>
      <c r="BH948" t="s">
        <v>74</v>
      </c>
      <c r="BI948">
        <v>8</v>
      </c>
      <c r="BJ948" t="s">
        <v>795</v>
      </c>
      <c r="BK948" t="s">
        <v>100</v>
      </c>
      <c r="BL948" t="s">
        <v>796</v>
      </c>
      <c r="BM948" t="s">
        <v>17816</v>
      </c>
      <c r="BN948" t="s">
        <v>74</v>
      </c>
      <c r="BO948" t="s">
        <v>156</v>
      </c>
      <c r="BP948" t="s">
        <v>74</v>
      </c>
      <c r="BQ948" t="s">
        <v>74</v>
      </c>
      <c r="BR948" t="s">
        <v>104</v>
      </c>
      <c r="BS948" t="s">
        <v>17834</v>
      </c>
      <c r="BT948" t="str">
        <f>HYPERLINK("https%3A%2F%2Fwww.webofscience.com%2Fwos%2Fwoscc%2Ffull-record%2FWOS:000363083200010","View Full Record in Web of Science")</f>
        <v>View Full Record in Web of Science</v>
      </c>
    </row>
    <row r="949" spans="1:72" x14ac:dyDescent="0.15">
      <c r="A949" t="s">
        <v>72</v>
      </c>
      <c r="B949" t="s">
        <v>17835</v>
      </c>
      <c r="C949" t="s">
        <v>74</v>
      </c>
      <c r="D949" t="s">
        <v>74</v>
      </c>
      <c r="E949" t="s">
        <v>74</v>
      </c>
      <c r="F949" t="s">
        <v>17836</v>
      </c>
      <c r="G949" t="s">
        <v>74</v>
      </c>
      <c r="H949" t="s">
        <v>74</v>
      </c>
      <c r="I949" t="s">
        <v>17837</v>
      </c>
      <c r="J949" t="s">
        <v>17620</v>
      </c>
      <c r="K949" t="s">
        <v>74</v>
      </c>
      <c r="L949" t="s">
        <v>74</v>
      </c>
      <c r="M949" t="s">
        <v>78</v>
      </c>
      <c r="N949" t="s">
        <v>79</v>
      </c>
      <c r="O949" t="s">
        <v>74</v>
      </c>
      <c r="P949" t="s">
        <v>74</v>
      </c>
      <c r="Q949" t="s">
        <v>74</v>
      </c>
      <c r="R949" t="s">
        <v>74</v>
      </c>
      <c r="S949" t="s">
        <v>74</v>
      </c>
      <c r="T949" t="s">
        <v>17658</v>
      </c>
      <c r="U949" t="s">
        <v>17838</v>
      </c>
      <c r="V949" t="s">
        <v>17839</v>
      </c>
      <c r="W949" t="s">
        <v>17840</v>
      </c>
      <c r="X949" t="s">
        <v>17841</v>
      </c>
      <c r="Y949" t="s">
        <v>17842</v>
      </c>
      <c r="Z949" t="s">
        <v>17843</v>
      </c>
      <c r="AA949" t="s">
        <v>74</v>
      </c>
      <c r="AB949" t="s">
        <v>74</v>
      </c>
      <c r="AC949" t="s">
        <v>17844</v>
      </c>
      <c r="AD949" t="s">
        <v>17845</v>
      </c>
      <c r="AE949" t="s">
        <v>17846</v>
      </c>
      <c r="AF949" t="s">
        <v>74</v>
      </c>
      <c r="AG949">
        <v>28</v>
      </c>
      <c r="AH949">
        <v>2</v>
      </c>
      <c r="AI949">
        <v>3</v>
      </c>
      <c r="AJ949">
        <v>0</v>
      </c>
      <c r="AK949">
        <v>8</v>
      </c>
      <c r="AL949" t="s">
        <v>2167</v>
      </c>
      <c r="AM949" t="s">
        <v>2168</v>
      </c>
      <c r="AN949" t="s">
        <v>2169</v>
      </c>
      <c r="AO949" t="s">
        <v>17631</v>
      </c>
      <c r="AP949" t="s">
        <v>17632</v>
      </c>
      <c r="AQ949" t="s">
        <v>74</v>
      </c>
      <c r="AR949" t="s">
        <v>17633</v>
      </c>
      <c r="AS949" t="s">
        <v>17634</v>
      </c>
      <c r="AT949" t="s">
        <v>74</v>
      </c>
      <c r="AU949">
        <v>2015</v>
      </c>
      <c r="AV949">
        <v>56</v>
      </c>
      <c r="AW949">
        <v>69</v>
      </c>
      <c r="AX949">
        <v>2</v>
      </c>
      <c r="AY949" t="s">
        <v>74</v>
      </c>
      <c r="AZ949" t="s">
        <v>74</v>
      </c>
      <c r="BA949" t="s">
        <v>74</v>
      </c>
      <c r="BB949">
        <v>383</v>
      </c>
      <c r="BC949">
        <v>393</v>
      </c>
      <c r="BD949" t="s">
        <v>74</v>
      </c>
      <c r="BE949" t="s">
        <v>17847</v>
      </c>
      <c r="BF949" t="str">
        <f>HYPERLINK("http://dx.doi.org/10.3189/2015AoG69A763","http://dx.doi.org/10.3189/2015AoG69A763")</f>
        <v>http://dx.doi.org/10.3189/2015AoG69A763</v>
      </c>
      <c r="BG949" t="s">
        <v>74</v>
      </c>
      <c r="BH949" t="s">
        <v>74</v>
      </c>
      <c r="BI949">
        <v>11</v>
      </c>
      <c r="BJ949" t="s">
        <v>795</v>
      </c>
      <c r="BK949" t="s">
        <v>100</v>
      </c>
      <c r="BL949" t="s">
        <v>796</v>
      </c>
      <c r="BM949" t="s">
        <v>17816</v>
      </c>
      <c r="BN949" t="s">
        <v>74</v>
      </c>
      <c r="BO949" t="s">
        <v>156</v>
      </c>
      <c r="BP949" t="s">
        <v>74</v>
      </c>
      <c r="BQ949" t="s">
        <v>74</v>
      </c>
      <c r="BR949" t="s">
        <v>104</v>
      </c>
      <c r="BS949" t="s">
        <v>17848</v>
      </c>
      <c r="BT949" t="str">
        <f>HYPERLINK("https%3A%2F%2Fwww.webofscience.com%2Fwos%2Fwoscc%2Ffull-record%2FWOS:000363083200018","View Full Record in Web of Science")</f>
        <v>View Full Record in Web of Science</v>
      </c>
    </row>
    <row r="950" spans="1:72" x14ac:dyDescent="0.15">
      <c r="A950" t="s">
        <v>72</v>
      </c>
      <c r="B950" t="s">
        <v>17849</v>
      </c>
      <c r="C950" t="s">
        <v>74</v>
      </c>
      <c r="D950" t="s">
        <v>74</v>
      </c>
      <c r="E950" t="s">
        <v>74</v>
      </c>
      <c r="F950" t="s">
        <v>17850</v>
      </c>
      <c r="G950" t="s">
        <v>74</v>
      </c>
      <c r="H950" t="s">
        <v>74</v>
      </c>
      <c r="I950" t="s">
        <v>17851</v>
      </c>
      <c r="J950" t="s">
        <v>17620</v>
      </c>
      <c r="K950" t="s">
        <v>74</v>
      </c>
      <c r="L950" t="s">
        <v>74</v>
      </c>
      <c r="M950" t="s">
        <v>78</v>
      </c>
      <c r="N950" t="s">
        <v>79</v>
      </c>
      <c r="O950" t="s">
        <v>74</v>
      </c>
      <c r="P950" t="s">
        <v>74</v>
      </c>
      <c r="Q950" t="s">
        <v>74</v>
      </c>
      <c r="R950" t="s">
        <v>74</v>
      </c>
      <c r="S950" t="s">
        <v>74</v>
      </c>
      <c r="T950" t="s">
        <v>17852</v>
      </c>
      <c r="U950" t="s">
        <v>17853</v>
      </c>
      <c r="V950" t="s">
        <v>17854</v>
      </c>
      <c r="W950" t="s">
        <v>17855</v>
      </c>
      <c r="X950" t="s">
        <v>17856</v>
      </c>
      <c r="Y950" t="s">
        <v>17857</v>
      </c>
      <c r="Z950" t="s">
        <v>17858</v>
      </c>
      <c r="AA950" t="s">
        <v>17859</v>
      </c>
      <c r="AB950" t="s">
        <v>17860</v>
      </c>
      <c r="AC950" t="s">
        <v>17861</v>
      </c>
      <c r="AD950" t="s">
        <v>17862</v>
      </c>
      <c r="AE950" t="s">
        <v>17863</v>
      </c>
      <c r="AF950" t="s">
        <v>74</v>
      </c>
      <c r="AG950">
        <v>68</v>
      </c>
      <c r="AH950">
        <v>1</v>
      </c>
      <c r="AI950">
        <v>1</v>
      </c>
      <c r="AJ950">
        <v>0</v>
      </c>
      <c r="AK950">
        <v>5</v>
      </c>
      <c r="AL950" t="s">
        <v>16329</v>
      </c>
      <c r="AM950" t="s">
        <v>2168</v>
      </c>
      <c r="AN950" t="s">
        <v>16330</v>
      </c>
      <c r="AO950" t="s">
        <v>17631</v>
      </c>
      <c r="AP950" t="s">
        <v>17632</v>
      </c>
      <c r="AQ950" t="s">
        <v>74</v>
      </c>
      <c r="AR950" t="s">
        <v>17633</v>
      </c>
      <c r="AS950" t="s">
        <v>17634</v>
      </c>
      <c r="AT950" t="s">
        <v>74</v>
      </c>
      <c r="AU950">
        <v>2015</v>
      </c>
      <c r="AV950">
        <v>56</v>
      </c>
      <c r="AW950">
        <v>69</v>
      </c>
      <c r="AX950">
        <v>2</v>
      </c>
      <c r="AY950" t="s">
        <v>74</v>
      </c>
      <c r="AZ950" t="s">
        <v>74</v>
      </c>
      <c r="BA950" t="s">
        <v>74</v>
      </c>
      <c r="BB950">
        <v>394</v>
      </c>
      <c r="BC950">
        <v>404</v>
      </c>
      <c r="BD950" t="s">
        <v>74</v>
      </c>
      <c r="BE950" t="s">
        <v>17864</v>
      </c>
      <c r="BF950" t="str">
        <f>HYPERLINK("http://dx.doi.org/10.3189/2015AoG69A711","http://dx.doi.org/10.3189/2015AoG69A711")</f>
        <v>http://dx.doi.org/10.3189/2015AoG69A711</v>
      </c>
      <c r="BG950" t="s">
        <v>74</v>
      </c>
      <c r="BH950" t="s">
        <v>74</v>
      </c>
      <c r="BI950">
        <v>11</v>
      </c>
      <c r="BJ950" t="s">
        <v>795</v>
      </c>
      <c r="BK950" t="s">
        <v>100</v>
      </c>
      <c r="BL950" t="s">
        <v>796</v>
      </c>
      <c r="BM950" t="s">
        <v>17816</v>
      </c>
      <c r="BN950" t="s">
        <v>74</v>
      </c>
      <c r="BO950" t="s">
        <v>156</v>
      </c>
      <c r="BP950" t="s">
        <v>74</v>
      </c>
      <c r="BQ950" t="s">
        <v>74</v>
      </c>
      <c r="BR950" t="s">
        <v>104</v>
      </c>
      <c r="BS950" t="s">
        <v>17865</v>
      </c>
      <c r="BT950" t="str">
        <f>HYPERLINK("https%3A%2F%2Fwww.webofscience.com%2Fwos%2Fwoscc%2Ffull-record%2FWOS:000363083200019","View Full Record in Web of Science")</f>
        <v>View Full Record in Web of Science</v>
      </c>
    </row>
    <row r="951" spans="1:72" x14ac:dyDescent="0.15">
      <c r="A951" t="s">
        <v>72</v>
      </c>
      <c r="B951" t="s">
        <v>17866</v>
      </c>
      <c r="C951" t="s">
        <v>74</v>
      </c>
      <c r="D951" t="s">
        <v>74</v>
      </c>
      <c r="E951" t="s">
        <v>74</v>
      </c>
      <c r="F951" t="s">
        <v>17867</v>
      </c>
      <c r="G951" t="s">
        <v>74</v>
      </c>
      <c r="H951" t="s">
        <v>74</v>
      </c>
      <c r="I951" t="s">
        <v>17868</v>
      </c>
      <c r="J951" t="s">
        <v>17620</v>
      </c>
      <c r="K951" t="s">
        <v>74</v>
      </c>
      <c r="L951" t="s">
        <v>74</v>
      </c>
      <c r="M951" t="s">
        <v>78</v>
      </c>
      <c r="N951" t="s">
        <v>79</v>
      </c>
      <c r="O951" t="s">
        <v>74</v>
      </c>
      <c r="P951" t="s">
        <v>74</v>
      </c>
      <c r="Q951" t="s">
        <v>74</v>
      </c>
      <c r="R951" t="s">
        <v>74</v>
      </c>
      <c r="S951" t="s">
        <v>74</v>
      </c>
      <c r="T951" t="s">
        <v>17869</v>
      </c>
      <c r="U951" t="s">
        <v>17870</v>
      </c>
      <c r="V951" t="s">
        <v>17871</v>
      </c>
      <c r="W951" t="s">
        <v>17872</v>
      </c>
      <c r="X951" t="s">
        <v>17873</v>
      </c>
      <c r="Y951" t="s">
        <v>17874</v>
      </c>
      <c r="Z951" t="s">
        <v>17875</v>
      </c>
      <c r="AA951" t="s">
        <v>74</v>
      </c>
      <c r="AB951" t="s">
        <v>74</v>
      </c>
      <c r="AC951" t="s">
        <v>17876</v>
      </c>
      <c r="AD951" t="s">
        <v>17877</v>
      </c>
      <c r="AE951" t="s">
        <v>17878</v>
      </c>
      <c r="AF951" t="s">
        <v>74</v>
      </c>
      <c r="AG951">
        <v>26</v>
      </c>
      <c r="AH951">
        <v>38</v>
      </c>
      <c r="AI951">
        <v>40</v>
      </c>
      <c r="AJ951">
        <v>0</v>
      </c>
      <c r="AK951">
        <v>4</v>
      </c>
      <c r="AL951" t="s">
        <v>2167</v>
      </c>
      <c r="AM951" t="s">
        <v>2168</v>
      </c>
      <c r="AN951" t="s">
        <v>2169</v>
      </c>
      <c r="AO951" t="s">
        <v>17631</v>
      </c>
      <c r="AP951" t="s">
        <v>17632</v>
      </c>
      <c r="AQ951" t="s">
        <v>74</v>
      </c>
      <c r="AR951" t="s">
        <v>17633</v>
      </c>
      <c r="AS951" t="s">
        <v>17634</v>
      </c>
      <c r="AT951" t="s">
        <v>74</v>
      </c>
      <c r="AU951">
        <v>2015</v>
      </c>
      <c r="AV951">
        <v>56</v>
      </c>
      <c r="AW951">
        <v>69</v>
      </c>
      <c r="AX951">
        <v>2</v>
      </c>
      <c r="AY951" t="s">
        <v>74</v>
      </c>
      <c r="AZ951" t="s">
        <v>74</v>
      </c>
      <c r="BA951" t="s">
        <v>74</v>
      </c>
      <c r="BB951">
        <v>415</v>
      </c>
      <c r="BC951">
        <v>424</v>
      </c>
      <c r="BD951" t="s">
        <v>74</v>
      </c>
      <c r="BE951" t="s">
        <v>17879</v>
      </c>
      <c r="BF951" t="str">
        <f>HYPERLINK("http://dx.doi.org/10.3189/2015AoG69A600","http://dx.doi.org/10.3189/2015AoG69A600")</f>
        <v>http://dx.doi.org/10.3189/2015AoG69A600</v>
      </c>
      <c r="BG951" t="s">
        <v>74</v>
      </c>
      <c r="BH951" t="s">
        <v>74</v>
      </c>
      <c r="BI951">
        <v>10</v>
      </c>
      <c r="BJ951" t="s">
        <v>795</v>
      </c>
      <c r="BK951" t="s">
        <v>100</v>
      </c>
      <c r="BL951" t="s">
        <v>796</v>
      </c>
      <c r="BM951" t="s">
        <v>17816</v>
      </c>
      <c r="BN951" t="s">
        <v>74</v>
      </c>
      <c r="BO951" t="s">
        <v>156</v>
      </c>
      <c r="BP951" t="s">
        <v>74</v>
      </c>
      <c r="BQ951" t="s">
        <v>74</v>
      </c>
      <c r="BR951" t="s">
        <v>104</v>
      </c>
      <c r="BS951" t="s">
        <v>17880</v>
      </c>
      <c r="BT951" t="str">
        <f>HYPERLINK("https%3A%2F%2Fwww.webofscience.com%2Fwos%2Fwoscc%2Ffull-record%2FWOS:000363083200021","View Full Record in Web of Science")</f>
        <v>View Full Record in Web of Science</v>
      </c>
    </row>
    <row r="952" spans="1:72" x14ac:dyDescent="0.15">
      <c r="A952" t="s">
        <v>72</v>
      </c>
      <c r="B952" t="s">
        <v>17881</v>
      </c>
      <c r="C952" t="s">
        <v>74</v>
      </c>
      <c r="D952" t="s">
        <v>74</v>
      </c>
      <c r="E952" t="s">
        <v>74</v>
      </c>
      <c r="F952" t="s">
        <v>17882</v>
      </c>
      <c r="G952" t="s">
        <v>74</v>
      </c>
      <c r="H952" t="s">
        <v>74</v>
      </c>
      <c r="I952" t="s">
        <v>17883</v>
      </c>
      <c r="J952" t="s">
        <v>17620</v>
      </c>
      <c r="K952" t="s">
        <v>74</v>
      </c>
      <c r="L952" t="s">
        <v>74</v>
      </c>
      <c r="M952" t="s">
        <v>78</v>
      </c>
      <c r="N952" t="s">
        <v>79</v>
      </c>
      <c r="O952" t="s">
        <v>74</v>
      </c>
      <c r="P952" t="s">
        <v>74</v>
      </c>
      <c r="Q952" t="s">
        <v>74</v>
      </c>
      <c r="R952" t="s">
        <v>74</v>
      </c>
      <c r="S952" t="s">
        <v>74</v>
      </c>
      <c r="T952" t="s">
        <v>17884</v>
      </c>
      <c r="U952" t="s">
        <v>17885</v>
      </c>
      <c r="V952" t="s">
        <v>17886</v>
      </c>
      <c r="W952" t="s">
        <v>17887</v>
      </c>
      <c r="X952" t="s">
        <v>17888</v>
      </c>
      <c r="Y952" t="s">
        <v>17889</v>
      </c>
      <c r="Z952" t="s">
        <v>17890</v>
      </c>
      <c r="AA952" t="s">
        <v>17891</v>
      </c>
      <c r="AB952" t="s">
        <v>17892</v>
      </c>
      <c r="AC952" t="s">
        <v>17893</v>
      </c>
      <c r="AD952" t="s">
        <v>17894</v>
      </c>
      <c r="AE952" t="s">
        <v>17895</v>
      </c>
      <c r="AF952" t="s">
        <v>74</v>
      </c>
      <c r="AG952">
        <v>32</v>
      </c>
      <c r="AH952">
        <v>2</v>
      </c>
      <c r="AI952">
        <v>2</v>
      </c>
      <c r="AJ952">
        <v>1</v>
      </c>
      <c r="AK952">
        <v>5</v>
      </c>
      <c r="AL952" t="s">
        <v>16329</v>
      </c>
      <c r="AM952" t="s">
        <v>2168</v>
      </c>
      <c r="AN952" t="s">
        <v>16330</v>
      </c>
      <c r="AO952" t="s">
        <v>17631</v>
      </c>
      <c r="AP952" t="s">
        <v>17632</v>
      </c>
      <c r="AQ952" t="s">
        <v>74</v>
      </c>
      <c r="AR952" t="s">
        <v>17633</v>
      </c>
      <c r="AS952" t="s">
        <v>17634</v>
      </c>
      <c r="AT952" t="s">
        <v>74</v>
      </c>
      <c r="AU952">
        <v>2015</v>
      </c>
      <c r="AV952">
        <v>56</v>
      </c>
      <c r="AW952">
        <v>69</v>
      </c>
      <c r="AX952">
        <v>2</v>
      </c>
      <c r="AY952" t="s">
        <v>74</v>
      </c>
      <c r="AZ952" t="s">
        <v>74</v>
      </c>
      <c r="BA952" t="s">
        <v>74</v>
      </c>
      <c r="BB952">
        <v>436</v>
      </c>
      <c r="BC952">
        <v>444</v>
      </c>
      <c r="BD952" t="s">
        <v>74</v>
      </c>
      <c r="BE952" t="s">
        <v>17896</v>
      </c>
      <c r="BF952" t="str">
        <f>HYPERLINK("http://dx.doi.org/10.3189/2015AoG69A621","http://dx.doi.org/10.3189/2015AoG69A621")</f>
        <v>http://dx.doi.org/10.3189/2015AoG69A621</v>
      </c>
      <c r="BG952" t="s">
        <v>74</v>
      </c>
      <c r="BH952" t="s">
        <v>74</v>
      </c>
      <c r="BI952">
        <v>9</v>
      </c>
      <c r="BJ952" t="s">
        <v>795</v>
      </c>
      <c r="BK952" t="s">
        <v>100</v>
      </c>
      <c r="BL952" t="s">
        <v>796</v>
      </c>
      <c r="BM952" t="s">
        <v>17816</v>
      </c>
      <c r="BN952" t="s">
        <v>74</v>
      </c>
      <c r="BO952" t="s">
        <v>17897</v>
      </c>
      <c r="BP952" t="s">
        <v>74</v>
      </c>
      <c r="BQ952" t="s">
        <v>74</v>
      </c>
      <c r="BR952" t="s">
        <v>104</v>
      </c>
      <c r="BS952" t="s">
        <v>17898</v>
      </c>
      <c r="BT952" t="str">
        <f>HYPERLINK("https%3A%2F%2Fwww.webofscience.com%2Fwos%2Fwoscc%2Ffull-record%2FWOS:000363083200023","View Full Record in Web of Science")</f>
        <v>View Full Record in Web of Science</v>
      </c>
    </row>
    <row r="953" spans="1:72" x14ac:dyDescent="0.15">
      <c r="A953" t="s">
        <v>72</v>
      </c>
      <c r="B953" t="s">
        <v>17899</v>
      </c>
      <c r="C953" t="s">
        <v>74</v>
      </c>
      <c r="D953" t="s">
        <v>74</v>
      </c>
      <c r="E953" t="s">
        <v>74</v>
      </c>
      <c r="F953" t="s">
        <v>17900</v>
      </c>
      <c r="G953" t="s">
        <v>74</v>
      </c>
      <c r="H953" t="s">
        <v>74</v>
      </c>
      <c r="I953" t="s">
        <v>17901</v>
      </c>
      <c r="J953" t="s">
        <v>17620</v>
      </c>
      <c r="K953" t="s">
        <v>74</v>
      </c>
      <c r="L953" t="s">
        <v>74</v>
      </c>
      <c r="M953" t="s">
        <v>78</v>
      </c>
      <c r="N953" t="s">
        <v>79</v>
      </c>
      <c r="O953" t="s">
        <v>74</v>
      </c>
      <c r="P953" t="s">
        <v>74</v>
      </c>
      <c r="Q953" t="s">
        <v>74</v>
      </c>
      <c r="R953" t="s">
        <v>74</v>
      </c>
      <c r="S953" t="s">
        <v>74</v>
      </c>
      <c r="T953" t="s">
        <v>17902</v>
      </c>
      <c r="U953" t="s">
        <v>17903</v>
      </c>
      <c r="V953" t="s">
        <v>17904</v>
      </c>
      <c r="W953" t="s">
        <v>17905</v>
      </c>
      <c r="X953" t="s">
        <v>17906</v>
      </c>
      <c r="Y953" t="s">
        <v>17907</v>
      </c>
      <c r="Z953" t="s">
        <v>17908</v>
      </c>
      <c r="AA953" t="s">
        <v>17909</v>
      </c>
      <c r="AB953" t="s">
        <v>17910</v>
      </c>
      <c r="AC953" t="s">
        <v>17911</v>
      </c>
      <c r="AD953" t="s">
        <v>17912</v>
      </c>
      <c r="AE953" t="s">
        <v>17913</v>
      </c>
      <c r="AF953" t="s">
        <v>74</v>
      </c>
      <c r="AG953">
        <v>34</v>
      </c>
      <c r="AH953">
        <v>8</v>
      </c>
      <c r="AI953">
        <v>10</v>
      </c>
      <c r="AJ953">
        <v>2</v>
      </c>
      <c r="AK953">
        <v>15</v>
      </c>
      <c r="AL953" t="s">
        <v>2167</v>
      </c>
      <c r="AM953" t="s">
        <v>2168</v>
      </c>
      <c r="AN953" t="s">
        <v>2169</v>
      </c>
      <c r="AO953" t="s">
        <v>17631</v>
      </c>
      <c r="AP953" t="s">
        <v>17632</v>
      </c>
      <c r="AQ953" t="s">
        <v>74</v>
      </c>
      <c r="AR953" t="s">
        <v>17633</v>
      </c>
      <c r="AS953" t="s">
        <v>17634</v>
      </c>
      <c r="AT953" t="s">
        <v>74</v>
      </c>
      <c r="AU953">
        <v>2015</v>
      </c>
      <c r="AV953">
        <v>56</v>
      </c>
      <c r="AW953">
        <v>69</v>
      </c>
      <c r="AX953">
        <v>2</v>
      </c>
      <c r="AY953" t="s">
        <v>74</v>
      </c>
      <c r="AZ953" t="s">
        <v>74</v>
      </c>
      <c r="BA953" t="s">
        <v>74</v>
      </c>
      <c r="BB953">
        <v>451</v>
      </c>
      <c r="BC953">
        <v>455</v>
      </c>
      <c r="BD953" t="s">
        <v>74</v>
      </c>
      <c r="BE953" t="s">
        <v>17914</v>
      </c>
      <c r="BF953" t="str">
        <f>HYPERLINK("http://dx.doi.org/10.3189/2015AoG69A719","http://dx.doi.org/10.3189/2015AoG69A719")</f>
        <v>http://dx.doi.org/10.3189/2015AoG69A719</v>
      </c>
      <c r="BG953" t="s">
        <v>74</v>
      </c>
      <c r="BH953" t="s">
        <v>74</v>
      </c>
      <c r="BI953">
        <v>5</v>
      </c>
      <c r="BJ953" t="s">
        <v>795</v>
      </c>
      <c r="BK953" t="s">
        <v>100</v>
      </c>
      <c r="BL953" t="s">
        <v>796</v>
      </c>
      <c r="BM953" t="s">
        <v>17816</v>
      </c>
      <c r="BN953" t="s">
        <v>74</v>
      </c>
      <c r="BO953" t="s">
        <v>156</v>
      </c>
      <c r="BP953" t="s">
        <v>74</v>
      </c>
      <c r="BQ953" t="s">
        <v>74</v>
      </c>
      <c r="BR953" t="s">
        <v>104</v>
      </c>
      <c r="BS953" t="s">
        <v>17915</v>
      </c>
      <c r="BT953" t="str">
        <f>HYPERLINK("https%3A%2F%2Fwww.webofscience.com%2Fwos%2Fwoscc%2Ffull-record%2FWOS:000363083200025","View Full Record in Web of Science")</f>
        <v>View Full Record in Web of Science</v>
      </c>
    </row>
    <row r="954" spans="1:72" x14ac:dyDescent="0.15">
      <c r="A954" t="s">
        <v>72</v>
      </c>
      <c r="B954" t="s">
        <v>17916</v>
      </c>
      <c r="C954" t="s">
        <v>74</v>
      </c>
      <c r="D954" t="s">
        <v>74</v>
      </c>
      <c r="E954" t="s">
        <v>74</v>
      </c>
      <c r="F954" t="s">
        <v>17917</v>
      </c>
      <c r="G954" t="s">
        <v>74</v>
      </c>
      <c r="H954" t="s">
        <v>74</v>
      </c>
      <c r="I954" t="s">
        <v>17918</v>
      </c>
      <c r="J954" t="s">
        <v>17219</v>
      </c>
      <c r="K954" t="s">
        <v>74</v>
      </c>
      <c r="L954" t="s">
        <v>74</v>
      </c>
      <c r="M954" t="s">
        <v>78</v>
      </c>
      <c r="N954" t="s">
        <v>79</v>
      </c>
      <c r="O954" t="s">
        <v>74</v>
      </c>
      <c r="P954" t="s">
        <v>74</v>
      </c>
      <c r="Q954" t="s">
        <v>74</v>
      </c>
      <c r="R954" t="s">
        <v>74</v>
      </c>
      <c r="S954" t="s">
        <v>74</v>
      </c>
      <c r="T954" t="s">
        <v>74</v>
      </c>
      <c r="U954" t="s">
        <v>17919</v>
      </c>
      <c r="V954" t="s">
        <v>17920</v>
      </c>
      <c r="W954" t="s">
        <v>17921</v>
      </c>
      <c r="X954" t="s">
        <v>17922</v>
      </c>
      <c r="Y954" t="s">
        <v>17923</v>
      </c>
      <c r="Z954" t="s">
        <v>17924</v>
      </c>
      <c r="AA954" t="s">
        <v>74</v>
      </c>
      <c r="AB954" t="s">
        <v>17925</v>
      </c>
      <c r="AC954" t="s">
        <v>17926</v>
      </c>
      <c r="AD954" t="s">
        <v>1660</v>
      </c>
      <c r="AE954" t="s">
        <v>17927</v>
      </c>
      <c r="AF954" t="s">
        <v>74</v>
      </c>
      <c r="AG954">
        <v>66</v>
      </c>
      <c r="AH954">
        <v>36</v>
      </c>
      <c r="AI954">
        <v>39</v>
      </c>
      <c r="AJ954">
        <v>2</v>
      </c>
      <c r="AK954">
        <v>28</v>
      </c>
      <c r="AL954" t="s">
        <v>16626</v>
      </c>
      <c r="AM954" t="s">
        <v>16627</v>
      </c>
      <c r="AN954" t="s">
        <v>16628</v>
      </c>
      <c r="AO954" t="s">
        <v>17230</v>
      </c>
      <c r="AP954" t="s">
        <v>17231</v>
      </c>
      <c r="AQ954" t="s">
        <v>74</v>
      </c>
      <c r="AR954" t="s">
        <v>17232</v>
      </c>
      <c r="AS954" t="s">
        <v>17233</v>
      </c>
      <c r="AT954" t="s">
        <v>74</v>
      </c>
      <c r="AU954">
        <v>2015</v>
      </c>
      <c r="AV954">
        <v>15</v>
      </c>
      <c r="AW954">
        <v>19</v>
      </c>
      <c r="AX954" t="s">
        <v>74</v>
      </c>
      <c r="AY954" t="s">
        <v>74</v>
      </c>
      <c r="AZ954" t="s">
        <v>74</v>
      </c>
      <c r="BA954" t="s">
        <v>74</v>
      </c>
      <c r="BB954">
        <v>11399</v>
      </c>
      <c r="BC954">
        <v>11410</v>
      </c>
      <c r="BD954" t="s">
        <v>74</v>
      </c>
      <c r="BE954" t="s">
        <v>17928</v>
      </c>
      <c r="BF954" t="str">
        <f>HYPERLINK("http://dx.doi.org/10.5194/acp-15-11399-2015","http://dx.doi.org/10.5194/acp-15-11399-2015")</f>
        <v>http://dx.doi.org/10.5194/acp-15-11399-2015</v>
      </c>
      <c r="BG954" t="s">
        <v>74</v>
      </c>
      <c r="BH954" t="s">
        <v>74</v>
      </c>
      <c r="BI954">
        <v>12</v>
      </c>
      <c r="BJ954" t="s">
        <v>1741</v>
      </c>
      <c r="BK954" t="s">
        <v>100</v>
      </c>
      <c r="BL954" t="s">
        <v>1742</v>
      </c>
      <c r="BM954" t="s">
        <v>17929</v>
      </c>
      <c r="BN954" t="s">
        <v>74</v>
      </c>
      <c r="BO954" t="s">
        <v>1490</v>
      </c>
      <c r="BP954" t="s">
        <v>74</v>
      </c>
      <c r="BQ954" t="s">
        <v>74</v>
      </c>
      <c r="BR954" t="s">
        <v>104</v>
      </c>
      <c r="BS954" t="s">
        <v>17930</v>
      </c>
      <c r="BT954" t="str">
        <f>HYPERLINK("https%3A%2F%2Fwww.webofscience.com%2Fwos%2Fwoscc%2Ffull-record%2FWOS:000362971000029","View Full Record in Web of Science")</f>
        <v>View Full Record in Web of Science</v>
      </c>
    </row>
    <row r="955" spans="1:72" x14ac:dyDescent="0.15">
      <c r="A955" t="s">
        <v>72</v>
      </c>
      <c r="B955" t="s">
        <v>17931</v>
      </c>
      <c r="C955" t="s">
        <v>74</v>
      </c>
      <c r="D955" t="s">
        <v>74</v>
      </c>
      <c r="E955" t="s">
        <v>74</v>
      </c>
      <c r="F955" t="s">
        <v>17932</v>
      </c>
      <c r="G955" t="s">
        <v>74</v>
      </c>
      <c r="H955" t="s">
        <v>74</v>
      </c>
      <c r="I955" t="s">
        <v>17933</v>
      </c>
      <c r="J955" t="s">
        <v>17288</v>
      </c>
      <c r="K955" t="s">
        <v>74</v>
      </c>
      <c r="L955" t="s">
        <v>74</v>
      </c>
      <c r="M955" t="s">
        <v>78</v>
      </c>
      <c r="N955" t="s">
        <v>79</v>
      </c>
      <c r="O955" t="s">
        <v>74</v>
      </c>
      <c r="P955" t="s">
        <v>74</v>
      </c>
      <c r="Q955" t="s">
        <v>74</v>
      </c>
      <c r="R955" t="s">
        <v>74</v>
      </c>
      <c r="S955" t="s">
        <v>74</v>
      </c>
      <c r="T955" t="s">
        <v>74</v>
      </c>
      <c r="U955" t="s">
        <v>17934</v>
      </c>
      <c r="V955" t="s">
        <v>17935</v>
      </c>
      <c r="W955" t="s">
        <v>17936</v>
      </c>
      <c r="X955" t="s">
        <v>17937</v>
      </c>
      <c r="Y955" t="s">
        <v>17938</v>
      </c>
      <c r="Z955" t="s">
        <v>17939</v>
      </c>
      <c r="AA955" t="s">
        <v>17940</v>
      </c>
      <c r="AB955" t="s">
        <v>17941</v>
      </c>
      <c r="AC955" t="s">
        <v>17942</v>
      </c>
      <c r="AD955" t="s">
        <v>17943</v>
      </c>
      <c r="AE955" t="s">
        <v>17944</v>
      </c>
      <c r="AF955" t="s">
        <v>74</v>
      </c>
      <c r="AG955">
        <v>36</v>
      </c>
      <c r="AH955">
        <v>63</v>
      </c>
      <c r="AI955">
        <v>63</v>
      </c>
      <c r="AJ955">
        <v>0</v>
      </c>
      <c r="AK955">
        <v>22</v>
      </c>
      <c r="AL955" t="s">
        <v>16626</v>
      </c>
      <c r="AM955" t="s">
        <v>16627</v>
      </c>
      <c r="AN955" t="s">
        <v>16628</v>
      </c>
      <c r="AO955" t="s">
        <v>17300</v>
      </c>
      <c r="AP955" t="s">
        <v>17301</v>
      </c>
      <c r="AQ955" t="s">
        <v>74</v>
      </c>
      <c r="AR955" t="s">
        <v>17288</v>
      </c>
      <c r="AS955" t="s">
        <v>17302</v>
      </c>
      <c r="AT955" t="s">
        <v>74</v>
      </c>
      <c r="AU955">
        <v>2015</v>
      </c>
      <c r="AV955">
        <v>12</v>
      </c>
      <c r="AW955">
        <v>19</v>
      </c>
      <c r="AX955" t="s">
        <v>74</v>
      </c>
      <c r="AY955" t="s">
        <v>74</v>
      </c>
      <c r="AZ955" t="s">
        <v>74</v>
      </c>
      <c r="BA955" t="s">
        <v>74</v>
      </c>
      <c r="BB955">
        <v>5567</v>
      </c>
      <c r="BC955">
        <v>5581</v>
      </c>
      <c r="BD955" t="s">
        <v>74</v>
      </c>
      <c r="BE955" t="s">
        <v>17945</v>
      </c>
      <c r="BF955" t="str">
        <f>HYPERLINK("http://dx.doi.org/10.5194/bg-12-5567-2015","http://dx.doi.org/10.5194/bg-12-5567-2015")</f>
        <v>http://dx.doi.org/10.5194/bg-12-5567-2015</v>
      </c>
      <c r="BG955" t="s">
        <v>74</v>
      </c>
      <c r="BH955" t="s">
        <v>74</v>
      </c>
      <c r="BI955">
        <v>15</v>
      </c>
      <c r="BJ955" t="s">
        <v>9999</v>
      </c>
      <c r="BK955" t="s">
        <v>100</v>
      </c>
      <c r="BL955" t="s">
        <v>7144</v>
      </c>
      <c r="BM955" t="s">
        <v>17946</v>
      </c>
      <c r="BN955" t="s">
        <v>74</v>
      </c>
      <c r="BO955" t="s">
        <v>17517</v>
      </c>
      <c r="BP955" t="s">
        <v>74</v>
      </c>
      <c r="BQ955" t="s">
        <v>74</v>
      </c>
      <c r="BR955" t="s">
        <v>104</v>
      </c>
      <c r="BS955" t="s">
        <v>17947</v>
      </c>
      <c r="BT955" t="str">
        <f>HYPERLINK("https%3A%2F%2Fwww.webofscience.com%2Fwos%2Fwoscc%2Ffull-record%2FWOS:000362972200001","View Full Record in Web of Science")</f>
        <v>View Full Record in Web of Science</v>
      </c>
    </row>
    <row r="956" spans="1:72" x14ac:dyDescent="0.15">
      <c r="A956" t="s">
        <v>72</v>
      </c>
      <c r="B956" t="s">
        <v>17948</v>
      </c>
      <c r="C956" t="s">
        <v>74</v>
      </c>
      <c r="D956" t="s">
        <v>74</v>
      </c>
      <c r="E956" t="s">
        <v>74</v>
      </c>
      <c r="F956" t="s">
        <v>17949</v>
      </c>
      <c r="G956" t="s">
        <v>74</v>
      </c>
      <c r="H956" t="s">
        <v>74</v>
      </c>
      <c r="I956" t="s">
        <v>17950</v>
      </c>
      <c r="J956" t="s">
        <v>16266</v>
      </c>
      <c r="K956" t="s">
        <v>74</v>
      </c>
      <c r="L956" t="s">
        <v>74</v>
      </c>
      <c r="M956" t="s">
        <v>78</v>
      </c>
      <c r="N956" t="s">
        <v>79</v>
      </c>
      <c r="O956" t="s">
        <v>74</v>
      </c>
      <c r="P956" t="s">
        <v>74</v>
      </c>
      <c r="Q956" t="s">
        <v>74</v>
      </c>
      <c r="R956" t="s">
        <v>74</v>
      </c>
      <c r="S956" t="s">
        <v>74</v>
      </c>
      <c r="T956" t="s">
        <v>17951</v>
      </c>
      <c r="U956" t="s">
        <v>17952</v>
      </c>
      <c r="V956" t="s">
        <v>17953</v>
      </c>
      <c r="W956" t="s">
        <v>17954</v>
      </c>
      <c r="X956" t="s">
        <v>17955</v>
      </c>
      <c r="Y956" t="s">
        <v>17956</v>
      </c>
      <c r="Z956" t="s">
        <v>17957</v>
      </c>
      <c r="AA956" t="s">
        <v>17958</v>
      </c>
      <c r="AB956" t="s">
        <v>17959</v>
      </c>
      <c r="AC956" t="s">
        <v>17960</v>
      </c>
      <c r="AD956" t="s">
        <v>17961</v>
      </c>
      <c r="AE956" t="s">
        <v>17962</v>
      </c>
      <c r="AF956" t="s">
        <v>74</v>
      </c>
      <c r="AG956">
        <v>42</v>
      </c>
      <c r="AH956">
        <v>29</v>
      </c>
      <c r="AI956">
        <v>35</v>
      </c>
      <c r="AJ956">
        <v>2</v>
      </c>
      <c r="AK956">
        <v>27</v>
      </c>
      <c r="AL956" t="s">
        <v>16329</v>
      </c>
      <c r="AM956" t="s">
        <v>2168</v>
      </c>
      <c r="AN956" t="s">
        <v>16330</v>
      </c>
      <c r="AO956" t="s">
        <v>16277</v>
      </c>
      <c r="AP956" t="s">
        <v>16278</v>
      </c>
      <c r="AQ956" t="s">
        <v>74</v>
      </c>
      <c r="AR956" t="s">
        <v>16279</v>
      </c>
      <c r="AS956" t="s">
        <v>16280</v>
      </c>
      <c r="AT956" t="s">
        <v>74</v>
      </c>
      <c r="AU956">
        <v>2015</v>
      </c>
      <c r="AV956">
        <v>61</v>
      </c>
      <c r="AW956">
        <v>228</v>
      </c>
      <c r="AX956" t="s">
        <v>74</v>
      </c>
      <c r="AY956" t="s">
        <v>74</v>
      </c>
      <c r="AZ956" t="s">
        <v>74</v>
      </c>
      <c r="BA956" t="s">
        <v>74</v>
      </c>
      <c r="BB956">
        <v>635</v>
      </c>
      <c r="BC956">
        <v>645</v>
      </c>
      <c r="BD956" t="s">
        <v>74</v>
      </c>
      <c r="BE956" t="s">
        <v>17963</v>
      </c>
      <c r="BF956" t="str">
        <f>HYPERLINK("http://dx.doi.org/10.3189/2015JoG14J169","http://dx.doi.org/10.3189/2015JoG14J169")</f>
        <v>http://dx.doi.org/10.3189/2015JoG14J169</v>
      </c>
      <c r="BG956" t="s">
        <v>74</v>
      </c>
      <c r="BH956" t="s">
        <v>74</v>
      </c>
      <c r="BI956">
        <v>11</v>
      </c>
      <c r="BJ956" t="s">
        <v>795</v>
      </c>
      <c r="BK956" t="s">
        <v>100</v>
      </c>
      <c r="BL956" t="s">
        <v>796</v>
      </c>
      <c r="BM956" t="s">
        <v>17964</v>
      </c>
      <c r="BN956" t="s">
        <v>74</v>
      </c>
      <c r="BO956" t="s">
        <v>2201</v>
      </c>
      <c r="BP956" t="s">
        <v>74</v>
      </c>
      <c r="BQ956" t="s">
        <v>74</v>
      </c>
      <c r="BR956" t="s">
        <v>104</v>
      </c>
      <c r="BS956" t="s">
        <v>17965</v>
      </c>
      <c r="BT956" t="str">
        <f>HYPERLINK("https%3A%2F%2Fwww.webofscience.com%2Fwos%2Fwoscc%2Ffull-record%2FWOS:000363002200003","View Full Record in Web of Science")</f>
        <v>View Full Record in Web of Science</v>
      </c>
    </row>
    <row r="957" spans="1:72" x14ac:dyDescent="0.15">
      <c r="A957" t="s">
        <v>72</v>
      </c>
      <c r="B957" t="s">
        <v>17966</v>
      </c>
      <c r="C957" t="s">
        <v>74</v>
      </c>
      <c r="D957" t="s">
        <v>74</v>
      </c>
      <c r="E957" t="s">
        <v>74</v>
      </c>
      <c r="F957" t="s">
        <v>17967</v>
      </c>
      <c r="G957" t="s">
        <v>74</v>
      </c>
      <c r="H957" t="s">
        <v>74</v>
      </c>
      <c r="I957" t="s">
        <v>17968</v>
      </c>
      <c r="J957" t="s">
        <v>16266</v>
      </c>
      <c r="K957" t="s">
        <v>74</v>
      </c>
      <c r="L957" t="s">
        <v>74</v>
      </c>
      <c r="M957" t="s">
        <v>78</v>
      </c>
      <c r="N957" t="s">
        <v>79</v>
      </c>
      <c r="O957" t="s">
        <v>74</v>
      </c>
      <c r="P957" t="s">
        <v>74</v>
      </c>
      <c r="Q957" t="s">
        <v>74</v>
      </c>
      <c r="R957" t="s">
        <v>74</v>
      </c>
      <c r="S957" t="s">
        <v>74</v>
      </c>
      <c r="T957" t="s">
        <v>17969</v>
      </c>
      <c r="U957" t="s">
        <v>17970</v>
      </c>
      <c r="V957" t="s">
        <v>17971</v>
      </c>
      <c r="W957" t="s">
        <v>17972</v>
      </c>
      <c r="X957" t="s">
        <v>17973</v>
      </c>
      <c r="Y957" t="s">
        <v>17974</v>
      </c>
      <c r="Z957" t="s">
        <v>17975</v>
      </c>
      <c r="AA957" t="s">
        <v>17976</v>
      </c>
      <c r="AB957" t="s">
        <v>17977</v>
      </c>
      <c r="AC957" t="s">
        <v>17978</v>
      </c>
      <c r="AD957" t="s">
        <v>17978</v>
      </c>
      <c r="AE957" t="s">
        <v>17979</v>
      </c>
      <c r="AF957" t="s">
        <v>74</v>
      </c>
      <c r="AG957">
        <v>51</v>
      </c>
      <c r="AH957">
        <v>5</v>
      </c>
      <c r="AI957">
        <v>8</v>
      </c>
      <c r="AJ957">
        <v>4</v>
      </c>
      <c r="AK957">
        <v>28</v>
      </c>
      <c r="AL957" t="s">
        <v>2167</v>
      </c>
      <c r="AM957" t="s">
        <v>2168</v>
      </c>
      <c r="AN957" t="s">
        <v>2169</v>
      </c>
      <c r="AO957" t="s">
        <v>16277</v>
      </c>
      <c r="AP957" t="s">
        <v>16278</v>
      </c>
      <c r="AQ957" t="s">
        <v>74</v>
      </c>
      <c r="AR957" t="s">
        <v>16279</v>
      </c>
      <c r="AS957" t="s">
        <v>16280</v>
      </c>
      <c r="AT957" t="s">
        <v>74</v>
      </c>
      <c r="AU957">
        <v>2015</v>
      </c>
      <c r="AV957">
        <v>61</v>
      </c>
      <c r="AW957">
        <v>228</v>
      </c>
      <c r="AX957" t="s">
        <v>74</v>
      </c>
      <c r="AY957" t="s">
        <v>74</v>
      </c>
      <c r="AZ957" t="s">
        <v>74</v>
      </c>
      <c r="BA957" t="s">
        <v>74</v>
      </c>
      <c r="BB957">
        <v>663</v>
      </c>
      <c r="BC957">
        <v>674</v>
      </c>
      <c r="BD957" t="s">
        <v>74</v>
      </c>
      <c r="BE957" t="s">
        <v>17980</v>
      </c>
      <c r="BF957" t="str">
        <f>HYPERLINK("http://dx.doi.org/10.3189/2015JoG14J228","http://dx.doi.org/10.3189/2015JoG14J228")</f>
        <v>http://dx.doi.org/10.3189/2015JoG14J228</v>
      </c>
      <c r="BG957" t="s">
        <v>74</v>
      </c>
      <c r="BH957" t="s">
        <v>74</v>
      </c>
      <c r="BI957">
        <v>12</v>
      </c>
      <c r="BJ957" t="s">
        <v>795</v>
      </c>
      <c r="BK957" t="s">
        <v>100</v>
      </c>
      <c r="BL957" t="s">
        <v>796</v>
      </c>
      <c r="BM957" t="s">
        <v>17964</v>
      </c>
      <c r="BN957" t="s">
        <v>74</v>
      </c>
      <c r="BO957" t="s">
        <v>156</v>
      </c>
      <c r="BP957" t="s">
        <v>74</v>
      </c>
      <c r="BQ957" t="s">
        <v>74</v>
      </c>
      <c r="BR957" t="s">
        <v>104</v>
      </c>
      <c r="BS957" t="s">
        <v>17981</v>
      </c>
      <c r="BT957" t="str">
        <f>HYPERLINK("https%3A%2F%2Fwww.webofscience.com%2Fwos%2Fwoscc%2Ffull-record%2FWOS:000363002200005","View Full Record in Web of Science")</f>
        <v>View Full Record in Web of Science</v>
      </c>
    </row>
    <row r="958" spans="1:72" x14ac:dyDescent="0.15">
      <c r="A958" t="s">
        <v>72</v>
      </c>
      <c r="B958" t="s">
        <v>17982</v>
      </c>
      <c r="C958" t="s">
        <v>74</v>
      </c>
      <c r="D958" t="s">
        <v>74</v>
      </c>
      <c r="E958" t="s">
        <v>74</v>
      </c>
      <c r="F958" t="s">
        <v>17983</v>
      </c>
      <c r="G958" t="s">
        <v>74</v>
      </c>
      <c r="H958" t="s">
        <v>74</v>
      </c>
      <c r="I958" t="s">
        <v>17984</v>
      </c>
      <c r="J958" t="s">
        <v>16266</v>
      </c>
      <c r="K958" t="s">
        <v>74</v>
      </c>
      <c r="L958" t="s">
        <v>74</v>
      </c>
      <c r="M958" t="s">
        <v>78</v>
      </c>
      <c r="N958" t="s">
        <v>79</v>
      </c>
      <c r="O958" t="s">
        <v>74</v>
      </c>
      <c r="P958" t="s">
        <v>74</v>
      </c>
      <c r="Q958" t="s">
        <v>74</v>
      </c>
      <c r="R958" t="s">
        <v>74</v>
      </c>
      <c r="S958" t="s">
        <v>74</v>
      </c>
      <c r="T958" t="s">
        <v>17985</v>
      </c>
      <c r="U958" t="s">
        <v>17986</v>
      </c>
      <c r="V958" t="s">
        <v>17987</v>
      </c>
      <c r="W958" t="s">
        <v>17988</v>
      </c>
      <c r="X958" t="s">
        <v>17989</v>
      </c>
      <c r="Y958" t="s">
        <v>17990</v>
      </c>
      <c r="Z958" t="s">
        <v>17991</v>
      </c>
      <c r="AA958" t="s">
        <v>17992</v>
      </c>
      <c r="AB958" t="s">
        <v>17993</v>
      </c>
      <c r="AC958" t="s">
        <v>17994</v>
      </c>
      <c r="AD958" t="s">
        <v>17994</v>
      </c>
      <c r="AE958" t="s">
        <v>17995</v>
      </c>
      <c r="AF958" t="s">
        <v>74</v>
      </c>
      <c r="AG958">
        <v>77</v>
      </c>
      <c r="AH958">
        <v>8</v>
      </c>
      <c r="AI958">
        <v>9</v>
      </c>
      <c r="AJ958">
        <v>0</v>
      </c>
      <c r="AK958">
        <v>15</v>
      </c>
      <c r="AL958" t="s">
        <v>2167</v>
      </c>
      <c r="AM958" t="s">
        <v>2168</v>
      </c>
      <c r="AN958" t="s">
        <v>2169</v>
      </c>
      <c r="AO958" t="s">
        <v>16277</v>
      </c>
      <c r="AP958" t="s">
        <v>16278</v>
      </c>
      <c r="AQ958" t="s">
        <v>74</v>
      </c>
      <c r="AR958" t="s">
        <v>16279</v>
      </c>
      <c r="AS958" t="s">
        <v>16280</v>
      </c>
      <c r="AT958" t="s">
        <v>74</v>
      </c>
      <c r="AU958">
        <v>2015</v>
      </c>
      <c r="AV958">
        <v>61</v>
      </c>
      <c r="AW958">
        <v>228</v>
      </c>
      <c r="AX958" t="s">
        <v>74</v>
      </c>
      <c r="AY958" t="s">
        <v>74</v>
      </c>
      <c r="AZ958" t="s">
        <v>74</v>
      </c>
      <c r="BA958" t="s">
        <v>74</v>
      </c>
      <c r="BB958">
        <v>689</v>
      </c>
      <c r="BC958">
        <v>701</v>
      </c>
      <c r="BD958" t="s">
        <v>74</v>
      </c>
      <c r="BE958" t="s">
        <v>17996</v>
      </c>
      <c r="BF958" t="str">
        <f>HYPERLINK("http://dx.doi.org/10.3189/2015JoG14J095","http://dx.doi.org/10.3189/2015JoG14J095")</f>
        <v>http://dx.doi.org/10.3189/2015JoG14J095</v>
      </c>
      <c r="BG958" t="s">
        <v>74</v>
      </c>
      <c r="BH958" t="s">
        <v>74</v>
      </c>
      <c r="BI958">
        <v>13</v>
      </c>
      <c r="BJ958" t="s">
        <v>795</v>
      </c>
      <c r="BK958" t="s">
        <v>100</v>
      </c>
      <c r="BL958" t="s">
        <v>796</v>
      </c>
      <c r="BM958" t="s">
        <v>17964</v>
      </c>
      <c r="BN958" t="s">
        <v>74</v>
      </c>
      <c r="BO958" t="s">
        <v>156</v>
      </c>
      <c r="BP958" t="s">
        <v>74</v>
      </c>
      <c r="BQ958" t="s">
        <v>74</v>
      </c>
      <c r="BR958" t="s">
        <v>104</v>
      </c>
      <c r="BS958" t="s">
        <v>17997</v>
      </c>
      <c r="BT958" t="str">
        <f>HYPERLINK("https%3A%2F%2Fwww.webofscience.com%2Fwos%2Fwoscc%2Ffull-record%2FWOS:000363002200007","View Full Record in Web of Science")</f>
        <v>View Full Record in Web of Science</v>
      </c>
    </row>
    <row r="959" spans="1:72" x14ac:dyDescent="0.15">
      <c r="A959" t="s">
        <v>15978</v>
      </c>
      <c r="B959" t="s">
        <v>17998</v>
      </c>
      <c r="C959" t="s">
        <v>74</v>
      </c>
      <c r="D959" t="s">
        <v>17999</v>
      </c>
      <c r="E959" t="s">
        <v>74</v>
      </c>
      <c r="F959" t="s">
        <v>18000</v>
      </c>
      <c r="G959" t="s">
        <v>74</v>
      </c>
      <c r="H959" t="s">
        <v>74</v>
      </c>
      <c r="I959" t="s">
        <v>18001</v>
      </c>
      <c r="J959" t="s">
        <v>18002</v>
      </c>
      <c r="K959" t="s">
        <v>18003</v>
      </c>
      <c r="L959" t="s">
        <v>74</v>
      </c>
      <c r="M959" t="s">
        <v>78</v>
      </c>
      <c r="N959" t="s">
        <v>15564</v>
      </c>
      <c r="O959" t="s">
        <v>74</v>
      </c>
      <c r="P959" t="s">
        <v>74</v>
      </c>
      <c r="Q959" t="s">
        <v>74</v>
      </c>
      <c r="R959" t="s">
        <v>74</v>
      </c>
      <c r="S959" t="s">
        <v>74</v>
      </c>
      <c r="T959" t="s">
        <v>74</v>
      </c>
      <c r="U959" t="s">
        <v>18004</v>
      </c>
      <c r="V959" t="s">
        <v>18005</v>
      </c>
      <c r="W959" t="s">
        <v>18006</v>
      </c>
      <c r="X959" t="s">
        <v>18007</v>
      </c>
      <c r="Y959" t="s">
        <v>18008</v>
      </c>
      <c r="Z959" t="s">
        <v>18009</v>
      </c>
      <c r="AA959" t="s">
        <v>18010</v>
      </c>
      <c r="AB959" t="s">
        <v>74</v>
      </c>
      <c r="AC959" t="s">
        <v>74</v>
      </c>
      <c r="AD959" t="s">
        <v>74</v>
      </c>
      <c r="AE959" t="s">
        <v>74</v>
      </c>
      <c r="AF959" t="s">
        <v>74</v>
      </c>
      <c r="AG959">
        <v>158</v>
      </c>
      <c r="AH959">
        <v>45</v>
      </c>
      <c r="AI959">
        <v>47</v>
      </c>
      <c r="AJ959">
        <v>1</v>
      </c>
      <c r="AK959">
        <v>4</v>
      </c>
      <c r="AL959" t="s">
        <v>18011</v>
      </c>
      <c r="AM959" t="s">
        <v>378</v>
      </c>
      <c r="AN959" t="s">
        <v>18012</v>
      </c>
      <c r="AO959" t="s">
        <v>18013</v>
      </c>
      <c r="AP959" t="s">
        <v>74</v>
      </c>
      <c r="AQ959" t="s">
        <v>18014</v>
      </c>
      <c r="AR959" t="s">
        <v>18015</v>
      </c>
      <c r="AS959" t="s">
        <v>74</v>
      </c>
      <c r="AT959" t="s">
        <v>74</v>
      </c>
      <c r="AU959">
        <v>2015</v>
      </c>
      <c r="AV959">
        <v>15</v>
      </c>
      <c r="AW959" t="s">
        <v>74</v>
      </c>
      <c r="AX959" t="s">
        <v>74</v>
      </c>
      <c r="AY959" t="s">
        <v>74</v>
      </c>
      <c r="AZ959" t="s">
        <v>74</v>
      </c>
      <c r="BA959" t="s">
        <v>74</v>
      </c>
      <c r="BB959">
        <v>253</v>
      </c>
      <c r="BC959">
        <v>297</v>
      </c>
      <c r="BD959" t="s">
        <v>74</v>
      </c>
      <c r="BE959" t="s">
        <v>18016</v>
      </c>
      <c r="BF959" t="str">
        <f>HYPERLINK("http://dx.doi.org/10.1180/EMU-notes.15.9","http://dx.doi.org/10.1180/EMU-notes.15.9")</f>
        <v>http://dx.doi.org/10.1180/EMU-notes.15.9</v>
      </c>
      <c r="BG959" t="s">
        <v>74</v>
      </c>
      <c r="BH959" t="s">
        <v>74</v>
      </c>
      <c r="BI959">
        <v>45</v>
      </c>
      <c r="BJ959" t="s">
        <v>18017</v>
      </c>
      <c r="BK959" t="s">
        <v>15510</v>
      </c>
      <c r="BL959" t="s">
        <v>18018</v>
      </c>
      <c r="BM959" t="s">
        <v>18019</v>
      </c>
      <c r="BN959" t="s">
        <v>74</v>
      </c>
      <c r="BO959" t="s">
        <v>74</v>
      </c>
      <c r="BP959" t="s">
        <v>74</v>
      </c>
      <c r="BQ959" t="s">
        <v>74</v>
      </c>
      <c r="BR959" t="s">
        <v>104</v>
      </c>
      <c r="BS959" t="s">
        <v>18020</v>
      </c>
      <c r="BT959" t="str">
        <f>HYPERLINK("https%3A%2F%2Fwww.webofscience.com%2Fwos%2Fwoscc%2Ffull-record%2FWOS:000362957000010","View Full Record in Web of Science")</f>
        <v>View Full Record in Web of Science</v>
      </c>
    </row>
    <row r="960" spans="1:72" x14ac:dyDescent="0.15">
      <c r="A960" t="s">
        <v>72</v>
      </c>
      <c r="B960" t="s">
        <v>18021</v>
      </c>
      <c r="C960" t="s">
        <v>74</v>
      </c>
      <c r="D960" t="s">
        <v>74</v>
      </c>
      <c r="E960" t="s">
        <v>74</v>
      </c>
      <c r="F960" t="s">
        <v>18022</v>
      </c>
      <c r="G960" t="s">
        <v>74</v>
      </c>
      <c r="H960" t="s">
        <v>74</v>
      </c>
      <c r="I960" t="s">
        <v>18023</v>
      </c>
      <c r="J960" t="s">
        <v>18024</v>
      </c>
      <c r="K960" t="s">
        <v>74</v>
      </c>
      <c r="L960" t="s">
        <v>74</v>
      </c>
      <c r="M960" t="s">
        <v>78</v>
      </c>
      <c r="N960" t="s">
        <v>79</v>
      </c>
      <c r="O960" t="s">
        <v>74</v>
      </c>
      <c r="P960" t="s">
        <v>74</v>
      </c>
      <c r="Q960" t="s">
        <v>74</v>
      </c>
      <c r="R960" t="s">
        <v>74</v>
      </c>
      <c r="S960" t="s">
        <v>74</v>
      </c>
      <c r="T960" t="s">
        <v>74</v>
      </c>
      <c r="U960" t="s">
        <v>18025</v>
      </c>
      <c r="V960" t="s">
        <v>18026</v>
      </c>
      <c r="W960" t="s">
        <v>18027</v>
      </c>
      <c r="X960" t="s">
        <v>18028</v>
      </c>
      <c r="Y960" t="s">
        <v>18029</v>
      </c>
      <c r="Z960" t="s">
        <v>18030</v>
      </c>
      <c r="AA960" t="s">
        <v>18031</v>
      </c>
      <c r="AB960" t="s">
        <v>18032</v>
      </c>
      <c r="AC960" t="s">
        <v>18033</v>
      </c>
      <c r="AD960" t="s">
        <v>18034</v>
      </c>
      <c r="AE960" t="s">
        <v>18035</v>
      </c>
      <c r="AF960" t="s">
        <v>74</v>
      </c>
      <c r="AG960">
        <v>36</v>
      </c>
      <c r="AH960">
        <v>34</v>
      </c>
      <c r="AI960">
        <v>34</v>
      </c>
      <c r="AJ960">
        <v>0</v>
      </c>
      <c r="AK960">
        <v>32</v>
      </c>
      <c r="AL960" t="s">
        <v>17274</v>
      </c>
      <c r="AM960" t="s">
        <v>2168</v>
      </c>
      <c r="AN960" t="s">
        <v>17275</v>
      </c>
      <c r="AO960" t="s">
        <v>74</v>
      </c>
      <c r="AP960" t="s">
        <v>18036</v>
      </c>
      <c r="AQ960" t="s">
        <v>74</v>
      </c>
      <c r="AR960" t="s">
        <v>18037</v>
      </c>
      <c r="AS960" t="s">
        <v>18038</v>
      </c>
      <c r="AT960" t="s">
        <v>74</v>
      </c>
      <c r="AU960">
        <v>2015</v>
      </c>
      <c r="AV960">
        <v>5</v>
      </c>
      <c r="AW960">
        <v>103</v>
      </c>
      <c r="AX960" t="s">
        <v>74</v>
      </c>
      <c r="AY960" t="s">
        <v>74</v>
      </c>
      <c r="AZ960" t="s">
        <v>74</v>
      </c>
      <c r="BA960" t="s">
        <v>74</v>
      </c>
      <c r="BB960">
        <v>84492</v>
      </c>
      <c r="BC960">
        <v>84502</v>
      </c>
      <c r="BD960" t="s">
        <v>74</v>
      </c>
      <c r="BE960" t="s">
        <v>18039</v>
      </c>
      <c r="BF960" t="str">
        <f>HYPERLINK("http://dx.doi.org/10.1039/c5ra14978a","http://dx.doi.org/10.1039/c5ra14978a")</f>
        <v>http://dx.doi.org/10.1039/c5ra14978a</v>
      </c>
      <c r="BG960" t="s">
        <v>74</v>
      </c>
      <c r="BH960" t="s">
        <v>74</v>
      </c>
      <c r="BI960">
        <v>11</v>
      </c>
      <c r="BJ960" t="s">
        <v>999</v>
      </c>
      <c r="BK960" t="s">
        <v>100</v>
      </c>
      <c r="BL960" t="s">
        <v>655</v>
      </c>
      <c r="BM960" t="s">
        <v>18040</v>
      </c>
      <c r="BN960" t="s">
        <v>74</v>
      </c>
      <c r="BO960" t="s">
        <v>74</v>
      </c>
      <c r="BP960" t="s">
        <v>74</v>
      </c>
      <c r="BQ960" t="s">
        <v>74</v>
      </c>
      <c r="BR960" t="s">
        <v>104</v>
      </c>
      <c r="BS960" t="s">
        <v>18041</v>
      </c>
      <c r="BT960" t="str">
        <f>HYPERLINK("https%3A%2F%2Fwww.webofscience.com%2Fwos%2Fwoscc%2Ffull-record%2FWOS:000362851000018","View Full Record in Web of Science")</f>
        <v>View Full Record in Web of Science</v>
      </c>
    </row>
    <row r="961" spans="1:72" x14ac:dyDescent="0.15">
      <c r="A961" t="s">
        <v>72</v>
      </c>
      <c r="B961" t="s">
        <v>18042</v>
      </c>
      <c r="C961" t="s">
        <v>74</v>
      </c>
      <c r="D961" t="s">
        <v>74</v>
      </c>
      <c r="E961" t="s">
        <v>74</v>
      </c>
      <c r="F961" t="s">
        <v>18043</v>
      </c>
      <c r="G961" t="s">
        <v>74</v>
      </c>
      <c r="H961" t="s">
        <v>74</v>
      </c>
      <c r="I961" t="s">
        <v>18044</v>
      </c>
      <c r="J961" t="s">
        <v>18045</v>
      </c>
      <c r="K961" t="s">
        <v>74</v>
      </c>
      <c r="L961" t="s">
        <v>74</v>
      </c>
      <c r="M961" t="s">
        <v>78</v>
      </c>
      <c r="N961" t="s">
        <v>79</v>
      </c>
      <c r="O961" t="s">
        <v>74</v>
      </c>
      <c r="P961" t="s">
        <v>74</v>
      </c>
      <c r="Q961" t="s">
        <v>74</v>
      </c>
      <c r="R961" t="s">
        <v>74</v>
      </c>
      <c r="S961" t="s">
        <v>74</v>
      </c>
      <c r="T961" t="s">
        <v>18046</v>
      </c>
      <c r="U961" t="s">
        <v>18047</v>
      </c>
      <c r="V961" t="s">
        <v>18048</v>
      </c>
      <c r="W961" t="s">
        <v>18049</v>
      </c>
      <c r="X961" t="s">
        <v>18050</v>
      </c>
      <c r="Y961" t="s">
        <v>18051</v>
      </c>
      <c r="Z961" t="s">
        <v>18052</v>
      </c>
      <c r="AA961" t="s">
        <v>18053</v>
      </c>
      <c r="AB961" t="s">
        <v>18054</v>
      </c>
      <c r="AC961" t="s">
        <v>18055</v>
      </c>
      <c r="AD961" t="s">
        <v>18056</v>
      </c>
      <c r="AE961" t="s">
        <v>18057</v>
      </c>
      <c r="AF961" t="s">
        <v>74</v>
      </c>
      <c r="AG961">
        <v>43</v>
      </c>
      <c r="AH961">
        <v>21</v>
      </c>
      <c r="AI961">
        <v>21</v>
      </c>
      <c r="AJ961">
        <v>8</v>
      </c>
      <c r="AK961">
        <v>67</v>
      </c>
      <c r="AL961" t="s">
        <v>18058</v>
      </c>
      <c r="AM961" t="s">
        <v>18059</v>
      </c>
      <c r="AN961" t="s">
        <v>18060</v>
      </c>
      <c r="AO961" t="s">
        <v>18061</v>
      </c>
      <c r="AP961" t="s">
        <v>18062</v>
      </c>
      <c r="AQ961" t="s">
        <v>74</v>
      </c>
      <c r="AR961" t="s">
        <v>18063</v>
      </c>
      <c r="AS961" t="s">
        <v>18064</v>
      </c>
      <c r="AT961" t="s">
        <v>74</v>
      </c>
      <c r="AU961">
        <v>2015</v>
      </c>
      <c r="AV961">
        <v>62</v>
      </c>
      <c r="AW961">
        <v>3</v>
      </c>
      <c r="AX961" t="s">
        <v>74</v>
      </c>
      <c r="AY961" t="s">
        <v>74</v>
      </c>
      <c r="AZ961" t="s">
        <v>74</v>
      </c>
      <c r="BA961" t="s">
        <v>74</v>
      </c>
      <c r="BB961">
        <v>729</v>
      </c>
      <c r="BC961">
        <v>735</v>
      </c>
      <c r="BD961" t="s">
        <v>74</v>
      </c>
      <c r="BE961" t="s">
        <v>74</v>
      </c>
      <c r="BF961" t="s">
        <v>74</v>
      </c>
      <c r="BG961" t="s">
        <v>74</v>
      </c>
      <c r="BH961" t="s">
        <v>74</v>
      </c>
      <c r="BI961">
        <v>7</v>
      </c>
      <c r="BJ961" t="s">
        <v>999</v>
      </c>
      <c r="BK961" t="s">
        <v>100</v>
      </c>
      <c r="BL961" t="s">
        <v>655</v>
      </c>
      <c r="BM961" t="s">
        <v>18065</v>
      </c>
      <c r="BN961">
        <v>26454608</v>
      </c>
      <c r="BO961" t="s">
        <v>74</v>
      </c>
      <c r="BP961" t="s">
        <v>74</v>
      </c>
      <c r="BQ961" t="s">
        <v>74</v>
      </c>
      <c r="BR961" t="s">
        <v>104</v>
      </c>
      <c r="BS961" t="s">
        <v>18066</v>
      </c>
      <c r="BT961" t="str">
        <f>HYPERLINK("https%3A%2F%2Fwww.webofscience.com%2Fwos%2Fwoscc%2Ffull-record%2FWOS:000362384100030","View Full Record in Web of Science")</f>
        <v>View Full Record in Web of Science</v>
      </c>
    </row>
    <row r="962" spans="1:72" x14ac:dyDescent="0.15">
      <c r="A962" t="s">
        <v>72</v>
      </c>
      <c r="B962" t="s">
        <v>18067</v>
      </c>
      <c r="C962" t="s">
        <v>74</v>
      </c>
      <c r="D962" t="s">
        <v>74</v>
      </c>
      <c r="E962" t="s">
        <v>74</v>
      </c>
      <c r="F962" t="s">
        <v>18068</v>
      </c>
      <c r="G962" t="s">
        <v>74</v>
      </c>
      <c r="H962" t="s">
        <v>74</v>
      </c>
      <c r="I962" t="s">
        <v>18069</v>
      </c>
      <c r="J962" t="s">
        <v>17219</v>
      </c>
      <c r="K962" t="s">
        <v>74</v>
      </c>
      <c r="L962" t="s">
        <v>74</v>
      </c>
      <c r="M962" t="s">
        <v>78</v>
      </c>
      <c r="N962" t="s">
        <v>79</v>
      </c>
      <c r="O962" t="s">
        <v>74</v>
      </c>
      <c r="P962" t="s">
        <v>74</v>
      </c>
      <c r="Q962" t="s">
        <v>74</v>
      </c>
      <c r="R962" t="s">
        <v>74</v>
      </c>
      <c r="S962" t="s">
        <v>74</v>
      </c>
      <c r="T962" t="s">
        <v>74</v>
      </c>
      <c r="U962" t="s">
        <v>18070</v>
      </c>
      <c r="V962" t="s">
        <v>18071</v>
      </c>
      <c r="W962" t="s">
        <v>18072</v>
      </c>
      <c r="X962" t="s">
        <v>18073</v>
      </c>
      <c r="Y962" t="s">
        <v>18074</v>
      </c>
      <c r="Z962" t="s">
        <v>18075</v>
      </c>
      <c r="AA962" t="s">
        <v>18076</v>
      </c>
      <c r="AB962" t="s">
        <v>18077</v>
      </c>
      <c r="AC962" t="s">
        <v>18078</v>
      </c>
      <c r="AD962" t="s">
        <v>18079</v>
      </c>
      <c r="AE962" t="s">
        <v>18080</v>
      </c>
      <c r="AF962" t="s">
        <v>74</v>
      </c>
      <c r="AG962">
        <v>47</v>
      </c>
      <c r="AH962">
        <v>18</v>
      </c>
      <c r="AI962">
        <v>20</v>
      </c>
      <c r="AJ962">
        <v>0</v>
      </c>
      <c r="AK962">
        <v>11</v>
      </c>
      <c r="AL962" t="s">
        <v>16626</v>
      </c>
      <c r="AM962" t="s">
        <v>16627</v>
      </c>
      <c r="AN962" t="s">
        <v>16628</v>
      </c>
      <c r="AO962" t="s">
        <v>17230</v>
      </c>
      <c r="AP962" t="s">
        <v>17231</v>
      </c>
      <c r="AQ962" t="s">
        <v>74</v>
      </c>
      <c r="AR962" t="s">
        <v>17232</v>
      </c>
      <c r="AS962" t="s">
        <v>17233</v>
      </c>
      <c r="AT962" t="s">
        <v>74</v>
      </c>
      <c r="AU962">
        <v>2015</v>
      </c>
      <c r="AV962">
        <v>15</v>
      </c>
      <c r="AW962">
        <v>18</v>
      </c>
      <c r="AX962" t="s">
        <v>74</v>
      </c>
      <c r="AY962" t="s">
        <v>74</v>
      </c>
      <c r="AZ962" t="s">
        <v>74</v>
      </c>
      <c r="BA962" t="s">
        <v>74</v>
      </c>
      <c r="BB962">
        <v>10385</v>
      </c>
      <c r="BC962">
        <v>10397</v>
      </c>
      <c r="BD962" t="s">
        <v>74</v>
      </c>
      <c r="BE962" t="s">
        <v>18081</v>
      </c>
      <c r="BF962" t="str">
        <f>HYPERLINK("http://dx.doi.org/10.5194/acp-15-10385-2015","http://dx.doi.org/10.5194/acp-15-10385-2015")</f>
        <v>http://dx.doi.org/10.5194/acp-15-10385-2015</v>
      </c>
      <c r="BG962" t="s">
        <v>74</v>
      </c>
      <c r="BH962" t="s">
        <v>74</v>
      </c>
      <c r="BI962">
        <v>13</v>
      </c>
      <c r="BJ962" t="s">
        <v>1741</v>
      </c>
      <c r="BK962" t="s">
        <v>100</v>
      </c>
      <c r="BL962" t="s">
        <v>1742</v>
      </c>
      <c r="BM962" t="s">
        <v>18082</v>
      </c>
      <c r="BN962" t="s">
        <v>74</v>
      </c>
      <c r="BO962" t="s">
        <v>1490</v>
      </c>
      <c r="BP962" t="s">
        <v>74</v>
      </c>
      <c r="BQ962" t="s">
        <v>74</v>
      </c>
      <c r="BR962" t="s">
        <v>104</v>
      </c>
      <c r="BS962" t="s">
        <v>18083</v>
      </c>
      <c r="BT962" t="str">
        <f>HYPERLINK("https%3A%2F%2Fwww.webofscience.com%2Fwos%2Fwoscc%2Ffull-record%2FWOS:000362457400010","View Full Record in Web of Science")</f>
        <v>View Full Record in Web of Science</v>
      </c>
    </row>
    <row r="963" spans="1:72" x14ac:dyDescent="0.15">
      <c r="A963" t="s">
        <v>72</v>
      </c>
      <c r="B963" t="s">
        <v>18084</v>
      </c>
      <c r="C963" t="s">
        <v>74</v>
      </c>
      <c r="D963" t="s">
        <v>74</v>
      </c>
      <c r="E963" t="s">
        <v>74</v>
      </c>
      <c r="F963" t="s">
        <v>18085</v>
      </c>
      <c r="G963" t="s">
        <v>74</v>
      </c>
      <c r="H963" t="s">
        <v>74</v>
      </c>
      <c r="I963" t="s">
        <v>18086</v>
      </c>
      <c r="J963" t="s">
        <v>17370</v>
      </c>
      <c r="K963" t="s">
        <v>74</v>
      </c>
      <c r="L963" t="s">
        <v>74</v>
      </c>
      <c r="M963" t="s">
        <v>78</v>
      </c>
      <c r="N963" t="s">
        <v>79</v>
      </c>
      <c r="O963" t="s">
        <v>74</v>
      </c>
      <c r="P963" t="s">
        <v>74</v>
      </c>
      <c r="Q963" t="s">
        <v>74</v>
      </c>
      <c r="R963" t="s">
        <v>74</v>
      </c>
      <c r="S963" t="s">
        <v>74</v>
      </c>
      <c r="T963" t="s">
        <v>74</v>
      </c>
      <c r="U963" t="s">
        <v>18087</v>
      </c>
      <c r="V963" t="s">
        <v>18088</v>
      </c>
      <c r="W963" t="s">
        <v>18089</v>
      </c>
      <c r="X963" t="s">
        <v>18090</v>
      </c>
      <c r="Y963" t="s">
        <v>18091</v>
      </c>
      <c r="Z963" t="s">
        <v>18092</v>
      </c>
      <c r="AA963" t="s">
        <v>18093</v>
      </c>
      <c r="AB963" t="s">
        <v>18094</v>
      </c>
      <c r="AC963" t="s">
        <v>18095</v>
      </c>
      <c r="AD963" t="s">
        <v>5182</v>
      </c>
      <c r="AE963" t="s">
        <v>74</v>
      </c>
      <c r="AF963" t="s">
        <v>74</v>
      </c>
      <c r="AG963">
        <v>51</v>
      </c>
      <c r="AH963">
        <v>7</v>
      </c>
      <c r="AI963">
        <v>7</v>
      </c>
      <c r="AJ963">
        <v>1</v>
      </c>
      <c r="AK963">
        <v>20</v>
      </c>
      <c r="AL963" t="s">
        <v>16626</v>
      </c>
      <c r="AM963" t="s">
        <v>16627</v>
      </c>
      <c r="AN963" t="s">
        <v>16628</v>
      </c>
      <c r="AO963" t="s">
        <v>17382</v>
      </c>
      <c r="AP963" t="s">
        <v>17383</v>
      </c>
      <c r="AQ963" t="s">
        <v>74</v>
      </c>
      <c r="AR963" t="s">
        <v>17384</v>
      </c>
      <c r="AS963" t="s">
        <v>17385</v>
      </c>
      <c r="AT963" t="s">
        <v>74</v>
      </c>
      <c r="AU963">
        <v>2015</v>
      </c>
      <c r="AV963">
        <v>11</v>
      </c>
      <c r="AW963">
        <v>9</v>
      </c>
      <c r="AX963" t="s">
        <v>74</v>
      </c>
      <c r="AY963" t="s">
        <v>74</v>
      </c>
      <c r="AZ963" t="s">
        <v>74</v>
      </c>
      <c r="BA963" t="s">
        <v>74</v>
      </c>
      <c r="BB963">
        <v>1127</v>
      </c>
      <c r="BC963">
        <v>1137</v>
      </c>
      <c r="BD963" t="s">
        <v>74</v>
      </c>
      <c r="BE963" t="s">
        <v>18096</v>
      </c>
      <c r="BF963" t="str">
        <f>HYPERLINK("http://dx.doi.org/10.5194/cp-11-1127-2015","http://dx.doi.org/10.5194/cp-11-1127-2015")</f>
        <v>http://dx.doi.org/10.5194/cp-11-1127-2015</v>
      </c>
      <c r="BG963" t="s">
        <v>74</v>
      </c>
      <c r="BH963" t="s">
        <v>74</v>
      </c>
      <c r="BI963">
        <v>11</v>
      </c>
      <c r="BJ963" t="s">
        <v>16634</v>
      </c>
      <c r="BK963" t="s">
        <v>100</v>
      </c>
      <c r="BL963" t="s">
        <v>16635</v>
      </c>
      <c r="BM963" t="s">
        <v>18097</v>
      </c>
      <c r="BN963" t="s">
        <v>74</v>
      </c>
      <c r="BO963" t="s">
        <v>9437</v>
      </c>
      <c r="BP963" t="s">
        <v>74</v>
      </c>
      <c r="BQ963" t="s">
        <v>74</v>
      </c>
      <c r="BR963" t="s">
        <v>104</v>
      </c>
      <c r="BS963" t="s">
        <v>18098</v>
      </c>
      <c r="BT963" t="str">
        <f>HYPERLINK("https%3A%2F%2Fwww.webofscience.com%2Fwos%2Fwoscc%2Ffull-record%2FWOS:000362459100001","View Full Record in Web of Science")</f>
        <v>View Full Record in Web of Science</v>
      </c>
    </row>
    <row r="964" spans="1:72" x14ac:dyDescent="0.15">
      <c r="A964" t="s">
        <v>72</v>
      </c>
      <c r="B964" t="s">
        <v>18099</v>
      </c>
      <c r="C964" t="s">
        <v>74</v>
      </c>
      <c r="D964" t="s">
        <v>74</v>
      </c>
      <c r="E964" t="s">
        <v>74</v>
      </c>
      <c r="F964" t="s">
        <v>18100</v>
      </c>
      <c r="G964" t="s">
        <v>74</v>
      </c>
      <c r="H964" t="s">
        <v>74</v>
      </c>
      <c r="I964" t="s">
        <v>18101</v>
      </c>
      <c r="J964" t="s">
        <v>17370</v>
      </c>
      <c r="K964" t="s">
        <v>74</v>
      </c>
      <c r="L964" t="s">
        <v>74</v>
      </c>
      <c r="M964" t="s">
        <v>78</v>
      </c>
      <c r="N964" t="s">
        <v>79</v>
      </c>
      <c r="O964" t="s">
        <v>74</v>
      </c>
      <c r="P964" t="s">
        <v>74</v>
      </c>
      <c r="Q964" t="s">
        <v>74</v>
      </c>
      <c r="R964" t="s">
        <v>74</v>
      </c>
      <c r="S964" t="s">
        <v>74</v>
      </c>
      <c r="T964" t="s">
        <v>74</v>
      </c>
      <c r="U964" t="s">
        <v>18102</v>
      </c>
      <c r="V964" t="s">
        <v>18103</v>
      </c>
      <c r="W964" t="s">
        <v>18104</v>
      </c>
      <c r="X964" t="s">
        <v>18105</v>
      </c>
      <c r="Y964" t="s">
        <v>18106</v>
      </c>
      <c r="Z964" t="s">
        <v>18107</v>
      </c>
      <c r="AA964" t="s">
        <v>18108</v>
      </c>
      <c r="AB964" t="s">
        <v>18109</v>
      </c>
      <c r="AC964" t="s">
        <v>18110</v>
      </c>
      <c r="AD964" t="s">
        <v>18111</v>
      </c>
      <c r="AE964" t="s">
        <v>18112</v>
      </c>
      <c r="AF964" t="s">
        <v>74</v>
      </c>
      <c r="AG964">
        <v>147</v>
      </c>
      <c r="AH964">
        <v>21</v>
      </c>
      <c r="AI964">
        <v>23</v>
      </c>
      <c r="AJ964">
        <v>1</v>
      </c>
      <c r="AK964">
        <v>12</v>
      </c>
      <c r="AL964" t="s">
        <v>16626</v>
      </c>
      <c r="AM964" t="s">
        <v>16627</v>
      </c>
      <c r="AN964" t="s">
        <v>16628</v>
      </c>
      <c r="AO964" t="s">
        <v>17382</v>
      </c>
      <c r="AP964" t="s">
        <v>17383</v>
      </c>
      <c r="AQ964" t="s">
        <v>74</v>
      </c>
      <c r="AR964" t="s">
        <v>17384</v>
      </c>
      <c r="AS964" t="s">
        <v>17385</v>
      </c>
      <c r="AT964" t="s">
        <v>74</v>
      </c>
      <c r="AU964">
        <v>2015</v>
      </c>
      <c r="AV964">
        <v>11</v>
      </c>
      <c r="AW964">
        <v>9</v>
      </c>
      <c r="AX964" t="s">
        <v>74</v>
      </c>
      <c r="AY964" t="s">
        <v>74</v>
      </c>
      <c r="AZ964" t="s">
        <v>74</v>
      </c>
      <c r="BA964" t="s">
        <v>74</v>
      </c>
      <c r="BB964">
        <v>1249</v>
      </c>
      <c r="BC964">
        <v>1270</v>
      </c>
      <c r="BD964" t="s">
        <v>74</v>
      </c>
      <c r="BE964" t="s">
        <v>18113</v>
      </c>
      <c r="BF964" t="str">
        <f>HYPERLINK("http://dx.doi.org/10.5194/cp-11-1249-2015","http://dx.doi.org/10.5194/cp-11-1249-2015")</f>
        <v>http://dx.doi.org/10.5194/cp-11-1249-2015</v>
      </c>
      <c r="BG964" t="s">
        <v>74</v>
      </c>
      <c r="BH964" t="s">
        <v>74</v>
      </c>
      <c r="BI964">
        <v>22</v>
      </c>
      <c r="BJ964" t="s">
        <v>16634</v>
      </c>
      <c r="BK964" t="s">
        <v>100</v>
      </c>
      <c r="BL964" t="s">
        <v>16635</v>
      </c>
      <c r="BM964" t="s">
        <v>18097</v>
      </c>
      <c r="BN964" t="s">
        <v>74</v>
      </c>
      <c r="BO964" t="s">
        <v>8138</v>
      </c>
      <c r="BP964" t="s">
        <v>74</v>
      </c>
      <c r="BQ964" t="s">
        <v>74</v>
      </c>
      <c r="BR964" t="s">
        <v>104</v>
      </c>
      <c r="BS964" t="s">
        <v>18114</v>
      </c>
      <c r="BT964" t="str">
        <f>HYPERLINK("https%3A%2F%2Fwww.webofscience.com%2Fwos%2Fwoscc%2Ffull-record%2FWOS:000362459100009","View Full Record in Web of Science")</f>
        <v>View Full Record in Web of Science</v>
      </c>
    </row>
    <row r="965" spans="1:72" x14ac:dyDescent="0.15">
      <c r="A965" t="s">
        <v>72</v>
      </c>
      <c r="B965" t="s">
        <v>18115</v>
      </c>
      <c r="C965" t="s">
        <v>74</v>
      </c>
      <c r="D965" t="s">
        <v>74</v>
      </c>
      <c r="E965" t="s">
        <v>74</v>
      </c>
      <c r="F965" t="s">
        <v>18116</v>
      </c>
      <c r="G965" t="s">
        <v>74</v>
      </c>
      <c r="H965" t="s">
        <v>74</v>
      </c>
      <c r="I965" t="s">
        <v>18117</v>
      </c>
      <c r="J965" t="s">
        <v>18118</v>
      </c>
      <c r="K965" t="s">
        <v>74</v>
      </c>
      <c r="L965" t="s">
        <v>74</v>
      </c>
      <c r="M965" t="s">
        <v>78</v>
      </c>
      <c r="N965" t="s">
        <v>79</v>
      </c>
      <c r="O965" t="s">
        <v>74</v>
      </c>
      <c r="P965" t="s">
        <v>74</v>
      </c>
      <c r="Q965" t="s">
        <v>74</v>
      </c>
      <c r="R965" t="s">
        <v>74</v>
      </c>
      <c r="S965" t="s">
        <v>74</v>
      </c>
      <c r="T965" t="s">
        <v>18119</v>
      </c>
      <c r="U965" t="s">
        <v>18120</v>
      </c>
      <c r="V965" t="s">
        <v>18121</v>
      </c>
      <c r="W965" t="s">
        <v>18122</v>
      </c>
      <c r="X965" t="s">
        <v>18123</v>
      </c>
      <c r="Y965" t="s">
        <v>18124</v>
      </c>
      <c r="Z965" t="s">
        <v>18125</v>
      </c>
      <c r="AA965" t="s">
        <v>18126</v>
      </c>
      <c r="AB965" t="s">
        <v>18127</v>
      </c>
      <c r="AC965" t="s">
        <v>18128</v>
      </c>
      <c r="AD965" t="s">
        <v>1660</v>
      </c>
      <c r="AE965" t="s">
        <v>18129</v>
      </c>
      <c r="AF965" t="s">
        <v>74</v>
      </c>
      <c r="AG965">
        <v>41</v>
      </c>
      <c r="AH965">
        <v>38</v>
      </c>
      <c r="AI965">
        <v>40</v>
      </c>
      <c r="AJ965">
        <v>0</v>
      </c>
      <c r="AK965">
        <v>23</v>
      </c>
      <c r="AL965" t="s">
        <v>18130</v>
      </c>
      <c r="AM965" t="s">
        <v>18131</v>
      </c>
      <c r="AN965" t="s">
        <v>18132</v>
      </c>
      <c r="AO965" t="s">
        <v>18133</v>
      </c>
      <c r="AP965" t="s">
        <v>18134</v>
      </c>
      <c r="AQ965" t="s">
        <v>74</v>
      </c>
      <c r="AR965" t="s">
        <v>18135</v>
      </c>
      <c r="AS965" t="s">
        <v>18136</v>
      </c>
      <c r="AT965" t="s">
        <v>74</v>
      </c>
      <c r="AU965">
        <v>2015</v>
      </c>
      <c r="AV965">
        <v>34</v>
      </c>
      <c r="AW965" t="s">
        <v>74</v>
      </c>
      <c r="AX965" t="s">
        <v>74</v>
      </c>
      <c r="AY965" t="s">
        <v>74</v>
      </c>
      <c r="AZ965" t="s">
        <v>74</v>
      </c>
      <c r="BA965" t="s">
        <v>74</v>
      </c>
      <c r="BB965" t="s">
        <v>74</v>
      </c>
      <c r="BC965" t="s">
        <v>74</v>
      </c>
      <c r="BD965">
        <v>25651</v>
      </c>
      <c r="BE965" t="s">
        <v>18137</v>
      </c>
      <c r="BF965" t="str">
        <f>HYPERLINK("http://dx.doi.org/10.3402/polar.v34.25651","http://dx.doi.org/10.3402/polar.v34.25651")</f>
        <v>http://dx.doi.org/10.3402/polar.v34.25651</v>
      </c>
      <c r="BG965" t="s">
        <v>74</v>
      </c>
      <c r="BH965" t="s">
        <v>74</v>
      </c>
      <c r="BI965">
        <v>15</v>
      </c>
      <c r="BJ965" t="s">
        <v>18138</v>
      </c>
      <c r="BK965" t="s">
        <v>100</v>
      </c>
      <c r="BL965" t="s">
        <v>18139</v>
      </c>
      <c r="BM965" t="s">
        <v>18140</v>
      </c>
      <c r="BN965" t="s">
        <v>74</v>
      </c>
      <c r="BO965" t="s">
        <v>4689</v>
      </c>
      <c r="BP965" t="s">
        <v>74</v>
      </c>
      <c r="BQ965" t="s">
        <v>74</v>
      </c>
      <c r="BR965" t="s">
        <v>104</v>
      </c>
      <c r="BS965" t="s">
        <v>18141</v>
      </c>
      <c r="BT965" t="str">
        <f>HYPERLINK("https%3A%2F%2Fwww.webofscience.com%2Fwos%2Fwoscc%2Ffull-record%2FWOS:000362551000001","View Full Record in Web of Science")</f>
        <v>View Full Record in Web of Science</v>
      </c>
    </row>
    <row r="966" spans="1:72" x14ac:dyDescent="0.15">
      <c r="A966" t="s">
        <v>72</v>
      </c>
      <c r="B966" t="s">
        <v>18142</v>
      </c>
      <c r="C966" t="s">
        <v>74</v>
      </c>
      <c r="D966" t="s">
        <v>74</v>
      </c>
      <c r="E966" t="s">
        <v>74</v>
      </c>
      <c r="F966" t="s">
        <v>18143</v>
      </c>
      <c r="G966" t="s">
        <v>74</v>
      </c>
      <c r="H966" t="s">
        <v>74</v>
      </c>
      <c r="I966" t="s">
        <v>18144</v>
      </c>
      <c r="J966" t="s">
        <v>18145</v>
      </c>
      <c r="K966" t="s">
        <v>74</v>
      </c>
      <c r="L966" t="s">
        <v>74</v>
      </c>
      <c r="M966" t="s">
        <v>78</v>
      </c>
      <c r="N966" t="s">
        <v>79</v>
      </c>
      <c r="O966" t="s">
        <v>74</v>
      </c>
      <c r="P966" t="s">
        <v>74</v>
      </c>
      <c r="Q966" t="s">
        <v>74</v>
      </c>
      <c r="R966" t="s">
        <v>74</v>
      </c>
      <c r="S966" t="s">
        <v>74</v>
      </c>
      <c r="T966" t="s">
        <v>18146</v>
      </c>
      <c r="U966" t="s">
        <v>18147</v>
      </c>
      <c r="V966" t="s">
        <v>18148</v>
      </c>
      <c r="W966" t="s">
        <v>18149</v>
      </c>
      <c r="X966" t="s">
        <v>18150</v>
      </c>
      <c r="Y966" t="s">
        <v>18151</v>
      </c>
      <c r="Z966" t="s">
        <v>18152</v>
      </c>
      <c r="AA966" t="s">
        <v>18153</v>
      </c>
      <c r="AB966" t="s">
        <v>18154</v>
      </c>
      <c r="AC966" t="s">
        <v>18155</v>
      </c>
      <c r="AD966" t="s">
        <v>18155</v>
      </c>
      <c r="AE966" t="s">
        <v>18156</v>
      </c>
      <c r="AF966" t="s">
        <v>74</v>
      </c>
      <c r="AG966">
        <v>55</v>
      </c>
      <c r="AH966">
        <v>4</v>
      </c>
      <c r="AI966">
        <v>4</v>
      </c>
      <c r="AJ966">
        <v>0</v>
      </c>
      <c r="AK966">
        <v>21</v>
      </c>
      <c r="AL966" t="s">
        <v>16675</v>
      </c>
      <c r="AM966" t="s">
        <v>16676</v>
      </c>
      <c r="AN966" t="s">
        <v>16677</v>
      </c>
      <c r="AO966" t="s">
        <v>18157</v>
      </c>
      <c r="AP966" t="s">
        <v>18158</v>
      </c>
      <c r="AQ966" t="s">
        <v>74</v>
      </c>
      <c r="AR966" t="s">
        <v>18159</v>
      </c>
      <c r="AS966" t="s">
        <v>18160</v>
      </c>
      <c r="AT966" t="s">
        <v>74</v>
      </c>
      <c r="AU966">
        <v>2015</v>
      </c>
      <c r="AV966">
        <v>66</v>
      </c>
      <c r="AW966">
        <v>10</v>
      </c>
      <c r="AX966" t="s">
        <v>74</v>
      </c>
      <c r="AY966" t="s">
        <v>74</v>
      </c>
      <c r="AZ966" t="s">
        <v>74</v>
      </c>
      <c r="BA966" t="s">
        <v>74</v>
      </c>
      <c r="BB966">
        <v>948</v>
      </c>
      <c r="BC966">
        <v>955</v>
      </c>
      <c r="BD966" t="s">
        <v>74</v>
      </c>
      <c r="BE966" t="s">
        <v>18161</v>
      </c>
      <c r="BF966" t="str">
        <f>HYPERLINK("http://dx.doi.org/10.1071/MF14192","http://dx.doi.org/10.1071/MF14192")</f>
        <v>http://dx.doi.org/10.1071/MF14192</v>
      </c>
      <c r="BG966" t="s">
        <v>74</v>
      </c>
      <c r="BH966" t="s">
        <v>74</v>
      </c>
      <c r="BI966">
        <v>8</v>
      </c>
      <c r="BJ966" t="s">
        <v>18162</v>
      </c>
      <c r="BK966" t="s">
        <v>100</v>
      </c>
      <c r="BL966" t="s">
        <v>1628</v>
      </c>
      <c r="BM966" t="s">
        <v>18163</v>
      </c>
      <c r="BN966" t="s">
        <v>74</v>
      </c>
      <c r="BO966" t="s">
        <v>74</v>
      </c>
      <c r="BP966" t="s">
        <v>74</v>
      </c>
      <c r="BQ966" t="s">
        <v>74</v>
      </c>
      <c r="BR966" t="s">
        <v>104</v>
      </c>
      <c r="BS966" t="s">
        <v>18164</v>
      </c>
      <c r="BT966" t="str">
        <f>HYPERLINK("https%3A%2F%2Fwww.webofscience.com%2Fwos%2Fwoscc%2Ffull-record%2FWOS:000361917400009","View Full Record in Web of Science")</f>
        <v>View Full Record in Web of Science</v>
      </c>
    </row>
    <row r="967" spans="1:72" x14ac:dyDescent="0.15">
      <c r="A967" t="s">
        <v>72</v>
      </c>
      <c r="B967" t="s">
        <v>18165</v>
      </c>
      <c r="C967" t="s">
        <v>74</v>
      </c>
      <c r="D967" t="s">
        <v>74</v>
      </c>
      <c r="E967" t="s">
        <v>74</v>
      </c>
      <c r="F967" t="s">
        <v>18166</v>
      </c>
      <c r="G967" t="s">
        <v>74</v>
      </c>
      <c r="H967" t="s">
        <v>74</v>
      </c>
      <c r="I967" t="s">
        <v>18167</v>
      </c>
      <c r="J967" t="s">
        <v>17522</v>
      </c>
      <c r="K967" t="s">
        <v>74</v>
      </c>
      <c r="L967" t="s">
        <v>74</v>
      </c>
      <c r="M967" t="s">
        <v>78</v>
      </c>
      <c r="N967" t="s">
        <v>79</v>
      </c>
      <c r="O967" t="s">
        <v>74</v>
      </c>
      <c r="P967" t="s">
        <v>74</v>
      </c>
      <c r="Q967" t="s">
        <v>74</v>
      </c>
      <c r="R967" t="s">
        <v>74</v>
      </c>
      <c r="S967" t="s">
        <v>74</v>
      </c>
      <c r="T967" t="s">
        <v>74</v>
      </c>
      <c r="U967" t="s">
        <v>18168</v>
      </c>
      <c r="V967" t="s">
        <v>18169</v>
      </c>
      <c r="W967" t="s">
        <v>18170</v>
      </c>
      <c r="X967" t="s">
        <v>18171</v>
      </c>
      <c r="Y967" t="s">
        <v>18172</v>
      </c>
      <c r="Z967" t="s">
        <v>18173</v>
      </c>
      <c r="AA967" t="s">
        <v>18174</v>
      </c>
      <c r="AB967" t="s">
        <v>18175</v>
      </c>
      <c r="AC967" t="s">
        <v>18176</v>
      </c>
      <c r="AD967" t="s">
        <v>18177</v>
      </c>
      <c r="AE967" t="s">
        <v>18178</v>
      </c>
      <c r="AF967" t="s">
        <v>74</v>
      </c>
      <c r="AG967">
        <v>63</v>
      </c>
      <c r="AH967">
        <v>25</v>
      </c>
      <c r="AI967">
        <v>26</v>
      </c>
      <c r="AJ967">
        <v>4</v>
      </c>
      <c r="AK967">
        <v>36</v>
      </c>
      <c r="AL967" t="s">
        <v>16626</v>
      </c>
      <c r="AM967" t="s">
        <v>16627</v>
      </c>
      <c r="AN967" t="s">
        <v>16628</v>
      </c>
      <c r="AO967" t="s">
        <v>17534</v>
      </c>
      <c r="AP967" t="s">
        <v>74</v>
      </c>
      <c r="AQ967" t="s">
        <v>74</v>
      </c>
      <c r="AR967" t="s">
        <v>17535</v>
      </c>
      <c r="AS967" t="s">
        <v>17536</v>
      </c>
      <c r="AT967" t="s">
        <v>74</v>
      </c>
      <c r="AU967">
        <v>2015</v>
      </c>
      <c r="AV967">
        <v>11</v>
      </c>
      <c r="AW967">
        <v>5</v>
      </c>
      <c r="AX967" t="s">
        <v>74</v>
      </c>
      <c r="AY967" t="s">
        <v>74</v>
      </c>
      <c r="AZ967" t="s">
        <v>74</v>
      </c>
      <c r="BA967" t="s">
        <v>74</v>
      </c>
      <c r="BB967">
        <v>699</v>
      </c>
      <c r="BC967">
        <v>718</v>
      </c>
      <c r="BD967" t="s">
        <v>74</v>
      </c>
      <c r="BE967" t="s">
        <v>18179</v>
      </c>
      <c r="BF967" t="str">
        <f>HYPERLINK("http://dx.doi.org/10.5194/os-11-699-2015","http://dx.doi.org/10.5194/os-11-699-2015")</f>
        <v>http://dx.doi.org/10.5194/os-11-699-2015</v>
      </c>
      <c r="BG967" t="s">
        <v>74</v>
      </c>
      <c r="BH967" t="s">
        <v>74</v>
      </c>
      <c r="BI967">
        <v>20</v>
      </c>
      <c r="BJ967" t="s">
        <v>3585</v>
      </c>
      <c r="BK967" t="s">
        <v>100</v>
      </c>
      <c r="BL967" t="s">
        <v>3585</v>
      </c>
      <c r="BM967" t="s">
        <v>18180</v>
      </c>
      <c r="BN967" t="s">
        <v>74</v>
      </c>
      <c r="BO967" t="s">
        <v>12815</v>
      </c>
      <c r="BP967" t="s">
        <v>74</v>
      </c>
      <c r="BQ967" t="s">
        <v>74</v>
      </c>
      <c r="BR967" t="s">
        <v>104</v>
      </c>
      <c r="BS967" t="s">
        <v>18181</v>
      </c>
      <c r="BT967" t="str">
        <f>HYPERLINK("https%3A%2F%2Fwww.webofscience.com%2Fwos%2Fwoscc%2Ffull-record%2FWOS:000361971200003","View Full Record in Web of Science")</f>
        <v>View Full Record in Web of Science</v>
      </c>
    </row>
    <row r="968" spans="1:72" x14ac:dyDescent="0.15">
      <c r="A968" t="s">
        <v>72</v>
      </c>
      <c r="B968" t="s">
        <v>18182</v>
      </c>
      <c r="C968" t="s">
        <v>74</v>
      </c>
      <c r="D968" t="s">
        <v>74</v>
      </c>
      <c r="E968" t="s">
        <v>74</v>
      </c>
      <c r="F968" t="s">
        <v>18183</v>
      </c>
      <c r="G968" t="s">
        <v>74</v>
      </c>
      <c r="H968" t="s">
        <v>74</v>
      </c>
      <c r="I968" t="s">
        <v>18184</v>
      </c>
      <c r="J968" t="s">
        <v>17022</v>
      </c>
      <c r="K968" t="s">
        <v>74</v>
      </c>
      <c r="L968" t="s">
        <v>74</v>
      </c>
      <c r="M968" t="s">
        <v>78</v>
      </c>
      <c r="N968" t="s">
        <v>79</v>
      </c>
      <c r="O968" t="s">
        <v>74</v>
      </c>
      <c r="P968" t="s">
        <v>74</v>
      </c>
      <c r="Q968" t="s">
        <v>74</v>
      </c>
      <c r="R968" t="s">
        <v>74</v>
      </c>
      <c r="S968" t="s">
        <v>74</v>
      </c>
      <c r="T968" t="s">
        <v>18185</v>
      </c>
      <c r="U968" t="s">
        <v>18186</v>
      </c>
      <c r="V968" t="s">
        <v>18187</v>
      </c>
      <c r="W968" t="s">
        <v>18188</v>
      </c>
      <c r="X968" t="s">
        <v>18189</v>
      </c>
      <c r="Y968" t="s">
        <v>18190</v>
      </c>
      <c r="Z968" t="s">
        <v>18191</v>
      </c>
      <c r="AA968" t="s">
        <v>18192</v>
      </c>
      <c r="AB968" t="s">
        <v>18193</v>
      </c>
      <c r="AC968" t="s">
        <v>18194</v>
      </c>
      <c r="AD968" t="s">
        <v>18195</v>
      </c>
      <c r="AE968" t="s">
        <v>18196</v>
      </c>
      <c r="AF968" t="s">
        <v>74</v>
      </c>
      <c r="AG968">
        <v>53</v>
      </c>
      <c r="AH968">
        <v>12</v>
      </c>
      <c r="AI968">
        <v>13</v>
      </c>
      <c r="AJ968">
        <v>1</v>
      </c>
      <c r="AK968">
        <v>14</v>
      </c>
      <c r="AL968" t="s">
        <v>17033</v>
      </c>
      <c r="AM968" t="s">
        <v>17034</v>
      </c>
      <c r="AN968" t="s">
        <v>17035</v>
      </c>
      <c r="AO968" t="s">
        <v>17036</v>
      </c>
      <c r="AP968" t="s">
        <v>17037</v>
      </c>
      <c r="AQ968" t="s">
        <v>74</v>
      </c>
      <c r="AR968" t="s">
        <v>17038</v>
      </c>
      <c r="AS968" t="s">
        <v>17039</v>
      </c>
      <c r="AT968" t="s">
        <v>74</v>
      </c>
      <c r="AU968">
        <v>2015</v>
      </c>
      <c r="AV968">
        <v>36</v>
      </c>
      <c r="AW968">
        <v>3</v>
      </c>
      <c r="AX968" t="s">
        <v>74</v>
      </c>
      <c r="AY968" t="s">
        <v>74</v>
      </c>
      <c r="AZ968" t="s">
        <v>74</v>
      </c>
      <c r="BA968" t="s">
        <v>74</v>
      </c>
      <c r="BB968">
        <v>239</v>
      </c>
      <c r="BC968">
        <v>260</v>
      </c>
      <c r="BD968" t="s">
        <v>74</v>
      </c>
      <c r="BE968" t="s">
        <v>18197</v>
      </c>
      <c r="BF968" t="str">
        <f>HYPERLINK("http://dx.doi.org/10.1515/popore-2015-0013","http://dx.doi.org/10.1515/popore-2015-0013")</f>
        <v>http://dx.doi.org/10.1515/popore-2015-0013</v>
      </c>
      <c r="BG968" t="s">
        <v>74</v>
      </c>
      <c r="BH968" t="s">
        <v>74</v>
      </c>
      <c r="BI968">
        <v>22</v>
      </c>
      <c r="BJ968" t="s">
        <v>9999</v>
      </c>
      <c r="BK968" t="s">
        <v>100</v>
      </c>
      <c r="BL968" t="s">
        <v>7144</v>
      </c>
      <c r="BM968" t="s">
        <v>18198</v>
      </c>
      <c r="BN968" t="s">
        <v>74</v>
      </c>
      <c r="BO968" t="s">
        <v>12815</v>
      </c>
      <c r="BP968" t="s">
        <v>74</v>
      </c>
      <c r="BQ968" t="s">
        <v>74</v>
      </c>
      <c r="BR968" t="s">
        <v>104</v>
      </c>
      <c r="BS968" t="s">
        <v>18199</v>
      </c>
      <c r="BT968" t="str">
        <f>HYPERLINK("https%3A%2F%2Fwww.webofscience.com%2Fwos%2Fwoscc%2Ffull-record%2FWOS:000361905900003","View Full Record in Web of Science")</f>
        <v>View Full Record in Web of Science</v>
      </c>
    </row>
    <row r="969" spans="1:72" x14ac:dyDescent="0.15">
      <c r="A969" t="s">
        <v>72</v>
      </c>
      <c r="B969" t="s">
        <v>18200</v>
      </c>
      <c r="C969" t="s">
        <v>74</v>
      </c>
      <c r="D969" t="s">
        <v>74</v>
      </c>
      <c r="E969" t="s">
        <v>74</v>
      </c>
      <c r="F969" t="s">
        <v>18201</v>
      </c>
      <c r="G969" t="s">
        <v>74</v>
      </c>
      <c r="H969" t="s">
        <v>74</v>
      </c>
      <c r="I969" t="s">
        <v>18202</v>
      </c>
      <c r="J969" t="s">
        <v>17022</v>
      </c>
      <c r="K969" t="s">
        <v>74</v>
      </c>
      <c r="L969" t="s">
        <v>74</v>
      </c>
      <c r="M969" t="s">
        <v>78</v>
      </c>
      <c r="N969" t="s">
        <v>79</v>
      </c>
      <c r="O969" t="s">
        <v>74</v>
      </c>
      <c r="P969" t="s">
        <v>74</v>
      </c>
      <c r="Q969" t="s">
        <v>74</v>
      </c>
      <c r="R969" t="s">
        <v>74</v>
      </c>
      <c r="S969" t="s">
        <v>74</v>
      </c>
      <c r="T969" t="s">
        <v>18203</v>
      </c>
      <c r="U969" t="s">
        <v>18204</v>
      </c>
      <c r="V969" t="s">
        <v>18205</v>
      </c>
      <c r="W969" t="s">
        <v>18206</v>
      </c>
      <c r="X969" t="s">
        <v>18207</v>
      </c>
      <c r="Y969" t="s">
        <v>18208</v>
      </c>
      <c r="Z969" t="s">
        <v>12840</v>
      </c>
      <c r="AA969" t="s">
        <v>74</v>
      </c>
      <c r="AB969" t="s">
        <v>18209</v>
      </c>
      <c r="AC969" t="s">
        <v>18210</v>
      </c>
      <c r="AD969" t="s">
        <v>18211</v>
      </c>
      <c r="AE969" t="s">
        <v>18212</v>
      </c>
      <c r="AF969" t="s">
        <v>74</v>
      </c>
      <c r="AG969">
        <v>38</v>
      </c>
      <c r="AH969">
        <v>8</v>
      </c>
      <c r="AI969">
        <v>8</v>
      </c>
      <c r="AJ969">
        <v>1</v>
      </c>
      <c r="AK969">
        <v>16</v>
      </c>
      <c r="AL969" t="s">
        <v>17033</v>
      </c>
      <c r="AM969" t="s">
        <v>17034</v>
      </c>
      <c r="AN969" t="s">
        <v>17035</v>
      </c>
      <c r="AO969" t="s">
        <v>17036</v>
      </c>
      <c r="AP969" t="s">
        <v>17037</v>
      </c>
      <c r="AQ969" t="s">
        <v>74</v>
      </c>
      <c r="AR969" t="s">
        <v>17038</v>
      </c>
      <c r="AS969" t="s">
        <v>17039</v>
      </c>
      <c r="AT969" t="s">
        <v>74</v>
      </c>
      <c r="AU969">
        <v>2015</v>
      </c>
      <c r="AV969">
        <v>36</v>
      </c>
      <c r="AW969">
        <v>3</v>
      </c>
      <c r="AX969" t="s">
        <v>74</v>
      </c>
      <c r="AY969" t="s">
        <v>74</v>
      </c>
      <c r="AZ969" t="s">
        <v>74</v>
      </c>
      <c r="BA969" t="s">
        <v>74</v>
      </c>
      <c r="BB969">
        <v>261</v>
      </c>
      <c r="BC969">
        <v>279</v>
      </c>
      <c r="BD969" t="s">
        <v>74</v>
      </c>
      <c r="BE969" t="s">
        <v>18213</v>
      </c>
      <c r="BF969" t="str">
        <f>HYPERLINK("http://dx.doi.org/10.1515/popore-2015-0016","http://dx.doi.org/10.1515/popore-2015-0016")</f>
        <v>http://dx.doi.org/10.1515/popore-2015-0016</v>
      </c>
      <c r="BG969" t="s">
        <v>74</v>
      </c>
      <c r="BH969" t="s">
        <v>74</v>
      </c>
      <c r="BI969">
        <v>19</v>
      </c>
      <c r="BJ969" t="s">
        <v>9999</v>
      </c>
      <c r="BK969" t="s">
        <v>100</v>
      </c>
      <c r="BL969" t="s">
        <v>7144</v>
      </c>
      <c r="BM969" t="s">
        <v>18198</v>
      </c>
      <c r="BN969" t="s">
        <v>74</v>
      </c>
      <c r="BO969" t="s">
        <v>1490</v>
      </c>
      <c r="BP969" t="s">
        <v>74</v>
      </c>
      <c r="BQ969" t="s">
        <v>74</v>
      </c>
      <c r="BR969" t="s">
        <v>104</v>
      </c>
      <c r="BS969" t="s">
        <v>18214</v>
      </c>
      <c r="BT969" t="str">
        <f>HYPERLINK("https%3A%2F%2Fwww.webofscience.com%2Fwos%2Fwoscc%2Ffull-record%2FWOS:000361905900004","View Full Record in Web of Science")</f>
        <v>View Full Record in Web of Science</v>
      </c>
    </row>
    <row r="970" spans="1:72" x14ac:dyDescent="0.15">
      <c r="A970" t="s">
        <v>72</v>
      </c>
      <c r="B970" t="s">
        <v>18215</v>
      </c>
      <c r="C970" t="s">
        <v>74</v>
      </c>
      <c r="D970" t="s">
        <v>74</v>
      </c>
      <c r="E970" t="s">
        <v>74</v>
      </c>
      <c r="F970" t="s">
        <v>18216</v>
      </c>
      <c r="G970" t="s">
        <v>74</v>
      </c>
      <c r="H970" t="s">
        <v>74</v>
      </c>
      <c r="I970" t="s">
        <v>18217</v>
      </c>
      <c r="J970" t="s">
        <v>17022</v>
      </c>
      <c r="K970" t="s">
        <v>74</v>
      </c>
      <c r="L970" t="s">
        <v>74</v>
      </c>
      <c r="M970" t="s">
        <v>78</v>
      </c>
      <c r="N970" t="s">
        <v>79</v>
      </c>
      <c r="O970" t="s">
        <v>74</v>
      </c>
      <c r="P970" t="s">
        <v>74</v>
      </c>
      <c r="Q970" t="s">
        <v>74</v>
      </c>
      <c r="R970" t="s">
        <v>74</v>
      </c>
      <c r="S970" t="s">
        <v>74</v>
      </c>
      <c r="T970" t="s">
        <v>18218</v>
      </c>
      <c r="U970" t="s">
        <v>18219</v>
      </c>
      <c r="V970" t="s">
        <v>18220</v>
      </c>
      <c r="W970" t="s">
        <v>18221</v>
      </c>
      <c r="X970" t="s">
        <v>18207</v>
      </c>
      <c r="Y970" t="s">
        <v>18222</v>
      </c>
      <c r="Z970" t="s">
        <v>18223</v>
      </c>
      <c r="AA970" t="s">
        <v>18224</v>
      </c>
      <c r="AB970" t="s">
        <v>18225</v>
      </c>
      <c r="AC970" t="s">
        <v>18226</v>
      </c>
      <c r="AD970" t="s">
        <v>18227</v>
      </c>
      <c r="AE970" t="s">
        <v>18228</v>
      </c>
      <c r="AF970" t="s">
        <v>74</v>
      </c>
      <c r="AG970">
        <v>50</v>
      </c>
      <c r="AH970">
        <v>25</v>
      </c>
      <c r="AI970">
        <v>25</v>
      </c>
      <c r="AJ970">
        <v>2</v>
      </c>
      <c r="AK970">
        <v>36</v>
      </c>
      <c r="AL970" t="s">
        <v>17033</v>
      </c>
      <c r="AM970" t="s">
        <v>17034</v>
      </c>
      <c r="AN970" t="s">
        <v>17035</v>
      </c>
      <c r="AO970" t="s">
        <v>17036</v>
      </c>
      <c r="AP970" t="s">
        <v>17037</v>
      </c>
      <c r="AQ970" t="s">
        <v>74</v>
      </c>
      <c r="AR970" t="s">
        <v>17038</v>
      </c>
      <c r="AS970" t="s">
        <v>17039</v>
      </c>
      <c r="AT970" t="s">
        <v>74</v>
      </c>
      <c r="AU970">
        <v>2015</v>
      </c>
      <c r="AV970">
        <v>36</v>
      </c>
      <c r="AW970">
        <v>3</v>
      </c>
      <c r="AX970" t="s">
        <v>74</v>
      </c>
      <c r="AY970" t="s">
        <v>74</v>
      </c>
      <c r="AZ970" t="s">
        <v>74</v>
      </c>
      <c r="BA970" t="s">
        <v>74</v>
      </c>
      <c r="BB970">
        <v>281</v>
      </c>
      <c r="BC970">
        <v>295</v>
      </c>
      <c r="BD970" t="s">
        <v>74</v>
      </c>
      <c r="BE970" t="s">
        <v>18229</v>
      </c>
      <c r="BF970" t="str">
        <f>HYPERLINK("http://dx.doi.org/10.1515/popore-2015-0017","http://dx.doi.org/10.1515/popore-2015-0017")</f>
        <v>http://dx.doi.org/10.1515/popore-2015-0017</v>
      </c>
      <c r="BG970" t="s">
        <v>74</v>
      </c>
      <c r="BH970" t="s">
        <v>74</v>
      </c>
      <c r="BI970">
        <v>15</v>
      </c>
      <c r="BJ970" t="s">
        <v>9999</v>
      </c>
      <c r="BK970" t="s">
        <v>100</v>
      </c>
      <c r="BL970" t="s">
        <v>7144</v>
      </c>
      <c r="BM970" t="s">
        <v>18198</v>
      </c>
      <c r="BN970" t="s">
        <v>74</v>
      </c>
      <c r="BO970" t="s">
        <v>74</v>
      </c>
      <c r="BP970" t="s">
        <v>74</v>
      </c>
      <c r="BQ970" t="s">
        <v>74</v>
      </c>
      <c r="BR970" t="s">
        <v>104</v>
      </c>
      <c r="BS970" t="s">
        <v>18230</v>
      </c>
      <c r="BT970" t="str">
        <f>HYPERLINK("https%3A%2F%2Fwww.webofscience.com%2Fwos%2Fwoscc%2Ffull-record%2FWOS:000361905900005","View Full Record in Web of Science")</f>
        <v>View Full Record in Web of Science</v>
      </c>
    </row>
    <row r="971" spans="1:72" x14ac:dyDescent="0.15">
      <c r="A971" t="s">
        <v>72</v>
      </c>
      <c r="B971" t="s">
        <v>18231</v>
      </c>
      <c r="C971" t="s">
        <v>74</v>
      </c>
      <c r="D971" t="s">
        <v>74</v>
      </c>
      <c r="E971" t="s">
        <v>74</v>
      </c>
      <c r="F971" t="s">
        <v>18232</v>
      </c>
      <c r="G971" t="s">
        <v>74</v>
      </c>
      <c r="H971" t="s">
        <v>74</v>
      </c>
      <c r="I971" t="s">
        <v>18233</v>
      </c>
      <c r="J971" t="s">
        <v>17022</v>
      </c>
      <c r="K971" t="s">
        <v>74</v>
      </c>
      <c r="L971" t="s">
        <v>74</v>
      </c>
      <c r="M971" t="s">
        <v>78</v>
      </c>
      <c r="N971" t="s">
        <v>79</v>
      </c>
      <c r="O971" t="s">
        <v>74</v>
      </c>
      <c r="P971" t="s">
        <v>74</v>
      </c>
      <c r="Q971" t="s">
        <v>74</v>
      </c>
      <c r="R971" t="s">
        <v>74</v>
      </c>
      <c r="S971" t="s">
        <v>74</v>
      </c>
      <c r="T971" t="s">
        <v>18234</v>
      </c>
      <c r="U971" t="s">
        <v>74</v>
      </c>
      <c r="V971" t="s">
        <v>18235</v>
      </c>
      <c r="W971" t="s">
        <v>18236</v>
      </c>
      <c r="X971" t="s">
        <v>18237</v>
      </c>
      <c r="Y971" t="s">
        <v>18238</v>
      </c>
      <c r="Z971" t="s">
        <v>18239</v>
      </c>
      <c r="AA971" t="s">
        <v>18240</v>
      </c>
      <c r="AB971" t="s">
        <v>18241</v>
      </c>
      <c r="AC971" t="s">
        <v>18242</v>
      </c>
      <c r="AD971" t="s">
        <v>18243</v>
      </c>
      <c r="AE971" t="s">
        <v>18244</v>
      </c>
      <c r="AF971" t="s">
        <v>74</v>
      </c>
      <c r="AG971">
        <v>32</v>
      </c>
      <c r="AH971">
        <v>6</v>
      </c>
      <c r="AI971">
        <v>7</v>
      </c>
      <c r="AJ971">
        <v>0</v>
      </c>
      <c r="AK971">
        <v>4</v>
      </c>
      <c r="AL971" t="s">
        <v>17033</v>
      </c>
      <c r="AM971" t="s">
        <v>17034</v>
      </c>
      <c r="AN971" t="s">
        <v>17035</v>
      </c>
      <c r="AO971" t="s">
        <v>17036</v>
      </c>
      <c r="AP971" t="s">
        <v>17037</v>
      </c>
      <c r="AQ971" t="s">
        <v>74</v>
      </c>
      <c r="AR971" t="s">
        <v>17038</v>
      </c>
      <c r="AS971" t="s">
        <v>17039</v>
      </c>
      <c r="AT971" t="s">
        <v>74</v>
      </c>
      <c r="AU971">
        <v>2015</v>
      </c>
      <c r="AV971">
        <v>36</v>
      </c>
      <c r="AW971">
        <v>3</v>
      </c>
      <c r="AX971" t="s">
        <v>74</v>
      </c>
      <c r="AY971" t="s">
        <v>74</v>
      </c>
      <c r="AZ971" t="s">
        <v>74</v>
      </c>
      <c r="BA971" t="s">
        <v>74</v>
      </c>
      <c r="BB971">
        <v>297</v>
      </c>
      <c r="BC971">
        <v>304</v>
      </c>
      <c r="BD971" t="s">
        <v>74</v>
      </c>
      <c r="BE971" t="s">
        <v>18245</v>
      </c>
      <c r="BF971" t="str">
        <f>HYPERLINK("http://dx.doi.org/10.1515/popore-2015-0018","http://dx.doi.org/10.1515/popore-2015-0018")</f>
        <v>http://dx.doi.org/10.1515/popore-2015-0018</v>
      </c>
      <c r="BG971" t="s">
        <v>74</v>
      </c>
      <c r="BH971" t="s">
        <v>74</v>
      </c>
      <c r="BI971">
        <v>8</v>
      </c>
      <c r="BJ971" t="s">
        <v>9999</v>
      </c>
      <c r="BK971" t="s">
        <v>100</v>
      </c>
      <c r="BL971" t="s">
        <v>7144</v>
      </c>
      <c r="BM971" t="s">
        <v>18198</v>
      </c>
      <c r="BN971" t="s">
        <v>74</v>
      </c>
      <c r="BO971" t="s">
        <v>74</v>
      </c>
      <c r="BP971" t="s">
        <v>74</v>
      </c>
      <c r="BQ971" t="s">
        <v>74</v>
      </c>
      <c r="BR971" t="s">
        <v>104</v>
      </c>
      <c r="BS971" t="s">
        <v>18246</v>
      </c>
      <c r="BT971" t="str">
        <f>HYPERLINK("https%3A%2F%2Fwww.webofscience.com%2Fwos%2Fwoscc%2Ffull-record%2FWOS:000361905900006","View Full Record in Web of Science")</f>
        <v>View Full Record in Web of Science</v>
      </c>
    </row>
    <row r="972" spans="1:72" x14ac:dyDescent="0.15">
      <c r="A972" t="s">
        <v>72</v>
      </c>
      <c r="B972" t="s">
        <v>18247</v>
      </c>
      <c r="C972" t="s">
        <v>74</v>
      </c>
      <c r="D972" t="s">
        <v>74</v>
      </c>
      <c r="E972" t="s">
        <v>74</v>
      </c>
      <c r="F972" t="s">
        <v>18248</v>
      </c>
      <c r="G972" t="s">
        <v>74</v>
      </c>
      <c r="H972" t="s">
        <v>74</v>
      </c>
      <c r="I972" t="s">
        <v>18249</v>
      </c>
      <c r="J972" t="s">
        <v>18250</v>
      </c>
      <c r="K972" t="s">
        <v>74</v>
      </c>
      <c r="L972" t="s">
        <v>74</v>
      </c>
      <c r="M972" t="s">
        <v>78</v>
      </c>
      <c r="N972" t="s">
        <v>1291</v>
      </c>
      <c r="O972" t="s">
        <v>74</v>
      </c>
      <c r="P972" t="s">
        <v>74</v>
      </c>
      <c r="Q972" t="s">
        <v>74</v>
      </c>
      <c r="R972" t="s">
        <v>74</v>
      </c>
      <c r="S972" t="s">
        <v>74</v>
      </c>
      <c r="T972" t="s">
        <v>18251</v>
      </c>
      <c r="U972" t="s">
        <v>18252</v>
      </c>
      <c r="V972" t="s">
        <v>18253</v>
      </c>
      <c r="W972" t="s">
        <v>18254</v>
      </c>
      <c r="X972" t="s">
        <v>18255</v>
      </c>
      <c r="Y972" t="s">
        <v>18256</v>
      </c>
      <c r="Z972" t="s">
        <v>18257</v>
      </c>
      <c r="AA972" t="s">
        <v>18258</v>
      </c>
      <c r="AB972" t="s">
        <v>18259</v>
      </c>
      <c r="AC972" t="s">
        <v>18260</v>
      </c>
      <c r="AD972" t="s">
        <v>18261</v>
      </c>
      <c r="AE972" t="s">
        <v>18262</v>
      </c>
      <c r="AF972" t="s">
        <v>74</v>
      </c>
      <c r="AG972">
        <v>138</v>
      </c>
      <c r="AH972">
        <v>31</v>
      </c>
      <c r="AI972">
        <v>32</v>
      </c>
      <c r="AJ972">
        <v>1</v>
      </c>
      <c r="AK972">
        <v>15</v>
      </c>
      <c r="AL972" t="s">
        <v>12528</v>
      </c>
      <c r="AM972" t="s">
        <v>12529</v>
      </c>
      <c r="AN972" t="s">
        <v>12530</v>
      </c>
      <c r="AO972" t="s">
        <v>18263</v>
      </c>
      <c r="AP972" t="s">
        <v>18264</v>
      </c>
      <c r="AQ972" t="s">
        <v>74</v>
      </c>
      <c r="AR972" t="s">
        <v>18265</v>
      </c>
      <c r="AS972" t="s">
        <v>18266</v>
      </c>
      <c r="AT972" t="s">
        <v>74</v>
      </c>
      <c r="AU972">
        <v>2015</v>
      </c>
      <c r="AV972">
        <v>6</v>
      </c>
      <c r="AW972">
        <v>6</v>
      </c>
      <c r="AX972" t="s">
        <v>74</v>
      </c>
      <c r="AY972" t="s">
        <v>74</v>
      </c>
      <c r="AZ972" t="s">
        <v>74</v>
      </c>
      <c r="BA972" t="s">
        <v>74</v>
      </c>
      <c r="BB972">
        <v>843</v>
      </c>
      <c r="BC972">
        <v>868</v>
      </c>
      <c r="BD972" t="s">
        <v>74</v>
      </c>
      <c r="BE972" t="s">
        <v>18267</v>
      </c>
      <c r="BF972" t="str">
        <f>HYPERLINK("http://dx.doi.org/10.1016/j.ttbdis.2015.07.014","http://dx.doi.org/10.1016/j.ttbdis.2015.07.014")</f>
        <v>http://dx.doi.org/10.1016/j.ttbdis.2015.07.014</v>
      </c>
      <c r="BG972" t="s">
        <v>74</v>
      </c>
      <c r="BH972" t="s">
        <v>74</v>
      </c>
      <c r="BI972">
        <v>26</v>
      </c>
      <c r="BJ972" t="s">
        <v>18268</v>
      </c>
      <c r="BK972" t="s">
        <v>100</v>
      </c>
      <c r="BL972" t="s">
        <v>18268</v>
      </c>
      <c r="BM972" t="s">
        <v>18269</v>
      </c>
      <c r="BN972">
        <v>26249749</v>
      </c>
      <c r="BO972" t="s">
        <v>74</v>
      </c>
      <c r="BP972" t="s">
        <v>74</v>
      </c>
      <c r="BQ972" t="s">
        <v>74</v>
      </c>
      <c r="BR972" t="s">
        <v>104</v>
      </c>
      <c r="BS972" t="s">
        <v>18270</v>
      </c>
      <c r="BT972" t="str">
        <f>HYPERLINK("https%3A%2F%2Fwww.webofscience.com%2Fwos%2Fwoscc%2Ffull-record%2FWOS:000362143800023","View Full Record in Web of Science")</f>
        <v>View Full Record in Web of Science</v>
      </c>
    </row>
    <row r="973" spans="1:72" x14ac:dyDescent="0.15">
      <c r="A973" t="s">
        <v>15464</v>
      </c>
      <c r="B973" t="s">
        <v>18271</v>
      </c>
      <c r="C973" t="s">
        <v>74</v>
      </c>
      <c r="D973" t="s">
        <v>18272</v>
      </c>
      <c r="E973" t="s">
        <v>74</v>
      </c>
      <c r="F973" t="s">
        <v>18273</v>
      </c>
      <c r="G973" t="s">
        <v>74</v>
      </c>
      <c r="H973" t="s">
        <v>74</v>
      </c>
      <c r="I973" t="s">
        <v>18274</v>
      </c>
      <c r="J973" t="s">
        <v>18275</v>
      </c>
      <c r="K973" t="s">
        <v>15715</v>
      </c>
      <c r="L973" t="s">
        <v>74</v>
      </c>
      <c r="M973" t="s">
        <v>78</v>
      </c>
      <c r="N973" t="s">
        <v>15471</v>
      </c>
      <c r="O973" t="s">
        <v>18276</v>
      </c>
      <c r="P973" t="s">
        <v>18277</v>
      </c>
      <c r="Q973" t="s">
        <v>18278</v>
      </c>
      <c r="R973" t="s">
        <v>74</v>
      </c>
      <c r="S973" t="s">
        <v>18279</v>
      </c>
      <c r="T973" t="s">
        <v>18280</v>
      </c>
      <c r="U973" t="s">
        <v>74</v>
      </c>
      <c r="V973" t="s">
        <v>18281</v>
      </c>
      <c r="W973" t="s">
        <v>18282</v>
      </c>
      <c r="X973" t="s">
        <v>18283</v>
      </c>
      <c r="Y973" t="s">
        <v>18284</v>
      </c>
      <c r="Z973" t="s">
        <v>15726</v>
      </c>
      <c r="AA973" t="s">
        <v>74</v>
      </c>
      <c r="AB973" t="s">
        <v>74</v>
      </c>
      <c r="AC973" t="s">
        <v>74</v>
      </c>
      <c r="AD973" t="s">
        <v>74</v>
      </c>
      <c r="AE973" t="s">
        <v>74</v>
      </c>
      <c r="AF973" t="s">
        <v>74</v>
      </c>
      <c r="AG973">
        <v>18</v>
      </c>
      <c r="AH973">
        <v>5</v>
      </c>
      <c r="AI973">
        <v>6</v>
      </c>
      <c r="AJ973">
        <v>1</v>
      </c>
      <c r="AK973">
        <v>9</v>
      </c>
      <c r="AL973" t="s">
        <v>815</v>
      </c>
      <c r="AM973" t="s">
        <v>816</v>
      </c>
      <c r="AN973" t="s">
        <v>15728</v>
      </c>
      <c r="AO973" t="s">
        <v>15729</v>
      </c>
      <c r="AP973" t="s">
        <v>74</v>
      </c>
      <c r="AQ973" t="s">
        <v>74</v>
      </c>
      <c r="AR973" t="s">
        <v>15730</v>
      </c>
      <c r="AS973" t="s">
        <v>74</v>
      </c>
      <c r="AT973" t="s">
        <v>74</v>
      </c>
      <c r="AU973">
        <v>2015</v>
      </c>
      <c r="AV973">
        <v>168</v>
      </c>
      <c r="AW973" t="s">
        <v>74</v>
      </c>
      <c r="AX973" t="s">
        <v>74</v>
      </c>
      <c r="AY973" t="s">
        <v>74</v>
      </c>
      <c r="AZ973" t="s">
        <v>74</v>
      </c>
      <c r="BA973" t="s">
        <v>74</v>
      </c>
      <c r="BB973">
        <v>211</v>
      </c>
      <c r="BC973">
        <v>218</v>
      </c>
      <c r="BD973" t="s">
        <v>74</v>
      </c>
      <c r="BE973" t="s">
        <v>18285</v>
      </c>
      <c r="BF973" t="str">
        <f>HYPERLINK("http://dx.doi.org/10.1016/j.sbspro.2014.10.226","http://dx.doi.org/10.1016/j.sbspro.2014.10.226")</f>
        <v>http://dx.doi.org/10.1016/j.sbspro.2014.10.226</v>
      </c>
      <c r="BG973" t="s">
        <v>74</v>
      </c>
      <c r="BH973" t="s">
        <v>74</v>
      </c>
      <c r="BI973">
        <v>8</v>
      </c>
      <c r="BJ973" t="s">
        <v>18286</v>
      </c>
      <c r="BK973" t="s">
        <v>15655</v>
      </c>
      <c r="BL973" t="s">
        <v>18287</v>
      </c>
      <c r="BM973" t="s">
        <v>18288</v>
      </c>
      <c r="BN973" t="s">
        <v>74</v>
      </c>
      <c r="BO973" t="s">
        <v>4689</v>
      </c>
      <c r="BP973" t="s">
        <v>74</v>
      </c>
      <c r="BQ973" t="s">
        <v>74</v>
      </c>
      <c r="BR973" t="s">
        <v>104</v>
      </c>
      <c r="BS973" t="s">
        <v>18289</v>
      </c>
      <c r="BT973" t="str">
        <f>HYPERLINK("https%3A%2F%2Fwww.webofscience.com%2Fwos%2Fwoscc%2Ffull-record%2FWOS:000361569200022","View Full Record in Web of Science")</f>
        <v>View Full Record in Web of Science</v>
      </c>
    </row>
    <row r="974" spans="1:72" x14ac:dyDescent="0.15">
      <c r="A974" t="s">
        <v>15464</v>
      </c>
      <c r="B974" t="s">
        <v>18290</v>
      </c>
      <c r="C974" t="s">
        <v>74</v>
      </c>
      <c r="D974" t="s">
        <v>18272</v>
      </c>
      <c r="E974" t="s">
        <v>74</v>
      </c>
      <c r="F974" t="s">
        <v>18291</v>
      </c>
      <c r="G974" t="s">
        <v>74</v>
      </c>
      <c r="H974" t="s">
        <v>74</v>
      </c>
      <c r="I974" t="s">
        <v>18292</v>
      </c>
      <c r="J974" t="s">
        <v>18293</v>
      </c>
      <c r="K974" t="s">
        <v>15715</v>
      </c>
      <c r="L974" t="s">
        <v>74</v>
      </c>
      <c r="M974" t="s">
        <v>78</v>
      </c>
      <c r="N974" t="s">
        <v>15471</v>
      </c>
      <c r="O974" t="s">
        <v>18294</v>
      </c>
      <c r="P974" t="s">
        <v>18295</v>
      </c>
      <c r="Q974" t="s">
        <v>18296</v>
      </c>
      <c r="R974" t="s">
        <v>74</v>
      </c>
      <c r="S974" t="s">
        <v>18297</v>
      </c>
      <c r="T974" t="s">
        <v>18298</v>
      </c>
      <c r="U974" t="s">
        <v>18299</v>
      </c>
      <c r="V974" t="s">
        <v>18300</v>
      </c>
      <c r="W974" t="s">
        <v>18301</v>
      </c>
      <c r="X974" t="s">
        <v>18302</v>
      </c>
      <c r="Y974" t="s">
        <v>18303</v>
      </c>
      <c r="Z974" t="s">
        <v>18304</v>
      </c>
      <c r="AA974" t="s">
        <v>18305</v>
      </c>
      <c r="AB974" t="s">
        <v>18306</v>
      </c>
      <c r="AC974" t="s">
        <v>74</v>
      </c>
      <c r="AD974" t="s">
        <v>74</v>
      </c>
      <c r="AE974" t="s">
        <v>74</v>
      </c>
      <c r="AF974" t="s">
        <v>74</v>
      </c>
      <c r="AG974">
        <v>15</v>
      </c>
      <c r="AH974">
        <v>13</v>
      </c>
      <c r="AI974">
        <v>13</v>
      </c>
      <c r="AJ974">
        <v>2</v>
      </c>
      <c r="AK974">
        <v>13</v>
      </c>
      <c r="AL974" t="s">
        <v>815</v>
      </c>
      <c r="AM974" t="s">
        <v>816</v>
      </c>
      <c r="AN974" t="s">
        <v>15728</v>
      </c>
      <c r="AO974" t="s">
        <v>15729</v>
      </c>
      <c r="AP974" t="s">
        <v>74</v>
      </c>
      <c r="AQ974" t="s">
        <v>74</v>
      </c>
      <c r="AR974" t="s">
        <v>15730</v>
      </c>
      <c r="AS974" t="s">
        <v>74</v>
      </c>
      <c r="AT974" t="s">
        <v>74</v>
      </c>
      <c r="AU974">
        <v>2015</v>
      </c>
      <c r="AV974">
        <v>170</v>
      </c>
      <c r="AW974" t="s">
        <v>74</v>
      </c>
      <c r="AX974" t="s">
        <v>74</v>
      </c>
      <c r="AY974" t="s">
        <v>74</v>
      </c>
      <c r="AZ974" t="s">
        <v>74</v>
      </c>
      <c r="BA974" t="s">
        <v>74</v>
      </c>
      <c r="BB974">
        <v>718</v>
      </c>
      <c r="BC974">
        <v>727</v>
      </c>
      <c r="BD974" t="s">
        <v>74</v>
      </c>
      <c r="BE974" t="s">
        <v>18307</v>
      </c>
      <c r="BF974" t="str">
        <f>HYPERLINK("http://dx.doi.org/10.1016/j.sbspro.2015.01.074","http://dx.doi.org/10.1016/j.sbspro.2015.01.074")</f>
        <v>http://dx.doi.org/10.1016/j.sbspro.2015.01.074</v>
      </c>
      <c r="BG974" t="s">
        <v>74</v>
      </c>
      <c r="BH974" t="s">
        <v>74</v>
      </c>
      <c r="BI974">
        <v>10</v>
      </c>
      <c r="BJ974" t="s">
        <v>18286</v>
      </c>
      <c r="BK974" t="s">
        <v>15655</v>
      </c>
      <c r="BL974" t="s">
        <v>18287</v>
      </c>
      <c r="BM974" t="s">
        <v>18308</v>
      </c>
      <c r="BN974" t="s">
        <v>74</v>
      </c>
      <c r="BO974" t="s">
        <v>4689</v>
      </c>
      <c r="BP974" t="s">
        <v>74</v>
      </c>
      <c r="BQ974" t="s">
        <v>74</v>
      </c>
      <c r="BR974" t="s">
        <v>104</v>
      </c>
      <c r="BS974" t="s">
        <v>18309</v>
      </c>
      <c r="BT974" t="str">
        <f>HYPERLINK("https%3A%2F%2Fwww.webofscience.com%2Fwos%2Fwoscc%2Ffull-record%2FWOS:000361570800074","View Full Record in Web of Science")</f>
        <v>View Full Record in Web of Science</v>
      </c>
    </row>
    <row r="975" spans="1:72" x14ac:dyDescent="0.15">
      <c r="A975" t="s">
        <v>72</v>
      </c>
      <c r="B975" t="s">
        <v>18310</v>
      </c>
      <c r="C975" t="s">
        <v>74</v>
      </c>
      <c r="D975" t="s">
        <v>74</v>
      </c>
      <c r="E975" t="s">
        <v>74</v>
      </c>
      <c r="F975" t="s">
        <v>18311</v>
      </c>
      <c r="G975" t="s">
        <v>74</v>
      </c>
      <c r="H975" t="s">
        <v>74</v>
      </c>
      <c r="I975" t="s">
        <v>18312</v>
      </c>
      <c r="J975" t="s">
        <v>17219</v>
      </c>
      <c r="K975" t="s">
        <v>74</v>
      </c>
      <c r="L975" t="s">
        <v>74</v>
      </c>
      <c r="M975" t="s">
        <v>78</v>
      </c>
      <c r="N975" t="s">
        <v>79</v>
      </c>
      <c r="O975" t="s">
        <v>74</v>
      </c>
      <c r="P975" t="s">
        <v>74</v>
      </c>
      <c r="Q975" t="s">
        <v>74</v>
      </c>
      <c r="R975" t="s">
        <v>74</v>
      </c>
      <c r="S975" t="s">
        <v>74</v>
      </c>
      <c r="T975" t="s">
        <v>74</v>
      </c>
      <c r="U975" t="s">
        <v>18313</v>
      </c>
      <c r="V975" t="s">
        <v>18314</v>
      </c>
      <c r="W975" t="s">
        <v>18315</v>
      </c>
      <c r="X975" t="s">
        <v>18316</v>
      </c>
      <c r="Y975" t="s">
        <v>18317</v>
      </c>
      <c r="Z975" t="s">
        <v>18318</v>
      </c>
      <c r="AA975" t="s">
        <v>18319</v>
      </c>
      <c r="AB975" t="s">
        <v>74</v>
      </c>
      <c r="AC975" t="s">
        <v>74</v>
      </c>
      <c r="AD975" t="s">
        <v>74</v>
      </c>
      <c r="AE975" t="s">
        <v>74</v>
      </c>
      <c r="AF975" t="s">
        <v>74</v>
      </c>
      <c r="AG975">
        <v>100</v>
      </c>
      <c r="AH975">
        <v>30</v>
      </c>
      <c r="AI975">
        <v>30</v>
      </c>
      <c r="AJ975">
        <v>0</v>
      </c>
      <c r="AK975">
        <v>14</v>
      </c>
      <c r="AL975" t="s">
        <v>16626</v>
      </c>
      <c r="AM975" t="s">
        <v>16627</v>
      </c>
      <c r="AN975" t="s">
        <v>16628</v>
      </c>
      <c r="AO975" t="s">
        <v>17230</v>
      </c>
      <c r="AP975" t="s">
        <v>17231</v>
      </c>
      <c r="AQ975" t="s">
        <v>74</v>
      </c>
      <c r="AR975" t="s">
        <v>17232</v>
      </c>
      <c r="AS975" t="s">
        <v>17233</v>
      </c>
      <c r="AT975" t="s">
        <v>74</v>
      </c>
      <c r="AU975">
        <v>2015</v>
      </c>
      <c r="AV975">
        <v>15</v>
      </c>
      <c r="AW975">
        <v>17</v>
      </c>
      <c r="AX975" t="s">
        <v>74</v>
      </c>
      <c r="AY975" t="s">
        <v>74</v>
      </c>
      <c r="AZ975" t="s">
        <v>74</v>
      </c>
      <c r="BA975" t="s">
        <v>74</v>
      </c>
      <c r="BB975">
        <v>9945</v>
      </c>
      <c r="BC975">
        <v>9963</v>
      </c>
      <c r="BD975" t="s">
        <v>74</v>
      </c>
      <c r="BE975" t="s">
        <v>18320</v>
      </c>
      <c r="BF975" t="str">
        <f>HYPERLINK("http://dx.doi.org/10.5194/acp-15-9945-2015","http://dx.doi.org/10.5194/acp-15-9945-2015")</f>
        <v>http://dx.doi.org/10.5194/acp-15-9945-2015</v>
      </c>
      <c r="BG975" t="s">
        <v>74</v>
      </c>
      <c r="BH975" t="s">
        <v>74</v>
      </c>
      <c r="BI975">
        <v>19</v>
      </c>
      <c r="BJ975" t="s">
        <v>1741</v>
      </c>
      <c r="BK975" t="s">
        <v>100</v>
      </c>
      <c r="BL975" t="s">
        <v>1742</v>
      </c>
      <c r="BM975" t="s">
        <v>18321</v>
      </c>
      <c r="BN975" t="s">
        <v>74</v>
      </c>
      <c r="BO975" t="s">
        <v>1490</v>
      </c>
      <c r="BP975" t="s">
        <v>74</v>
      </c>
      <c r="BQ975" t="s">
        <v>74</v>
      </c>
      <c r="BR975" t="s">
        <v>104</v>
      </c>
      <c r="BS975" t="s">
        <v>18322</v>
      </c>
      <c r="BT975" t="str">
        <f>HYPERLINK("https%3A%2F%2Fwww.webofscience.com%2Fwos%2Fwoscc%2Ffull-record%2FWOS:000361567600013","View Full Record in Web of Science")</f>
        <v>View Full Record in Web of Science</v>
      </c>
    </row>
    <row r="976" spans="1:72" x14ac:dyDescent="0.15">
      <c r="A976" t="s">
        <v>72</v>
      </c>
      <c r="B976" t="s">
        <v>18323</v>
      </c>
      <c r="C976" t="s">
        <v>74</v>
      </c>
      <c r="D976" t="s">
        <v>74</v>
      </c>
      <c r="E976" t="s">
        <v>74</v>
      </c>
      <c r="F976" t="s">
        <v>18324</v>
      </c>
      <c r="G976" t="s">
        <v>74</v>
      </c>
      <c r="H976" t="s">
        <v>74</v>
      </c>
      <c r="I976" t="s">
        <v>18325</v>
      </c>
      <c r="J976" t="s">
        <v>18118</v>
      </c>
      <c r="K976" t="s">
        <v>74</v>
      </c>
      <c r="L976" t="s">
        <v>74</v>
      </c>
      <c r="M976" t="s">
        <v>78</v>
      </c>
      <c r="N976" t="s">
        <v>79</v>
      </c>
      <c r="O976" t="s">
        <v>74</v>
      </c>
      <c r="P976" t="s">
        <v>74</v>
      </c>
      <c r="Q976" t="s">
        <v>74</v>
      </c>
      <c r="R976" t="s">
        <v>74</v>
      </c>
      <c r="S976" t="s">
        <v>74</v>
      </c>
      <c r="T976" t="s">
        <v>18326</v>
      </c>
      <c r="U976" t="s">
        <v>18327</v>
      </c>
      <c r="V976" t="s">
        <v>18328</v>
      </c>
      <c r="W976" t="s">
        <v>18329</v>
      </c>
      <c r="X976" t="s">
        <v>18330</v>
      </c>
      <c r="Y976" t="s">
        <v>18331</v>
      </c>
      <c r="Z976" t="s">
        <v>18332</v>
      </c>
      <c r="AA976" t="s">
        <v>18333</v>
      </c>
      <c r="AB976" t="s">
        <v>18334</v>
      </c>
      <c r="AC976" t="s">
        <v>18335</v>
      </c>
      <c r="AD976" t="s">
        <v>18336</v>
      </c>
      <c r="AE976" t="s">
        <v>18337</v>
      </c>
      <c r="AF976" t="s">
        <v>74</v>
      </c>
      <c r="AG976">
        <v>59</v>
      </c>
      <c r="AH976">
        <v>13</v>
      </c>
      <c r="AI976">
        <v>13</v>
      </c>
      <c r="AJ976">
        <v>0</v>
      </c>
      <c r="AK976">
        <v>29</v>
      </c>
      <c r="AL976" t="s">
        <v>18338</v>
      </c>
      <c r="AM976" t="s">
        <v>18339</v>
      </c>
      <c r="AN976" t="s">
        <v>18340</v>
      </c>
      <c r="AO976" t="s">
        <v>18133</v>
      </c>
      <c r="AP976" t="s">
        <v>18134</v>
      </c>
      <c r="AQ976" t="s">
        <v>74</v>
      </c>
      <c r="AR976" t="s">
        <v>18135</v>
      </c>
      <c r="AS976" t="s">
        <v>18136</v>
      </c>
      <c r="AT976" t="s">
        <v>74</v>
      </c>
      <c r="AU976">
        <v>2015</v>
      </c>
      <c r="AV976">
        <v>34</v>
      </c>
      <c r="AW976" t="s">
        <v>74</v>
      </c>
      <c r="AX976" t="s">
        <v>74</v>
      </c>
      <c r="AY976" t="s">
        <v>74</v>
      </c>
      <c r="AZ976" t="s">
        <v>74</v>
      </c>
      <c r="BA976" t="s">
        <v>74</v>
      </c>
      <c r="BB976" t="s">
        <v>74</v>
      </c>
      <c r="BC976" t="s">
        <v>74</v>
      </c>
      <c r="BD976">
        <v>22784</v>
      </c>
      <c r="BE976" t="s">
        <v>18341</v>
      </c>
      <c r="BF976" t="str">
        <f>HYPERLINK("http://dx.doi.org/10.3402/polar.v34.22784","http://dx.doi.org/10.3402/polar.v34.22784")</f>
        <v>http://dx.doi.org/10.3402/polar.v34.22784</v>
      </c>
      <c r="BG976" t="s">
        <v>74</v>
      </c>
      <c r="BH976" t="s">
        <v>74</v>
      </c>
      <c r="BI976">
        <v>14</v>
      </c>
      <c r="BJ976" t="s">
        <v>18138</v>
      </c>
      <c r="BK976" t="s">
        <v>100</v>
      </c>
      <c r="BL976" t="s">
        <v>18139</v>
      </c>
      <c r="BM976" t="s">
        <v>18342</v>
      </c>
      <c r="BN976" t="s">
        <v>74</v>
      </c>
      <c r="BO976" t="s">
        <v>485</v>
      </c>
      <c r="BP976" t="s">
        <v>74</v>
      </c>
      <c r="BQ976" t="s">
        <v>74</v>
      </c>
      <c r="BR976" t="s">
        <v>104</v>
      </c>
      <c r="BS976" t="s">
        <v>18343</v>
      </c>
      <c r="BT976" t="str">
        <f>HYPERLINK("https%3A%2F%2Fwww.webofscience.com%2Fwos%2Fwoscc%2Ffull-record%2FWOS:000361881500001","View Full Record in Web of Science")</f>
        <v>View Full Record in Web of Science</v>
      </c>
    </row>
    <row r="977" spans="1:72" x14ac:dyDescent="0.15">
      <c r="A977" t="s">
        <v>72</v>
      </c>
      <c r="B977" t="s">
        <v>18344</v>
      </c>
      <c r="C977" t="s">
        <v>74</v>
      </c>
      <c r="D977" t="s">
        <v>74</v>
      </c>
      <c r="E977" t="s">
        <v>74</v>
      </c>
      <c r="F977" t="s">
        <v>18345</v>
      </c>
      <c r="G977" t="s">
        <v>74</v>
      </c>
      <c r="H977" t="s">
        <v>74</v>
      </c>
      <c r="I977" t="s">
        <v>18346</v>
      </c>
      <c r="J977" t="s">
        <v>17288</v>
      </c>
      <c r="K977" t="s">
        <v>74</v>
      </c>
      <c r="L977" t="s">
        <v>74</v>
      </c>
      <c r="M977" t="s">
        <v>78</v>
      </c>
      <c r="N977" t="s">
        <v>79</v>
      </c>
      <c r="O977" t="s">
        <v>74</v>
      </c>
      <c r="P977" t="s">
        <v>74</v>
      </c>
      <c r="Q977" t="s">
        <v>74</v>
      </c>
      <c r="R977" t="s">
        <v>74</v>
      </c>
      <c r="S977" t="s">
        <v>74</v>
      </c>
      <c r="T977" t="s">
        <v>74</v>
      </c>
      <c r="U977" t="s">
        <v>18347</v>
      </c>
      <c r="V977" t="s">
        <v>18348</v>
      </c>
      <c r="W977" t="s">
        <v>18349</v>
      </c>
      <c r="X977" t="s">
        <v>18350</v>
      </c>
      <c r="Y977" t="s">
        <v>13632</v>
      </c>
      <c r="Z977" t="s">
        <v>13633</v>
      </c>
      <c r="AA977" t="s">
        <v>18351</v>
      </c>
      <c r="AB977" t="s">
        <v>18352</v>
      </c>
      <c r="AC977" t="s">
        <v>18353</v>
      </c>
      <c r="AD977" t="s">
        <v>18354</v>
      </c>
      <c r="AE977" t="s">
        <v>18355</v>
      </c>
      <c r="AF977" t="s">
        <v>74</v>
      </c>
      <c r="AG977">
        <v>192</v>
      </c>
      <c r="AH977">
        <v>35</v>
      </c>
      <c r="AI977">
        <v>37</v>
      </c>
      <c r="AJ977">
        <v>1</v>
      </c>
      <c r="AK977">
        <v>23</v>
      </c>
      <c r="AL977" t="s">
        <v>16626</v>
      </c>
      <c r="AM977" t="s">
        <v>16627</v>
      </c>
      <c r="AN977" t="s">
        <v>16628</v>
      </c>
      <c r="AO977" t="s">
        <v>17300</v>
      </c>
      <c r="AP977" t="s">
        <v>17301</v>
      </c>
      <c r="AQ977" t="s">
        <v>74</v>
      </c>
      <c r="AR977" t="s">
        <v>17288</v>
      </c>
      <c r="AS977" t="s">
        <v>17302</v>
      </c>
      <c r="AT977" t="s">
        <v>74</v>
      </c>
      <c r="AU977">
        <v>2015</v>
      </c>
      <c r="AV977">
        <v>12</v>
      </c>
      <c r="AW977">
        <v>18</v>
      </c>
      <c r="AX977" t="s">
        <v>74</v>
      </c>
      <c r="AY977" t="s">
        <v>74</v>
      </c>
      <c r="AZ977" t="s">
        <v>74</v>
      </c>
      <c r="BA977" t="s">
        <v>74</v>
      </c>
      <c r="BB977">
        <v>5309</v>
      </c>
      <c r="BC977">
        <v>5337</v>
      </c>
      <c r="BD977" t="s">
        <v>74</v>
      </c>
      <c r="BE977" t="s">
        <v>18356</v>
      </c>
      <c r="BF977" t="str">
        <f>HYPERLINK("http://dx.doi.org/10.5194/bg-12-5309-2015","http://dx.doi.org/10.5194/bg-12-5309-2015")</f>
        <v>http://dx.doi.org/10.5194/bg-12-5309-2015</v>
      </c>
      <c r="BG977" t="s">
        <v>74</v>
      </c>
      <c r="BH977" t="s">
        <v>74</v>
      </c>
      <c r="BI977">
        <v>29</v>
      </c>
      <c r="BJ977" t="s">
        <v>9999</v>
      </c>
      <c r="BK977" t="s">
        <v>100</v>
      </c>
      <c r="BL977" t="s">
        <v>7144</v>
      </c>
      <c r="BM977" t="s">
        <v>18357</v>
      </c>
      <c r="BN977" t="s">
        <v>74</v>
      </c>
      <c r="BO977" t="s">
        <v>18358</v>
      </c>
      <c r="BP977" t="s">
        <v>74</v>
      </c>
      <c r="BQ977" t="s">
        <v>74</v>
      </c>
      <c r="BR977" t="s">
        <v>104</v>
      </c>
      <c r="BS977" t="s">
        <v>18359</v>
      </c>
      <c r="BT977" t="str">
        <f>HYPERLINK("https%3A%2F%2Fwww.webofscience.com%2Fwos%2Fwoscc%2Ffull-record%2FWOS:000361524900004","View Full Record in Web of Science")</f>
        <v>View Full Record in Web of Science</v>
      </c>
    </row>
    <row r="978" spans="1:72" x14ac:dyDescent="0.15">
      <c r="A978" t="s">
        <v>72</v>
      </c>
      <c r="B978" t="s">
        <v>18360</v>
      </c>
      <c r="C978" t="s">
        <v>74</v>
      </c>
      <c r="D978" t="s">
        <v>74</v>
      </c>
      <c r="E978" t="s">
        <v>74</v>
      </c>
      <c r="F978" t="s">
        <v>18361</v>
      </c>
      <c r="G978" t="s">
        <v>74</v>
      </c>
      <c r="H978" t="s">
        <v>74</v>
      </c>
      <c r="I978" t="s">
        <v>18362</v>
      </c>
      <c r="J978" t="s">
        <v>17219</v>
      </c>
      <c r="K978" t="s">
        <v>74</v>
      </c>
      <c r="L978" t="s">
        <v>74</v>
      </c>
      <c r="M978" t="s">
        <v>78</v>
      </c>
      <c r="N978" t="s">
        <v>79</v>
      </c>
      <c r="O978" t="s">
        <v>74</v>
      </c>
      <c r="P978" t="s">
        <v>74</v>
      </c>
      <c r="Q978" t="s">
        <v>74</v>
      </c>
      <c r="R978" t="s">
        <v>74</v>
      </c>
      <c r="S978" t="s">
        <v>74</v>
      </c>
      <c r="T978" t="s">
        <v>74</v>
      </c>
      <c r="U978" t="s">
        <v>18363</v>
      </c>
      <c r="V978" t="s">
        <v>18364</v>
      </c>
      <c r="W978" t="s">
        <v>18365</v>
      </c>
      <c r="X978" t="s">
        <v>18366</v>
      </c>
      <c r="Y978" t="s">
        <v>18367</v>
      </c>
      <c r="Z978" t="s">
        <v>18368</v>
      </c>
      <c r="AA978" t="s">
        <v>18369</v>
      </c>
      <c r="AB978" t="s">
        <v>18370</v>
      </c>
      <c r="AC978" t="s">
        <v>18371</v>
      </c>
      <c r="AD978" t="s">
        <v>18372</v>
      </c>
      <c r="AE978" t="s">
        <v>18373</v>
      </c>
      <c r="AF978" t="s">
        <v>74</v>
      </c>
      <c r="AG978">
        <v>68</v>
      </c>
      <c r="AH978">
        <v>33</v>
      </c>
      <c r="AI978">
        <v>42</v>
      </c>
      <c r="AJ978">
        <v>0</v>
      </c>
      <c r="AK978">
        <v>30</v>
      </c>
      <c r="AL978" t="s">
        <v>16626</v>
      </c>
      <c r="AM978" t="s">
        <v>16627</v>
      </c>
      <c r="AN978" t="s">
        <v>16628</v>
      </c>
      <c r="AO978" t="s">
        <v>17230</v>
      </c>
      <c r="AP978" t="s">
        <v>17231</v>
      </c>
      <c r="AQ978" t="s">
        <v>74</v>
      </c>
      <c r="AR978" t="s">
        <v>17232</v>
      </c>
      <c r="AS978" t="s">
        <v>17233</v>
      </c>
      <c r="AT978" t="s">
        <v>74</v>
      </c>
      <c r="AU978">
        <v>2015</v>
      </c>
      <c r="AV978">
        <v>15</v>
      </c>
      <c r="AW978">
        <v>16</v>
      </c>
      <c r="AX978" t="s">
        <v>74</v>
      </c>
      <c r="AY978" t="s">
        <v>74</v>
      </c>
      <c r="AZ978" t="s">
        <v>74</v>
      </c>
      <c r="BA978" t="s">
        <v>74</v>
      </c>
      <c r="BB978">
        <v>9435</v>
      </c>
      <c r="BC978">
        <v>9453</v>
      </c>
      <c r="BD978" t="s">
        <v>74</v>
      </c>
      <c r="BE978" t="s">
        <v>18374</v>
      </c>
      <c r="BF978" t="str">
        <f>HYPERLINK("http://dx.doi.org/10.5194/acp-15-9435-2015","http://dx.doi.org/10.5194/acp-15-9435-2015")</f>
        <v>http://dx.doi.org/10.5194/acp-15-9435-2015</v>
      </c>
      <c r="BG978" t="s">
        <v>74</v>
      </c>
      <c r="BH978" t="s">
        <v>74</v>
      </c>
      <c r="BI978">
        <v>19</v>
      </c>
      <c r="BJ978" t="s">
        <v>1741</v>
      </c>
      <c r="BK978" t="s">
        <v>100</v>
      </c>
      <c r="BL978" t="s">
        <v>1742</v>
      </c>
      <c r="BM978" t="s">
        <v>18375</v>
      </c>
      <c r="BN978" t="s">
        <v>74</v>
      </c>
      <c r="BO978" t="s">
        <v>12815</v>
      </c>
      <c r="BP978" t="s">
        <v>74</v>
      </c>
      <c r="BQ978" t="s">
        <v>74</v>
      </c>
      <c r="BR978" t="s">
        <v>104</v>
      </c>
      <c r="BS978" t="s">
        <v>18376</v>
      </c>
      <c r="BT978" t="str">
        <f>HYPERLINK("https%3A%2F%2Fwww.webofscience.com%2Fwos%2Fwoscc%2Ffull-record%2FWOS:000360646500021","View Full Record in Web of Science")</f>
        <v>View Full Record in Web of Science</v>
      </c>
    </row>
    <row r="979" spans="1:72" x14ac:dyDescent="0.15">
      <c r="A979" t="s">
        <v>72</v>
      </c>
      <c r="B979" t="s">
        <v>18377</v>
      </c>
      <c r="C979" t="s">
        <v>74</v>
      </c>
      <c r="D979" t="s">
        <v>74</v>
      </c>
      <c r="E979" t="s">
        <v>74</v>
      </c>
      <c r="F979" t="s">
        <v>18378</v>
      </c>
      <c r="G979" t="s">
        <v>74</v>
      </c>
      <c r="H979" t="s">
        <v>74</v>
      </c>
      <c r="I979" t="s">
        <v>18379</v>
      </c>
      <c r="J979" t="s">
        <v>18380</v>
      </c>
      <c r="K979" t="s">
        <v>74</v>
      </c>
      <c r="L979" t="s">
        <v>74</v>
      </c>
      <c r="M979" t="s">
        <v>78</v>
      </c>
      <c r="N979" t="s">
        <v>79</v>
      </c>
      <c r="O979" t="s">
        <v>74</v>
      </c>
      <c r="P979" t="s">
        <v>74</v>
      </c>
      <c r="Q979" t="s">
        <v>74</v>
      </c>
      <c r="R979" t="s">
        <v>74</v>
      </c>
      <c r="S979" t="s">
        <v>74</v>
      </c>
      <c r="T979" t="s">
        <v>18381</v>
      </c>
      <c r="U979" t="s">
        <v>18382</v>
      </c>
      <c r="V979" t="s">
        <v>18383</v>
      </c>
      <c r="W979" t="s">
        <v>18384</v>
      </c>
      <c r="X979" t="s">
        <v>18385</v>
      </c>
      <c r="Y979" t="s">
        <v>18386</v>
      </c>
      <c r="Z979" t="s">
        <v>18387</v>
      </c>
      <c r="AA979" t="s">
        <v>18388</v>
      </c>
      <c r="AB979" t="s">
        <v>18389</v>
      </c>
      <c r="AC979" t="s">
        <v>18390</v>
      </c>
      <c r="AD979" t="s">
        <v>18391</v>
      </c>
      <c r="AE979" t="s">
        <v>18392</v>
      </c>
      <c r="AF979" t="s">
        <v>74</v>
      </c>
      <c r="AG979">
        <v>203</v>
      </c>
      <c r="AH979">
        <v>15</v>
      </c>
      <c r="AI979">
        <v>19</v>
      </c>
      <c r="AJ979">
        <v>1</v>
      </c>
      <c r="AK979">
        <v>13</v>
      </c>
      <c r="AL979" t="s">
        <v>18393</v>
      </c>
      <c r="AM979" t="s">
        <v>16375</v>
      </c>
      <c r="AN979" t="s">
        <v>18394</v>
      </c>
      <c r="AO979" t="s">
        <v>18395</v>
      </c>
      <c r="AP979" t="s">
        <v>18396</v>
      </c>
      <c r="AQ979" t="s">
        <v>74</v>
      </c>
      <c r="AR979" t="s">
        <v>18380</v>
      </c>
      <c r="AS979" t="s">
        <v>18397</v>
      </c>
      <c r="AT979" t="s">
        <v>74</v>
      </c>
      <c r="AU979">
        <v>2015</v>
      </c>
      <c r="AV979" t="s">
        <v>74</v>
      </c>
      <c r="AW979">
        <v>519</v>
      </c>
      <c r="AX979" t="s">
        <v>74</v>
      </c>
      <c r="AY979" t="s">
        <v>74</v>
      </c>
      <c r="AZ979" t="s">
        <v>74</v>
      </c>
      <c r="BA979" t="s">
        <v>74</v>
      </c>
      <c r="BB979">
        <v>49</v>
      </c>
      <c r="BC979">
        <v>100</v>
      </c>
      <c r="BD979" t="s">
        <v>74</v>
      </c>
      <c r="BE979" t="s">
        <v>18398</v>
      </c>
      <c r="BF979" t="str">
        <f>HYPERLINK("http://dx.doi.org/10.3897/zookeys.519.9676","http://dx.doi.org/10.3897/zookeys.519.9676")</f>
        <v>http://dx.doi.org/10.3897/zookeys.519.9676</v>
      </c>
      <c r="BG979" t="s">
        <v>74</v>
      </c>
      <c r="BH979" t="s">
        <v>74</v>
      </c>
      <c r="BI979">
        <v>52</v>
      </c>
      <c r="BJ979" t="s">
        <v>509</v>
      </c>
      <c r="BK979" t="s">
        <v>100</v>
      </c>
      <c r="BL979" t="s">
        <v>509</v>
      </c>
      <c r="BM979" t="s">
        <v>18399</v>
      </c>
      <c r="BN979">
        <v>26448707</v>
      </c>
      <c r="BO979" t="s">
        <v>8138</v>
      </c>
      <c r="BP979" t="s">
        <v>74</v>
      </c>
      <c r="BQ979" t="s">
        <v>74</v>
      </c>
      <c r="BR979" t="s">
        <v>104</v>
      </c>
      <c r="BS979" t="s">
        <v>18400</v>
      </c>
      <c r="BT979" t="str">
        <f>HYPERLINK("https%3A%2F%2Fwww.webofscience.com%2Fwos%2Fwoscc%2Ffull-record%2FWOS:000360886000003","View Full Record in Web of Science")</f>
        <v>View Full Record in Web of Science</v>
      </c>
    </row>
    <row r="980" spans="1:72" x14ac:dyDescent="0.15">
      <c r="A980" t="s">
        <v>72</v>
      </c>
      <c r="B980" t="s">
        <v>18401</v>
      </c>
      <c r="C980" t="s">
        <v>74</v>
      </c>
      <c r="D980" t="s">
        <v>74</v>
      </c>
      <c r="E980" t="s">
        <v>74</v>
      </c>
      <c r="F980" t="s">
        <v>18402</v>
      </c>
      <c r="G980" t="s">
        <v>74</v>
      </c>
      <c r="H980" t="s">
        <v>74</v>
      </c>
      <c r="I980" t="s">
        <v>18403</v>
      </c>
      <c r="J980" t="s">
        <v>18404</v>
      </c>
      <c r="K980" t="s">
        <v>74</v>
      </c>
      <c r="L980" t="s">
        <v>74</v>
      </c>
      <c r="M980" t="s">
        <v>78</v>
      </c>
      <c r="N980" t="s">
        <v>79</v>
      </c>
      <c r="O980" t="s">
        <v>74</v>
      </c>
      <c r="P980" t="s">
        <v>74</v>
      </c>
      <c r="Q980" t="s">
        <v>74</v>
      </c>
      <c r="R980" t="s">
        <v>74</v>
      </c>
      <c r="S980" t="s">
        <v>74</v>
      </c>
      <c r="T980" t="s">
        <v>74</v>
      </c>
      <c r="U980" t="s">
        <v>18405</v>
      </c>
      <c r="V980" t="s">
        <v>18406</v>
      </c>
      <c r="W980" t="s">
        <v>18407</v>
      </c>
      <c r="X980" t="s">
        <v>18408</v>
      </c>
      <c r="Y980" t="s">
        <v>18409</v>
      </c>
      <c r="Z980" t="s">
        <v>18410</v>
      </c>
      <c r="AA980" t="s">
        <v>14809</v>
      </c>
      <c r="AB980" t="s">
        <v>18411</v>
      </c>
      <c r="AC980" t="s">
        <v>18412</v>
      </c>
      <c r="AD980" t="s">
        <v>18413</v>
      </c>
      <c r="AE980" t="s">
        <v>18414</v>
      </c>
      <c r="AF980" t="s">
        <v>74</v>
      </c>
      <c r="AG980">
        <v>40</v>
      </c>
      <c r="AH980">
        <v>4</v>
      </c>
      <c r="AI980">
        <v>4</v>
      </c>
      <c r="AJ980">
        <v>0</v>
      </c>
      <c r="AK980">
        <v>4</v>
      </c>
      <c r="AL980" t="s">
        <v>18415</v>
      </c>
      <c r="AM980" t="s">
        <v>378</v>
      </c>
      <c r="AN980" t="s">
        <v>18416</v>
      </c>
      <c r="AO980" t="s">
        <v>18417</v>
      </c>
      <c r="AP980" t="s">
        <v>18418</v>
      </c>
      <c r="AQ980" t="s">
        <v>74</v>
      </c>
      <c r="AR980" t="s">
        <v>18419</v>
      </c>
      <c r="AS980" t="s">
        <v>18420</v>
      </c>
      <c r="AT980" t="s">
        <v>74</v>
      </c>
      <c r="AU980">
        <v>2015</v>
      </c>
      <c r="AV980">
        <v>2015</v>
      </c>
      <c r="AW980" t="s">
        <v>74</v>
      </c>
      <c r="AX980" t="s">
        <v>74</v>
      </c>
      <c r="AY980" t="s">
        <v>74</v>
      </c>
      <c r="AZ980" t="s">
        <v>74</v>
      </c>
      <c r="BA980" t="s">
        <v>74</v>
      </c>
      <c r="BB980" t="s">
        <v>74</v>
      </c>
      <c r="BC980" t="s">
        <v>74</v>
      </c>
      <c r="BD980">
        <v>576093</v>
      </c>
      <c r="BE980" t="s">
        <v>18421</v>
      </c>
      <c r="BF980" t="str">
        <f>HYPERLINK("http://dx.doi.org/10.1155/2015/576093","http://dx.doi.org/10.1155/2015/576093")</f>
        <v>http://dx.doi.org/10.1155/2015/576093</v>
      </c>
      <c r="BG980" t="s">
        <v>74</v>
      </c>
      <c r="BH980" t="s">
        <v>74</v>
      </c>
      <c r="BI980">
        <v>12</v>
      </c>
      <c r="BJ980" t="s">
        <v>246</v>
      </c>
      <c r="BK980" t="s">
        <v>100</v>
      </c>
      <c r="BL980" t="s">
        <v>246</v>
      </c>
      <c r="BM980" t="s">
        <v>18422</v>
      </c>
      <c r="BN980" t="s">
        <v>74</v>
      </c>
      <c r="BO980" t="s">
        <v>1490</v>
      </c>
      <c r="BP980" t="s">
        <v>74</v>
      </c>
      <c r="BQ980" t="s">
        <v>74</v>
      </c>
      <c r="BR980" t="s">
        <v>104</v>
      </c>
      <c r="BS980" t="s">
        <v>18423</v>
      </c>
      <c r="BT980" t="str">
        <f>HYPERLINK("https%3A%2F%2Fwww.webofscience.com%2Fwos%2Fwoscc%2Ffull-record%2FWOS:000360717800001","View Full Record in Web of Science")</f>
        <v>View Full Record in Web of Science</v>
      </c>
    </row>
    <row r="981" spans="1:72" x14ac:dyDescent="0.15">
      <c r="A981" t="s">
        <v>72</v>
      </c>
      <c r="B981" t="s">
        <v>18424</v>
      </c>
      <c r="C981" t="s">
        <v>74</v>
      </c>
      <c r="D981" t="s">
        <v>74</v>
      </c>
      <c r="E981" t="s">
        <v>74</v>
      </c>
      <c r="F981" t="s">
        <v>18425</v>
      </c>
      <c r="G981" t="s">
        <v>74</v>
      </c>
      <c r="H981" t="s">
        <v>74</v>
      </c>
      <c r="I981" t="s">
        <v>18426</v>
      </c>
      <c r="J981" t="s">
        <v>17348</v>
      </c>
      <c r="K981" t="s">
        <v>74</v>
      </c>
      <c r="L981" t="s">
        <v>74</v>
      </c>
      <c r="M981" t="s">
        <v>78</v>
      </c>
      <c r="N981" t="s">
        <v>79</v>
      </c>
      <c r="O981" t="s">
        <v>74</v>
      </c>
      <c r="P981" t="s">
        <v>74</v>
      </c>
      <c r="Q981" t="s">
        <v>74</v>
      </c>
      <c r="R981" t="s">
        <v>74</v>
      </c>
      <c r="S981" t="s">
        <v>74</v>
      </c>
      <c r="T981" t="s">
        <v>74</v>
      </c>
      <c r="U981" t="s">
        <v>18427</v>
      </c>
      <c r="V981" t="s">
        <v>18428</v>
      </c>
      <c r="W981" t="s">
        <v>18429</v>
      </c>
      <c r="X981" t="s">
        <v>18430</v>
      </c>
      <c r="Y981" t="s">
        <v>18431</v>
      </c>
      <c r="Z981" t="s">
        <v>18432</v>
      </c>
      <c r="AA981" t="s">
        <v>18433</v>
      </c>
      <c r="AB981" t="s">
        <v>18434</v>
      </c>
      <c r="AC981" t="s">
        <v>18435</v>
      </c>
      <c r="AD981" t="s">
        <v>18436</v>
      </c>
      <c r="AE981" t="s">
        <v>18437</v>
      </c>
      <c r="AF981" t="s">
        <v>74</v>
      </c>
      <c r="AG981">
        <v>26</v>
      </c>
      <c r="AH981">
        <v>14</v>
      </c>
      <c r="AI981">
        <v>16</v>
      </c>
      <c r="AJ981">
        <v>0</v>
      </c>
      <c r="AK981">
        <v>12</v>
      </c>
      <c r="AL981" t="s">
        <v>16626</v>
      </c>
      <c r="AM981" t="s">
        <v>16627</v>
      </c>
      <c r="AN981" t="s">
        <v>16628</v>
      </c>
      <c r="AO981" t="s">
        <v>17360</v>
      </c>
      <c r="AP981" t="s">
        <v>17361</v>
      </c>
      <c r="AQ981" t="s">
        <v>74</v>
      </c>
      <c r="AR981" t="s">
        <v>17362</v>
      </c>
      <c r="AS981" t="s">
        <v>17363</v>
      </c>
      <c r="AT981" t="s">
        <v>74</v>
      </c>
      <c r="AU981">
        <v>2015</v>
      </c>
      <c r="AV981">
        <v>8</v>
      </c>
      <c r="AW981">
        <v>8</v>
      </c>
      <c r="AX981" t="s">
        <v>74</v>
      </c>
      <c r="AY981" t="s">
        <v>74</v>
      </c>
      <c r="AZ981" t="s">
        <v>74</v>
      </c>
      <c r="BA981" t="s">
        <v>74</v>
      </c>
      <c r="BB981">
        <v>3163</v>
      </c>
      <c r="BC981">
        <v>3175</v>
      </c>
      <c r="BD981" t="s">
        <v>74</v>
      </c>
      <c r="BE981" t="s">
        <v>18438</v>
      </c>
      <c r="BF981" t="str">
        <f>HYPERLINK("http://dx.doi.org/10.5194/amt-8-3163-2015","http://dx.doi.org/10.5194/amt-8-3163-2015")</f>
        <v>http://dx.doi.org/10.5194/amt-8-3163-2015</v>
      </c>
      <c r="BG981" t="s">
        <v>74</v>
      </c>
      <c r="BH981" t="s">
        <v>74</v>
      </c>
      <c r="BI981">
        <v>13</v>
      </c>
      <c r="BJ981" t="s">
        <v>406</v>
      </c>
      <c r="BK981" t="s">
        <v>100</v>
      </c>
      <c r="BL981" t="s">
        <v>406</v>
      </c>
      <c r="BM981" t="s">
        <v>18439</v>
      </c>
      <c r="BN981" t="s">
        <v>74</v>
      </c>
      <c r="BO981" t="s">
        <v>1490</v>
      </c>
      <c r="BP981" t="s">
        <v>74</v>
      </c>
      <c r="BQ981" t="s">
        <v>74</v>
      </c>
      <c r="BR981" t="s">
        <v>104</v>
      </c>
      <c r="BS981" t="s">
        <v>18440</v>
      </c>
      <c r="BT981" t="str">
        <f>HYPERLINK("https%3A%2F%2Fwww.webofscience.com%2Fwos%2Fwoscc%2Ffull-record%2FWOS:000360649700008","View Full Record in Web of Science")</f>
        <v>View Full Record in Web of Science</v>
      </c>
    </row>
    <row r="982" spans="1:72" x14ac:dyDescent="0.15">
      <c r="A982" t="s">
        <v>72</v>
      </c>
      <c r="B982" t="s">
        <v>18441</v>
      </c>
      <c r="C982" t="s">
        <v>74</v>
      </c>
      <c r="D982" t="s">
        <v>74</v>
      </c>
      <c r="E982" t="s">
        <v>74</v>
      </c>
      <c r="F982" t="s">
        <v>18442</v>
      </c>
      <c r="G982" t="s">
        <v>74</v>
      </c>
      <c r="H982" t="s">
        <v>74</v>
      </c>
      <c r="I982" t="s">
        <v>18443</v>
      </c>
      <c r="J982" t="s">
        <v>17348</v>
      </c>
      <c r="K982" t="s">
        <v>74</v>
      </c>
      <c r="L982" t="s">
        <v>74</v>
      </c>
      <c r="M982" t="s">
        <v>78</v>
      </c>
      <c r="N982" t="s">
        <v>79</v>
      </c>
      <c r="O982" t="s">
        <v>74</v>
      </c>
      <c r="P982" t="s">
        <v>74</v>
      </c>
      <c r="Q982" t="s">
        <v>74</v>
      </c>
      <c r="R982" t="s">
        <v>74</v>
      </c>
      <c r="S982" t="s">
        <v>74</v>
      </c>
      <c r="T982" t="s">
        <v>74</v>
      </c>
      <c r="U982" t="s">
        <v>18444</v>
      </c>
      <c r="V982" t="s">
        <v>18445</v>
      </c>
      <c r="W982" t="s">
        <v>18446</v>
      </c>
      <c r="X982" t="s">
        <v>18447</v>
      </c>
      <c r="Y982" t="s">
        <v>18448</v>
      </c>
      <c r="Z982" t="s">
        <v>18449</v>
      </c>
      <c r="AA982" t="s">
        <v>18450</v>
      </c>
      <c r="AB982" t="s">
        <v>18451</v>
      </c>
      <c r="AC982" t="s">
        <v>18452</v>
      </c>
      <c r="AD982" t="s">
        <v>18453</v>
      </c>
      <c r="AE982" t="s">
        <v>18454</v>
      </c>
      <c r="AF982" t="s">
        <v>74</v>
      </c>
      <c r="AG982">
        <v>42</v>
      </c>
      <c r="AH982">
        <v>13</v>
      </c>
      <c r="AI982">
        <v>13</v>
      </c>
      <c r="AJ982">
        <v>2</v>
      </c>
      <c r="AK982">
        <v>13</v>
      </c>
      <c r="AL982" t="s">
        <v>16626</v>
      </c>
      <c r="AM982" t="s">
        <v>16627</v>
      </c>
      <c r="AN982" t="s">
        <v>16628</v>
      </c>
      <c r="AO982" t="s">
        <v>17360</v>
      </c>
      <c r="AP982" t="s">
        <v>17361</v>
      </c>
      <c r="AQ982" t="s">
        <v>74</v>
      </c>
      <c r="AR982" t="s">
        <v>17362</v>
      </c>
      <c r="AS982" t="s">
        <v>17363</v>
      </c>
      <c r="AT982" t="s">
        <v>74</v>
      </c>
      <c r="AU982">
        <v>2015</v>
      </c>
      <c r="AV982">
        <v>8</v>
      </c>
      <c r="AW982">
        <v>8</v>
      </c>
      <c r="AX982" t="s">
        <v>74</v>
      </c>
      <c r="AY982" t="s">
        <v>74</v>
      </c>
      <c r="AZ982" t="s">
        <v>74</v>
      </c>
      <c r="BA982" t="s">
        <v>74</v>
      </c>
      <c r="BB982">
        <v>3447</v>
      </c>
      <c r="BC982">
        <v>3465</v>
      </c>
      <c r="BD982" t="s">
        <v>74</v>
      </c>
      <c r="BE982" t="s">
        <v>18455</v>
      </c>
      <c r="BF982" t="str">
        <f>HYPERLINK("http://dx.doi.org/10.5194/amt-8-3447-2015","http://dx.doi.org/10.5194/amt-8-3447-2015")</f>
        <v>http://dx.doi.org/10.5194/amt-8-3447-2015</v>
      </c>
      <c r="BG982" t="s">
        <v>74</v>
      </c>
      <c r="BH982" t="s">
        <v>74</v>
      </c>
      <c r="BI982">
        <v>19</v>
      </c>
      <c r="BJ982" t="s">
        <v>406</v>
      </c>
      <c r="BK982" t="s">
        <v>100</v>
      </c>
      <c r="BL982" t="s">
        <v>406</v>
      </c>
      <c r="BM982" t="s">
        <v>18439</v>
      </c>
      <c r="BN982" t="s">
        <v>74</v>
      </c>
      <c r="BO982" t="s">
        <v>12815</v>
      </c>
      <c r="BP982" t="s">
        <v>74</v>
      </c>
      <c r="BQ982" t="s">
        <v>74</v>
      </c>
      <c r="BR982" t="s">
        <v>104</v>
      </c>
      <c r="BS982" t="s">
        <v>18456</v>
      </c>
      <c r="BT982" t="str">
        <f>HYPERLINK("https%3A%2F%2Fwww.webofscience.com%2Fwos%2Fwoscc%2Ffull-record%2FWOS:000360649700028","View Full Record in Web of Science")</f>
        <v>View Full Record in Web of Science</v>
      </c>
    </row>
    <row r="983" spans="1:72" x14ac:dyDescent="0.15">
      <c r="A983" t="s">
        <v>72</v>
      </c>
      <c r="B983" t="s">
        <v>18457</v>
      </c>
      <c r="C983" t="s">
        <v>74</v>
      </c>
      <c r="D983" t="s">
        <v>74</v>
      </c>
      <c r="E983" t="s">
        <v>74</v>
      </c>
      <c r="F983" t="s">
        <v>18458</v>
      </c>
      <c r="G983" t="s">
        <v>74</v>
      </c>
      <c r="H983" t="s">
        <v>74</v>
      </c>
      <c r="I983" t="s">
        <v>18459</v>
      </c>
      <c r="J983" t="s">
        <v>18460</v>
      </c>
      <c r="K983" t="s">
        <v>74</v>
      </c>
      <c r="L983" t="s">
        <v>74</v>
      </c>
      <c r="M983" t="s">
        <v>78</v>
      </c>
      <c r="N983" t="s">
        <v>79</v>
      </c>
      <c r="O983" t="s">
        <v>74</v>
      </c>
      <c r="P983" t="s">
        <v>74</v>
      </c>
      <c r="Q983" t="s">
        <v>74</v>
      </c>
      <c r="R983" t="s">
        <v>74</v>
      </c>
      <c r="S983" t="s">
        <v>74</v>
      </c>
      <c r="T983" t="s">
        <v>18461</v>
      </c>
      <c r="U983" t="s">
        <v>18462</v>
      </c>
      <c r="V983" t="s">
        <v>18463</v>
      </c>
      <c r="W983" t="s">
        <v>18464</v>
      </c>
      <c r="X983" t="s">
        <v>2613</v>
      </c>
      <c r="Y983" t="s">
        <v>18465</v>
      </c>
      <c r="Z983" t="s">
        <v>18466</v>
      </c>
      <c r="AA983" t="s">
        <v>18467</v>
      </c>
      <c r="AB983" t="s">
        <v>18468</v>
      </c>
      <c r="AC983" t="s">
        <v>74</v>
      </c>
      <c r="AD983" t="s">
        <v>74</v>
      </c>
      <c r="AE983" t="s">
        <v>74</v>
      </c>
      <c r="AF983" t="s">
        <v>74</v>
      </c>
      <c r="AG983">
        <v>28</v>
      </c>
      <c r="AH983">
        <v>3</v>
      </c>
      <c r="AI983">
        <v>3</v>
      </c>
      <c r="AJ983">
        <v>0</v>
      </c>
      <c r="AK983">
        <v>11</v>
      </c>
      <c r="AL983" t="s">
        <v>16675</v>
      </c>
      <c r="AM983" t="s">
        <v>16676</v>
      </c>
      <c r="AN983" t="s">
        <v>16677</v>
      </c>
      <c r="AO983" t="s">
        <v>18469</v>
      </c>
      <c r="AP983" t="s">
        <v>18470</v>
      </c>
      <c r="AQ983" t="s">
        <v>74</v>
      </c>
      <c r="AR983" t="s">
        <v>18471</v>
      </c>
      <c r="AS983" t="s">
        <v>18472</v>
      </c>
      <c r="AT983" t="s">
        <v>74</v>
      </c>
      <c r="AU983">
        <v>2015</v>
      </c>
      <c r="AV983">
        <v>63</v>
      </c>
      <c r="AW983">
        <v>3</v>
      </c>
      <c r="AX983" t="s">
        <v>74</v>
      </c>
      <c r="AY983" t="s">
        <v>74</v>
      </c>
      <c r="AZ983" t="s">
        <v>74</v>
      </c>
      <c r="BA983" t="s">
        <v>74</v>
      </c>
      <c r="BB983">
        <v>220</v>
      </c>
      <c r="BC983">
        <v>223</v>
      </c>
      <c r="BD983" t="s">
        <v>74</v>
      </c>
      <c r="BE983" t="s">
        <v>18473</v>
      </c>
      <c r="BF983" t="str">
        <f>HYPERLINK("http://dx.doi.org/10.1071/ZO14074","http://dx.doi.org/10.1071/ZO14074")</f>
        <v>http://dx.doi.org/10.1071/ZO14074</v>
      </c>
      <c r="BG983" t="s">
        <v>74</v>
      </c>
      <c r="BH983" t="s">
        <v>74</v>
      </c>
      <c r="BI983">
        <v>4</v>
      </c>
      <c r="BJ983" t="s">
        <v>509</v>
      </c>
      <c r="BK983" t="s">
        <v>100</v>
      </c>
      <c r="BL983" t="s">
        <v>509</v>
      </c>
      <c r="BM983" t="s">
        <v>18474</v>
      </c>
      <c r="BN983" t="s">
        <v>74</v>
      </c>
      <c r="BO983" t="s">
        <v>74</v>
      </c>
      <c r="BP983" t="s">
        <v>74</v>
      </c>
      <c r="BQ983" t="s">
        <v>74</v>
      </c>
      <c r="BR983" t="s">
        <v>104</v>
      </c>
      <c r="BS983" t="s">
        <v>18475</v>
      </c>
      <c r="BT983" t="str">
        <f>HYPERLINK("https%3A%2F%2Fwww.webofscience.com%2Fwos%2Fwoscc%2Ffull-record%2FWOS:000360397700009","View Full Record in Web of Science")</f>
        <v>View Full Record in Web of Science</v>
      </c>
    </row>
    <row r="984" spans="1:72" x14ac:dyDescent="0.15">
      <c r="A984" t="s">
        <v>72</v>
      </c>
      <c r="B984" t="s">
        <v>18476</v>
      </c>
      <c r="C984" t="s">
        <v>74</v>
      </c>
      <c r="D984" t="s">
        <v>74</v>
      </c>
      <c r="E984" t="s">
        <v>74</v>
      </c>
      <c r="F984" t="s">
        <v>18477</v>
      </c>
      <c r="G984" t="s">
        <v>74</v>
      </c>
      <c r="H984" t="s">
        <v>74</v>
      </c>
      <c r="I984" t="s">
        <v>18478</v>
      </c>
      <c r="J984" t="s">
        <v>16713</v>
      </c>
      <c r="K984" t="s">
        <v>74</v>
      </c>
      <c r="L984" t="s">
        <v>74</v>
      </c>
      <c r="M984" t="s">
        <v>78</v>
      </c>
      <c r="N984" t="s">
        <v>79</v>
      </c>
      <c r="O984" t="s">
        <v>74</v>
      </c>
      <c r="P984" t="s">
        <v>74</v>
      </c>
      <c r="Q984" t="s">
        <v>74</v>
      </c>
      <c r="R984" t="s">
        <v>74</v>
      </c>
      <c r="S984" t="s">
        <v>74</v>
      </c>
      <c r="T984" t="s">
        <v>74</v>
      </c>
      <c r="U984" t="s">
        <v>18479</v>
      </c>
      <c r="V984" t="s">
        <v>18480</v>
      </c>
      <c r="W984" t="s">
        <v>18481</v>
      </c>
      <c r="X984" t="s">
        <v>18482</v>
      </c>
      <c r="Y984" t="s">
        <v>11211</v>
      </c>
      <c r="Z984" t="s">
        <v>11212</v>
      </c>
      <c r="AA984" t="s">
        <v>18483</v>
      </c>
      <c r="AB984" t="s">
        <v>18484</v>
      </c>
      <c r="AC984" t="s">
        <v>18485</v>
      </c>
      <c r="AD984" t="s">
        <v>18486</v>
      </c>
      <c r="AE984" t="s">
        <v>18487</v>
      </c>
      <c r="AF984" t="s">
        <v>74</v>
      </c>
      <c r="AG984">
        <v>56</v>
      </c>
      <c r="AH984">
        <v>33</v>
      </c>
      <c r="AI984">
        <v>37</v>
      </c>
      <c r="AJ984">
        <v>0</v>
      </c>
      <c r="AK984">
        <v>15</v>
      </c>
      <c r="AL984" t="s">
        <v>16626</v>
      </c>
      <c r="AM984" t="s">
        <v>16627</v>
      </c>
      <c r="AN984" t="s">
        <v>16628</v>
      </c>
      <c r="AO984" t="s">
        <v>16724</v>
      </c>
      <c r="AP984" t="s">
        <v>16725</v>
      </c>
      <c r="AQ984" t="s">
        <v>74</v>
      </c>
      <c r="AR984" t="s">
        <v>16713</v>
      </c>
      <c r="AS984" t="s">
        <v>16726</v>
      </c>
      <c r="AT984" t="s">
        <v>74</v>
      </c>
      <c r="AU984">
        <v>2015</v>
      </c>
      <c r="AV984">
        <v>9</v>
      </c>
      <c r="AW984">
        <v>3</v>
      </c>
      <c r="AX984" t="s">
        <v>74</v>
      </c>
      <c r="AY984" t="s">
        <v>74</v>
      </c>
      <c r="AZ984" t="s">
        <v>74</v>
      </c>
      <c r="BA984" t="s">
        <v>74</v>
      </c>
      <c r="BB984">
        <v>1169</v>
      </c>
      <c r="BC984">
        <v>1181</v>
      </c>
      <c r="BD984" t="s">
        <v>74</v>
      </c>
      <c r="BE984" t="s">
        <v>18488</v>
      </c>
      <c r="BF984" t="str">
        <f>HYPERLINK("http://dx.doi.org/10.5194/tc-9-1169-2015","http://dx.doi.org/10.5194/tc-9-1169-2015")</f>
        <v>http://dx.doi.org/10.5194/tc-9-1169-2015</v>
      </c>
      <c r="BG984" t="s">
        <v>74</v>
      </c>
      <c r="BH984" t="s">
        <v>74</v>
      </c>
      <c r="BI984">
        <v>13</v>
      </c>
      <c r="BJ984" t="s">
        <v>795</v>
      </c>
      <c r="BK984" t="s">
        <v>100</v>
      </c>
      <c r="BL984" t="s">
        <v>796</v>
      </c>
      <c r="BM984" t="s">
        <v>18489</v>
      </c>
      <c r="BN984" t="s">
        <v>74</v>
      </c>
      <c r="BO984" t="s">
        <v>1685</v>
      </c>
      <c r="BP984" t="s">
        <v>74</v>
      </c>
      <c r="BQ984" t="s">
        <v>74</v>
      </c>
      <c r="BR984" t="s">
        <v>104</v>
      </c>
      <c r="BS984" t="s">
        <v>18490</v>
      </c>
      <c r="BT984" t="str">
        <f>HYPERLINK("https%3A%2F%2Fwww.webofscience.com%2Fwos%2Fwoscc%2Ffull-record%2FWOS:000360659200009","View Full Record in Web of Science")</f>
        <v>View Full Record in Web of Science</v>
      </c>
    </row>
    <row r="985" spans="1:72" x14ac:dyDescent="0.15">
      <c r="A985" t="s">
        <v>72</v>
      </c>
      <c r="B985" t="s">
        <v>18491</v>
      </c>
      <c r="C985" t="s">
        <v>74</v>
      </c>
      <c r="D985" t="s">
        <v>74</v>
      </c>
      <c r="E985" t="s">
        <v>74</v>
      </c>
      <c r="F985" t="s">
        <v>18492</v>
      </c>
      <c r="G985" t="s">
        <v>74</v>
      </c>
      <c r="H985" t="s">
        <v>74</v>
      </c>
      <c r="I985" t="s">
        <v>18493</v>
      </c>
      <c r="J985" t="s">
        <v>16713</v>
      </c>
      <c r="K985" t="s">
        <v>74</v>
      </c>
      <c r="L985" t="s">
        <v>74</v>
      </c>
      <c r="M985" t="s">
        <v>78</v>
      </c>
      <c r="N985" t="s">
        <v>79</v>
      </c>
      <c r="O985" t="s">
        <v>74</v>
      </c>
      <c r="P985" t="s">
        <v>74</v>
      </c>
      <c r="Q985" t="s">
        <v>74</v>
      </c>
      <c r="R985" t="s">
        <v>74</v>
      </c>
      <c r="S985" t="s">
        <v>74</v>
      </c>
      <c r="T985" t="s">
        <v>74</v>
      </c>
      <c r="U985" t="s">
        <v>18494</v>
      </c>
      <c r="V985" t="s">
        <v>18495</v>
      </c>
      <c r="W985" t="s">
        <v>18496</v>
      </c>
      <c r="X985" t="s">
        <v>18497</v>
      </c>
      <c r="Y985" t="s">
        <v>18498</v>
      </c>
      <c r="Z985" t="s">
        <v>18499</v>
      </c>
      <c r="AA985" t="s">
        <v>18500</v>
      </c>
      <c r="AB985" t="s">
        <v>18501</v>
      </c>
      <c r="AC985" t="s">
        <v>18502</v>
      </c>
      <c r="AD985" t="s">
        <v>18503</v>
      </c>
      <c r="AE985" t="s">
        <v>18504</v>
      </c>
      <c r="AF985" t="s">
        <v>74</v>
      </c>
      <c r="AG985">
        <v>64</v>
      </c>
      <c r="AH985">
        <v>39</v>
      </c>
      <c r="AI985">
        <v>45</v>
      </c>
      <c r="AJ985">
        <v>0</v>
      </c>
      <c r="AK985">
        <v>11</v>
      </c>
      <c r="AL985" t="s">
        <v>16626</v>
      </c>
      <c r="AM985" t="s">
        <v>16627</v>
      </c>
      <c r="AN985" t="s">
        <v>16628</v>
      </c>
      <c r="AO985" t="s">
        <v>16724</v>
      </c>
      <c r="AP985" t="s">
        <v>16725</v>
      </c>
      <c r="AQ985" t="s">
        <v>74</v>
      </c>
      <c r="AR985" t="s">
        <v>16713</v>
      </c>
      <c r="AS985" t="s">
        <v>16726</v>
      </c>
      <c r="AT985" t="s">
        <v>74</v>
      </c>
      <c r="AU985">
        <v>2015</v>
      </c>
      <c r="AV985">
        <v>9</v>
      </c>
      <c r="AW985">
        <v>4</v>
      </c>
      <c r="AX985" t="s">
        <v>74</v>
      </c>
      <c r="AY985" t="s">
        <v>74</v>
      </c>
      <c r="AZ985" t="s">
        <v>74</v>
      </c>
      <c r="BA985" t="s">
        <v>74</v>
      </c>
      <c r="BB985">
        <v>1427</v>
      </c>
      <c r="BC985">
        <v>1443</v>
      </c>
      <c r="BD985" t="s">
        <v>74</v>
      </c>
      <c r="BE985" t="s">
        <v>18505</v>
      </c>
      <c r="BF985" t="str">
        <f>HYPERLINK("http://dx.doi.org/10.5194/tc-9-1427-2015","http://dx.doi.org/10.5194/tc-9-1427-2015")</f>
        <v>http://dx.doi.org/10.5194/tc-9-1427-2015</v>
      </c>
      <c r="BG985" t="s">
        <v>74</v>
      </c>
      <c r="BH985" t="s">
        <v>74</v>
      </c>
      <c r="BI985">
        <v>17</v>
      </c>
      <c r="BJ985" t="s">
        <v>795</v>
      </c>
      <c r="BK985" t="s">
        <v>100</v>
      </c>
      <c r="BL985" t="s">
        <v>796</v>
      </c>
      <c r="BM985" t="s">
        <v>18506</v>
      </c>
      <c r="BN985" t="s">
        <v>74</v>
      </c>
      <c r="BO985" t="s">
        <v>17517</v>
      </c>
      <c r="BP985" t="s">
        <v>74</v>
      </c>
      <c r="BQ985" t="s">
        <v>74</v>
      </c>
      <c r="BR985" t="s">
        <v>104</v>
      </c>
      <c r="BS985" t="s">
        <v>18507</v>
      </c>
      <c r="BT985" t="str">
        <f>HYPERLINK("https%3A%2F%2Fwww.webofscience.com%2Fwos%2Fwoscc%2Ffull-record%2FWOS:000360661700008","View Full Record in Web of Science")</f>
        <v>View Full Record in Web of Science</v>
      </c>
    </row>
    <row r="986" spans="1:72" x14ac:dyDescent="0.15">
      <c r="A986" t="s">
        <v>72</v>
      </c>
      <c r="B986" t="s">
        <v>18508</v>
      </c>
      <c r="C986" t="s">
        <v>74</v>
      </c>
      <c r="D986" t="s">
        <v>74</v>
      </c>
      <c r="E986" t="s">
        <v>74</v>
      </c>
      <c r="F986" t="s">
        <v>18509</v>
      </c>
      <c r="G986" t="s">
        <v>74</v>
      </c>
      <c r="H986" t="s">
        <v>74</v>
      </c>
      <c r="I986" t="s">
        <v>18510</v>
      </c>
      <c r="J986" t="s">
        <v>16713</v>
      </c>
      <c r="K986" t="s">
        <v>74</v>
      </c>
      <c r="L986" t="s">
        <v>74</v>
      </c>
      <c r="M986" t="s">
        <v>78</v>
      </c>
      <c r="N986" t="s">
        <v>79</v>
      </c>
      <c r="O986" t="s">
        <v>74</v>
      </c>
      <c r="P986" t="s">
        <v>74</v>
      </c>
      <c r="Q986" t="s">
        <v>74</v>
      </c>
      <c r="R986" t="s">
        <v>74</v>
      </c>
      <c r="S986" t="s">
        <v>74</v>
      </c>
      <c r="T986" t="s">
        <v>74</v>
      </c>
      <c r="U986" t="s">
        <v>74</v>
      </c>
      <c r="V986" t="s">
        <v>18511</v>
      </c>
      <c r="W986" t="s">
        <v>18512</v>
      </c>
      <c r="X986" t="s">
        <v>18513</v>
      </c>
      <c r="Y986" t="s">
        <v>18514</v>
      </c>
      <c r="Z986" t="s">
        <v>18515</v>
      </c>
      <c r="AA986" t="s">
        <v>18516</v>
      </c>
      <c r="AB986" t="s">
        <v>18517</v>
      </c>
      <c r="AC986" t="s">
        <v>18518</v>
      </c>
      <c r="AD986" t="s">
        <v>18519</v>
      </c>
      <c r="AE986" t="s">
        <v>18520</v>
      </c>
      <c r="AF986" t="s">
        <v>74</v>
      </c>
      <c r="AG986">
        <v>36</v>
      </c>
      <c r="AH986">
        <v>55</v>
      </c>
      <c r="AI986">
        <v>58</v>
      </c>
      <c r="AJ986">
        <v>0</v>
      </c>
      <c r="AK986">
        <v>19</v>
      </c>
      <c r="AL986" t="s">
        <v>16626</v>
      </c>
      <c r="AM986" t="s">
        <v>16627</v>
      </c>
      <c r="AN986" t="s">
        <v>16628</v>
      </c>
      <c r="AO986" t="s">
        <v>16724</v>
      </c>
      <c r="AP986" t="s">
        <v>16725</v>
      </c>
      <c r="AQ986" t="s">
        <v>74</v>
      </c>
      <c r="AR986" t="s">
        <v>16713</v>
      </c>
      <c r="AS986" t="s">
        <v>16726</v>
      </c>
      <c r="AT986" t="s">
        <v>74</v>
      </c>
      <c r="AU986">
        <v>2015</v>
      </c>
      <c r="AV986">
        <v>9</v>
      </c>
      <c r="AW986">
        <v>4</v>
      </c>
      <c r="AX986" t="s">
        <v>74</v>
      </c>
      <c r="AY986" t="s">
        <v>74</v>
      </c>
      <c r="AZ986" t="s">
        <v>74</v>
      </c>
      <c r="BA986" t="s">
        <v>74</v>
      </c>
      <c r="BB986">
        <v>1551</v>
      </c>
      <c r="BC986">
        <v>1566</v>
      </c>
      <c r="BD986" t="s">
        <v>74</v>
      </c>
      <c r="BE986" t="s">
        <v>18521</v>
      </c>
      <c r="BF986" t="str">
        <f>HYPERLINK("http://dx.doi.org/10.5194/tc-9-1551-2015","http://dx.doi.org/10.5194/tc-9-1551-2015")</f>
        <v>http://dx.doi.org/10.5194/tc-9-1551-2015</v>
      </c>
      <c r="BG986" t="s">
        <v>74</v>
      </c>
      <c r="BH986" t="s">
        <v>74</v>
      </c>
      <c r="BI986">
        <v>16</v>
      </c>
      <c r="BJ986" t="s">
        <v>795</v>
      </c>
      <c r="BK986" t="s">
        <v>100</v>
      </c>
      <c r="BL986" t="s">
        <v>796</v>
      </c>
      <c r="BM986" t="s">
        <v>18506</v>
      </c>
      <c r="BN986" t="s">
        <v>74</v>
      </c>
      <c r="BO986" t="s">
        <v>1490</v>
      </c>
      <c r="BP986" t="s">
        <v>74</v>
      </c>
      <c r="BQ986" t="s">
        <v>74</v>
      </c>
      <c r="BR986" t="s">
        <v>104</v>
      </c>
      <c r="BS986" t="s">
        <v>18522</v>
      </c>
      <c r="BT986" t="str">
        <f>HYPERLINK("https%3A%2F%2Fwww.webofscience.com%2Fwos%2Fwoscc%2Ffull-record%2FWOS:000360661700015","View Full Record in Web of Science")</f>
        <v>View Full Record in Web of Science</v>
      </c>
    </row>
    <row r="987" spans="1:72" x14ac:dyDescent="0.15">
      <c r="A987" t="s">
        <v>72</v>
      </c>
      <c r="B987" t="s">
        <v>18523</v>
      </c>
      <c r="C987" t="s">
        <v>74</v>
      </c>
      <c r="D987" t="s">
        <v>74</v>
      </c>
      <c r="E987" t="s">
        <v>74</v>
      </c>
      <c r="F987" t="s">
        <v>18524</v>
      </c>
      <c r="G987" t="s">
        <v>74</v>
      </c>
      <c r="H987" t="s">
        <v>74</v>
      </c>
      <c r="I987" t="s">
        <v>18525</v>
      </c>
      <c r="J987" t="s">
        <v>18526</v>
      </c>
      <c r="K987" t="s">
        <v>74</v>
      </c>
      <c r="L987" t="s">
        <v>74</v>
      </c>
      <c r="M987" t="s">
        <v>78</v>
      </c>
      <c r="N987" t="s">
        <v>79</v>
      </c>
      <c r="O987" t="s">
        <v>74</v>
      </c>
      <c r="P987" t="s">
        <v>74</v>
      </c>
      <c r="Q987" t="s">
        <v>74</v>
      </c>
      <c r="R987" t="s">
        <v>74</v>
      </c>
      <c r="S987" t="s">
        <v>74</v>
      </c>
      <c r="T987" t="s">
        <v>74</v>
      </c>
      <c r="U987" t="s">
        <v>74</v>
      </c>
      <c r="V987" t="s">
        <v>74</v>
      </c>
      <c r="W987" t="s">
        <v>74</v>
      </c>
      <c r="X987" t="s">
        <v>74</v>
      </c>
      <c r="Y987" t="s">
        <v>74</v>
      </c>
      <c r="Z987" t="s">
        <v>74</v>
      </c>
      <c r="AA987" t="s">
        <v>18527</v>
      </c>
      <c r="AB987" t="s">
        <v>74</v>
      </c>
      <c r="AC987" t="s">
        <v>74</v>
      </c>
      <c r="AD987" t="s">
        <v>74</v>
      </c>
      <c r="AE987" t="s">
        <v>74</v>
      </c>
      <c r="AF987" t="s">
        <v>74</v>
      </c>
      <c r="AG987">
        <v>7</v>
      </c>
      <c r="AH987">
        <v>0</v>
      </c>
      <c r="AI987">
        <v>0</v>
      </c>
      <c r="AJ987">
        <v>0</v>
      </c>
      <c r="AK987">
        <v>2</v>
      </c>
      <c r="AL987" t="s">
        <v>18528</v>
      </c>
      <c r="AM987" t="s">
        <v>18529</v>
      </c>
      <c r="AN987" t="s">
        <v>18530</v>
      </c>
      <c r="AO987" t="s">
        <v>18531</v>
      </c>
      <c r="AP987" t="s">
        <v>18532</v>
      </c>
      <c r="AQ987" t="s">
        <v>74</v>
      </c>
      <c r="AR987" t="s">
        <v>18533</v>
      </c>
      <c r="AS987" t="s">
        <v>18534</v>
      </c>
      <c r="AT987" t="s">
        <v>74</v>
      </c>
      <c r="AU987">
        <v>2015</v>
      </c>
      <c r="AV987">
        <v>30</v>
      </c>
      <c r="AW987">
        <v>3</v>
      </c>
      <c r="AX987" t="s">
        <v>74</v>
      </c>
      <c r="AY987" t="s">
        <v>74</v>
      </c>
      <c r="AZ987" t="s">
        <v>74</v>
      </c>
      <c r="BA987" t="s">
        <v>74</v>
      </c>
      <c r="BB987">
        <v>533</v>
      </c>
      <c r="BC987">
        <v>550</v>
      </c>
      <c r="BD987" t="s">
        <v>74</v>
      </c>
      <c r="BE987" t="s">
        <v>18535</v>
      </c>
      <c r="BF987" t="str">
        <f>HYPERLINK("http://dx.doi.org/10.1163/15718085-12341369","http://dx.doi.org/10.1163/15718085-12341369")</f>
        <v>http://dx.doi.org/10.1163/15718085-12341369</v>
      </c>
      <c r="BG987" t="s">
        <v>74</v>
      </c>
      <c r="BH987" t="s">
        <v>74</v>
      </c>
      <c r="BI987">
        <v>18</v>
      </c>
      <c r="BJ987" t="s">
        <v>5056</v>
      </c>
      <c r="BK987" t="s">
        <v>1189</v>
      </c>
      <c r="BL987" t="s">
        <v>1190</v>
      </c>
      <c r="BM987" t="s">
        <v>18536</v>
      </c>
      <c r="BN987" t="s">
        <v>74</v>
      </c>
      <c r="BO987" t="s">
        <v>74</v>
      </c>
      <c r="BP987" t="s">
        <v>74</v>
      </c>
      <c r="BQ987" t="s">
        <v>74</v>
      </c>
      <c r="BR987" t="s">
        <v>104</v>
      </c>
      <c r="BS987" t="s">
        <v>18537</v>
      </c>
      <c r="BT987" t="str">
        <f>HYPERLINK("https%3A%2F%2Fwww.webofscience.com%2Fwos%2Fwoscc%2Ffull-record%2FWOS:000360457200006","View Full Record in Web of Science")</f>
        <v>View Full Record in Web of Science</v>
      </c>
    </row>
    <row r="988" spans="1:72" x14ac:dyDescent="0.15">
      <c r="A988" t="s">
        <v>72</v>
      </c>
      <c r="B988" t="s">
        <v>18538</v>
      </c>
      <c r="C988" t="s">
        <v>74</v>
      </c>
      <c r="D988" t="s">
        <v>74</v>
      </c>
      <c r="E988" t="s">
        <v>74</v>
      </c>
      <c r="F988" t="s">
        <v>18539</v>
      </c>
      <c r="G988" t="s">
        <v>74</v>
      </c>
      <c r="H988" t="s">
        <v>74</v>
      </c>
      <c r="I988" t="s">
        <v>18540</v>
      </c>
      <c r="J988" t="s">
        <v>17522</v>
      </c>
      <c r="K988" t="s">
        <v>74</v>
      </c>
      <c r="L988" t="s">
        <v>74</v>
      </c>
      <c r="M988" t="s">
        <v>78</v>
      </c>
      <c r="N988" t="s">
        <v>79</v>
      </c>
      <c r="O988" t="s">
        <v>74</v>
      </c>
      <c r="P988" t="s">
        <v>74</v>
      </c>
      <c r="Q988" t="s">
        <v>74</v>
      </c>
      <c r="R988" t="s">
        <v>74</v>
      </c>
      <c r="S988" t="s">
        <v>74</v>
      </c>
      <c r="T988" t="s">
        <v>74</v>
      </c>
      <c r="U988" t="s">
        <v>18541</v>
      </c>
      <c r="V988" t="s">
        <v>18542</v>
      </c>
      <c r="W988" t="s">
        <v>18543</v>
      </c>
      <c r="X988" t="s">
        <v>14315</v>
      </c>
      <c r="Y988" t="s">
        <v>18544</v>
      </c>
      <c r="Z988" t="s">
        <v>18545</v>
      </c>
      <c r="AA988" t="s">
        <v>18546</v>
      </c>
      <c r="AB988" t="s">
        <v>18547</v>
      </c>
      <c r="AC988" t="s">
        <v>18548</v>
      </c>
      <c r="AD988" t="s">
        <v>18549</v>
      </c>
      <c r="AE988" t="s">
        <v>18550</v>
      </c>
      <c r="AF988" t="s">
        <v>74</v>
      </c>
      <c r="AG988">
        <v>58</v>
      </c>
      <c r="AH988">
        <v>27</v>
      </c>
      <c r="AI988">
        <v>29</v>
      </c>
      <c r="AJ988">
        <v>0</v>
      </c>
      <c r="AK988">
        <v>18</v>
      </c>
      <c r="AL988" t="s">
        <v>16626</v>
      </c>
      <c r="AM988" t="s">
        <v>16627</v>
      </c>
      <c r="AN988" t="s">
        <v>16628</v>
      </c>
      <c r="AO988" t="s">
        <v>17534</v>
      </c>
      <c r="AP988" t="s">
        <v>74</v>
      </c>
      <c r="AQ988" t="s">
        <v>74</v>
      </c>
      <c r="AR988" t="s">
        <v>17535</v>
      </c>
      <c r="AS988" t="s">
        <v>17536</v>
      </c>
      <c r="AT988" t="s">
        <v>74</v>
      </c>
      <c r="AU988">
        <v>2015</v>
      </c>
      <c r="AV988">
        <v>11</v>
      </c>
      <c r="AW988">
        <v>4</v>
      </c>
      <c r="AX988" t="s">
        <v>74</v>
      </c>
      <c r="AY988" t="s">
        <v>74</v>
      </c>
      <c r="AZ988" t="s">
        <v>74</v>
      </c>
      <c r="BA988" t="s">
        <v>74</v>
      </c>
      <c r="BB988">
        <v>629</v>
      </c>
      <c r="BC988">
        <v>641</v>
      </c>
      <c r="BD988" t="s">
        <v>74</v>
      </c>
      <c r="BE988" t="s">
        <v>18551</v>
      </c>
      <c r="BF988" t="str">
        <f>HYPERLINK("http://dx.doi.org/10.5194/os-11-629-2015","http://dx.doi.org/10.5194/os-11-629-2015")</f>
        <v>http://dx.doi.org/10.5194/os-11-629-2015</v>
      </c>
      <c r="BG988" t="s">
        <v>74</v>
      </c>
      <c r="BH988" t="s">
        <v>74</v>
      </c>
      <c r="BI988">
        <v>13</v>
      </c>
      <c r="BJ988" t="s">
        <v>3585</v>
      </c>
      <c r="BK988" t="s">
        <v>100</v>
      </c>
      <c r="BL988" t="s">
        <v>3585</v>
      </c>
      <c r="BM988" t="s">
        <v>18552</v>
      </c>
      <c r="BN988" t="s">
        <v>74</v>
      </c>
      <c r="BO988" t="s">
        <v>12340</v>
      </c>
      <c r="BP988" t="s">
        <v>74</v>
      </c>
      <c r="BQ988" t="s">
        <v>74</v>
      </c>
      <c r="BR988" t="s">
        <v>104</v>
      </c>
      <c r="BS988" t="s">
        <v>18553</v>
      </c>
      <c r="BT988" t="str">
        <f>HYPERLINK("https%3A%2F%2Fwww.webofscience.com%2Fwos%2Fwoscc%2Ffull-record%2FWOS:000360657200009","View Full Record in Web of Science")</f>
        <v>View Full Record in Web of Science</v>
      </c>
    </row>
    <row r="989" spans="1:72" x14ac:dyDescent="0.15">
      <c r="A989" t="s">
        <v>72</v>
      </c>
      <c r="B989" t="s">
        <v>18554</v>
      </c>
      <c r="C989" t="s">
        <v>74</v>
      </c>
      <c r="D989" t="s">
        <v>74</v>
      </c>
      <c r="E989" t="s">
        <v>74</v>
      </c>
      <c r="F989" t="s">
        <v>18555</v>
      </c>
      <c r="G989" t="s">
        <v>74</v>
      </c>
      <c r="H989" t="s">
        <v>74</v>
      </c>
      <c r="I989" t="s">
        <v>18556</v>
      </c>
      <c r="J989" t="s">
        <v>17326</v>
      </c>
      <c r="K989" t="s">
        <v>74</v>
      </c>
      <c r="L989" t="s">
        <v>74</v>
      </c>
      <c r="M989" t="s">
        <v>78</v>
      </c>
      <c r="N989" t="s">
        <v>79</v>
      </c>
      <c r="O989" t="s">
        <v>74</v>
      </c>
      <c r="P989" t="s">
        <v>74</v>
      </c>
      <c r="Q989" t="s">
        <v>74</v>
      </c>
      <c r="R989" t="s">
        <v>74</v>
      </c>
      <c r="S989" t="s">
        <v>74</v>
      </c>
      <c r="T989" t="s">
        <v>18557</v>
      </c>
      <c r="U989" t="s">
        <v>18558</v>
      </c>
      <c r="V989" t="s">
        <v>18559</v>
      </c>
      <c r="W989" t="s">
        <v>18560</v>
      </c>
      <c r="X989" t="s">
        <v>18561</v>
      </c>
      <c r="Y989" t="s">
        <v>18562</v>
      </c>
      <c r="Z989" t="s">
        <v>18563</v>
      </c>
      <c r="AA989" t="s">
        <v>74</v>
      </c>
      <c r="AB989" t="s">
        <v>18564</v>
      </c>
      <c r="AC989" t="s">
        <v>18565</v>
      </c>
      <c r="AD989" t="s">
        <v>18566</v>
      </c>
      <c r="AE989" t="s">
        <v>18567</v>
      </c>
      <c r="AF989" t="s">
        <v>74</v>
      </c>
      <c r="AG989">
        <v>25</v>
      </c>
      <c r="AH989">
        <v>6</v>
      </c>
      <c r="AI989">
        <v>7</v>
      </c>
      <c r="AJ989">
        <v>0</v>
      </c>
      <c r="AK989">
        <v>4</v>
      </c>
      <c r="AL989" t="s">
        <v>17335</v>
      </c>
      <c r="AM989" t="s">
        <v>17336</v>
      </c>
      <c r="AN989" t="s">
        <v>17337</v>
      </c>
      <c r="AO989" t="s">
        <v>17338</v>
      </c>
      <c r="AP989" t="s">
        <v>17339</v>
      </c>
      <c r="AQ989" t="s">
        <v>74</v>
      </c>
      <c r="AR989" t="s">
        <v>17340</v>
      </c>
      <c r="AS989" t="s">
        <v>17341</v>
      </c>
      <c r="AT989" t="s">
        <v>74</v>
      </c>
      <c r="AU989">
        <v>2015</v>
      </c>
      <c r="AV989">
        <v>54</v>
      </c>
      <c r="AW989">
        <v>3</v>
      </c>
      <c r="AX989" t="s">
        <v>74</v>
      </c>
      <c r="AY989" t="s">
        <v>74</v>
      </c>
      <c r="AZ989" t="s">
        <v>74</v>
      </c>
      <c r="BA989" t="s">
        <v>74</v>
      </c>
      <c r="BB989">
        <v>155</v>
      </c>
      <c r="BC989">
        <v>169</v>
      </c>
      <c r="BD989" t="s">
        <v>74</v>
      </c>
      <c r="BE989" t="s">
        <v>18568</v>
      </c>
      <c r="BF989" t="str">
        <f>HYPERLINK("http://dx.doi.org/10.4467/16890027AP.15.013.3210","http://dx.doi.org/10.4467/16890027AP.15.013.3210")</f>
        <v>http://dx.doi.org/10.4467/16890027AP.15.013.3210</v>
      </c>
      <c r="BG989" t="s">
        <v>74</v>
      </c>
      <c r="BH989" t="s">
        <v>74</v>
      </c>
      <c r="BI989">
        <v>15</v>
      </c>
      <c r="BJ989" t="s">
        <v>483</v>
      </c>
      <c r="BK989" t="s">
        <v>100</v>
      </c>
      <c r="BL989" t="s">
        <v>483</v>
      </c>
      <c r="BM989" t="s">
        <v>18569</v>
      </c>
      <c r="BN989" t="s">
        <v>74</v>
      </c>
      <c r="BO989" t="s">
        <v>74</v>
      </c>
      <c r="BP989" t="s">
        <v>74</v>
      </c>
      <c r="BQ989" t="s">
        <v>74</v>
      </c>
      <c r="BR989" t="s">
        <v>104</v>
      </c>
      <c r="BS989" t="s">
        <v>18570</v>
      </c>
      <c r="BT989" t="str">
        <f>HYPERLINK("https%3A%2F%2Fwww.webofscience.com%2Fwos%2Fwoscc%2Ffull-record%2FWOS:000360378300001","View Full Record in Web of Science")</f>
        <v>View Full Record in Web of Science</v>
      </c>
    </row>
    <row r="990" spans="1:72" x14ac:dyDescent="0.15">
      <c r="A990" t="s">
        <v>72</v>
      </c>
      <c r="B990" t="s">
        <v>18571</v>
      </c>
      <c r="C990" t="s">
        <v>74</v>
      </c>
      <c r="D990" t="s">
        <v>74</v>
      </c>
      <c r="E990" t="s">
        <v>74</v>
      </c>
      <c r="F990" t="s">
        <v>18572</v>
      </c>
      <c r="G990" t="s">
        <v>74</v>
      </c>
      <c r="H990" t="s">
        <v>74</v>
      </c>
      <c r="I990" t="s">
        <v>18573</v>
      </c>
      <c r="J990" t="s">
        <v>18574</v>
      </c>
      <c r="K990" t="s">
        <v>74</v>
      </c>
      <c r="L990" t="s">
        <v>74</v>
      </c>
      <c r="M990" t="s">
        <v>78</v>
      </c>
      <c r="N990" t="s">
        <v>52</v>
      </c>
      <c r="O990" t="s">
        <v>74</v>
      </c>
      <c r="P990" t="s">
        <v>74</v>
      </c>
      <c r="Q990" t="s">
        <v>74</v>
      </c>
      <c r="R990" t="s">
        <v>74</v>
      </c>
      <c r="S990" t="s">
        <v>74</v>
      </c>
      <c r="T990" t="s">
        <v>74</v>
      </c>
      <c r="U990" t="s">
        <v>74</v>
      </c>
      <c r="V990" t="s">
        <v>74</v>
      </c>
      <c r="W990" t="s">
        <v>18575</v>
      </c>
      <c r="X990" t="s">
        <v>18576</v>
      </c>
      <c r="Y990" t="s">
        <v>74</v>
      </c>
      <c r="Z990" t="s">
        <v>18577</v>
      </c>
      <c r="AA990" t="s">
        <v>18578</v>
      </c>
      <c r="AB990" t="s">
        <v>18579</v>
      </c>
      <c r="AC990" t="s">
        <v>74</v>
      </c>
      <c r="AD990" t="s">
        <v>74</v>
      </c>
      <c r="AE990" t="s">
        <v>74</v>
      </c>
      <c r="AF990" t="s">
        <v>74</v>
      </c>
      <c r="AG990">
        <v>0</v>
      </c>
      <c r="AH990">
        <v>0</v>
      </c>
      <c r="AI990">
        <v>0</v>
      </c>
      <c r="AJ990">
        <v>0</v>
      </c>
      <c r="AK990">
        <v>6</v>
      </c>
      <c r="AL990" t="s">
        <v>1239</v>
      </c>
      <c r="AM990" t="s">
        <v>448</v>
      </c>
      <c r="AN990" t="s">
        <v>5095</v>
      </c>
      <c r="AO990" t="s">
        <v>18580</v>
      </c>
      <c r="AP990" t="s">
        <v>18581</v>
      </c>
      <c r="AQ990" t="s">
        <v>74</v>
      </c>
      <c r="AR990" t="s">
        <v>18582</v>
      </c>
      <c r="AS990" t="s">
        <v>18583</v>
      </c>
      <c r="AT990" t="s">
        <v>74</v>
      </c>
      <c r="AU990">
        <v>2015</v>
      </c>
      <c r="AV990">
        <v>50</v>
      </c>
      <c r="AW990" t="s">
        <v>74</v>
      </c>
      <c r="AX990" t="s">
        <v>74</v>
      </c>
      <c r="AY990">
        <v>1</v>
      </c>
      <c r="AZ990" t="s">
        <v>74</v>
      </c>
      <c r="BA990" t="s">
        <v>18584</v>
      </c>
      <c r="BB990">
        <v>30</v>
      </c>
      <c r="BC990">
        <v>30</v>
      </c>
      <c r="BD990" t="s">
        <v>74</v>
      </c>
      <c r="BE990" t="s">
        <v>74</v>
      </c>
      <c r="BF990" t="s">
        <v>74</v>
      </c>
      <c r="BG990" t="s">
        <v>74</v>
      </c>
      <c r="BH990" t="s">
        <v>74</v>
      </c>
      <c r="BI990">
        <v>1</v>
      </c>
      <c r="BJ990" t="s">
        <v>7657</v>
      </c>
      <c r="BK990" t="s">
        <v>100</v>
      </c>
      <c r="BL990" t="s">
        <v>7657</v>
      </c>
      <c r="BM990" t="s">
        <v>18585</v>
      </c>
      <c r="BN990" t="s">
        <v>74</v>
      </c>
      <c r="BO990" t="s">
        <v>74</v>
      </c>
      <c r="BP990" t="s">
        <v>74</v>
      </c>
      <c r="BQ990" t="s">
        <v>74</v>
      </c>
      <c r="BR990" t="s">
        <v>104</v>
      </c>
      <c r="BS990" t="s">
        <v>18586</v>
      </c>
      <c r="BT990" t="str">
        <f>HYPERLINK("https%3A%2F%2Fwww.webofscience.com%2Fwos%2Fwoscc%2Ffull-record%2FWOS:000360244400026","View Full Record in Web of Science")</f>
        <v>View Full Record in Web of Science</v>
      </c>
    </row>
    <row r="991" spans="1:72" x14ac:dyDescent="0.15">
      <c r="A991" t="s">
        <v>72</v>
      </c>
      <c r="B991" t="s">
        <v>18587</v>
      </c>
      <c r="C991" t="s">
        <v>74</v>
      </c>
      <c r="D991" t="s">
        <v>74</v>
      </c>
      <c r="E991" t="s">
        <v>74</v>
      </c>
      <c r="F991" t="s">
        <v>18588</v>
      </c>
      <c r="G991" t="s">
        <v>74</v>
      </c>
      <c r="H991" t="s">
        <v>74</v>
      </c>
      <c r="I991" t="s">
        <v>18589</v>
      </c>
      <c r="J991" t="s">
        <v>18574</v>
      </c>
      <c r="K991" t="s">
        <v>74</v>
      </c>
      <c r="L991" t="s">
        <v>74</v>
      </c>
      <c r="M991" t="s">
        <v>78</v>
      </c>
      <c r="N991" t="s">
        <v>52</v>
      </c>
      <c r="O991" t="s">
        <v>74</v>
      </c>
      <c r="P991" t="s">
        <v>74</v>
      </c>
      <c r="Q991" t="s">
        <v>74</v>
      </c>
      <c r="R991" t="s">
        <v>74</v>
      </c>
      <c r="S991" t="s">
        <v>74</v>
      </c>
      <c r="T991" t="s">
        <v>74</v>
      </c>
      <c r="U991" t="s">
        <v>74</v>
      </c>
      <c r="V991" t="s">
        <v>74</v>
      </c>
      <c r="W991" t="s">
        <v>18590</v>
      </c>
      <c r="X991" t="s">
        <v>18591</v>
      </c>
      <c r="Y991" t="s">
        <v>74</v>
      </c>
      <c r="Z991" t="s">
        <v>18592</v>
      </c>
      <c r="AA991" t="s">
        <v>18593</v>
      </c>
      <c r="AB991" t="s">
        <v>74</v>
      </c>
      <c r="AC991" t="s">
        <v>74</v>
      </c>
      <c r="AD991" t="s">
        <v>74</v>
      </c>
      <c r="AE991" t="s">
        <v>74</v>
      </c>
      <c r="AF991" t="s">
        <v>74</v>
      </c>
      <c r="AG991">
        <v>0</v>
      </c>
      <c r="AH991">
        <v>1</v>
      </c>
      <c r="AI991">
        <v>1</v>
      </c>
      <c r="AJ991">
        <v>0</v>
      </c>
      <c r="AK991">
        <v>2</v>
      </c>
      <c r="AL991" t="s">
        <v>1239</v>
      </c>
      <c r="AM991" t="s">
        <v>448</v>
      </c>
      <c r="AN991" t="s">
        <v>5095</v>
      </c>
      <c r="AO991" t="s">
        <v>18580</v>
      </c>
      <c r="AP991" t="s">
        <v>18581</v>
      </c>
      <c r="AQ991" t="s">
        <v>74</v>
      </c>
      <c r="AR991" t="s">
        <v>18582</v>
      </c>
      <c r="AS991" t="s">
        <v>18583</v>
      </c>
      <c r="AT991" t="s">
        <v>74</v>
      </c>
      <c r="AU991">
        <v>2015</v>
      </c>
      <c r="AV991">
        <v>50</v>
      </c>
      <c r="AW991" t="s">
        <v>74</v>
      </c>
      <c r="AX991" t="s">
        <v>74</v>
      </c>
      <c r="AY991">
        <v>1</v>
      </c>
      <c r="AZ991" t="s">
        <v>74</v>
      </c>
      <c r="BA991" t="s">
        <v>18594</v>
      </c>
      <c r="BB991">
        <v>45</v>
      </c>
      <c r="BC991">
        <v>46</v>
      </c>
      <c r="BD991" t="s">
        <v>74</v>
      </c>
      <c r="BE991" t="s">
        <v>74</v>
      </c>
      <c r="BF991" t="s">
        <v>74</v>
      </c>
      <c r="BG991" t="s">
        <v>74</v>
      </c>
      <c r="BH991" t="s">
        <v>74</v>
      </c>
      <c r="BI991">
        <v>2</v>
      </c>
      <c r="BJ991" t="s">
        <v>7657</v>
      </c>
      <c r="BK991" t="s">
        <v>100</v>
      </c>
      <c r="BL991" t="s">
        <v>7657</v>
      </c>
      <c r="BM991" t="s">
        <v>18585</v>
      </c>
      <c r="BN991" t="s">
        <v>74</v>
      </c>
      <c r="BO991" t="s">
        <v>74</v>
      </c>
      <c r="BP991" t="s">
        <v>74</v>
      </c>
      <c r="BQ991" t="s">
        <v>74</v>
      </c>
      <c r="BR991" t="s">
        <v>104</v>
      </c>
      <c r="BS991" t="s">
        <v>18595</v>
      </c>
      <c r="BT991" t="str">
        <f>HYPERLINK("https%3A%2F%2Fwww.webofscience.com%2Fwos%2Fwoscc%2Ffull-record%2FWOS:000360244400056","View Full Record in Web of Science")</f>
        <v>View Full Record in Web of Science</v>
      </c>
    </row>
    <row r="992" spans="1:72" x14ac:dyDescent="0.15">
      <c r="A992" t="s">
        <v>72</v>
      </c>
      <c r="B992" t="s">
        <v>18596</v>
      </c>
      <c r="C992" t="s">
        <v>74</v>
      </c>
      <c r="D992" t="s">
        <v>74</v>
      </c>
      <c r="E992" t="s">
        <v>74</v>
      </c>
      <c r="F992" t="s">
        <v>18597</v>
      </c>
      <c r="G992" t="s">
        <v>74</v>
      </c>
      <c r="H992" t="s">
        <v>74</v>
      </c>
      <c r="I992" t="s">
        <v>18598</v>
      </c>
      <c r="J992" t="s">
        <v>18574</v>
      </c>
      <c r="K992" t="s">
        <v>74</v>
      </c>
      <c r="L992" t="s">
        <v>74</v>
      </c>
      <c r="M992" t="s">
        <v>78</v>
      </c>
      <c r="N992" t="s">
        <v>52</v>
      </c>
      <c r="O992" t="s">
        <v>74</v>
      </c>
      <c r="P992" t="s">
        <v>74</v>
      </c>
      <c r="Q992" t="s">
        <v>74</v>
      </c>
      <c r="R992" t="s">
        <v>74</v>
      </c>
      <c r="S992" t="s">
        <v>74</v>
      </c>
      <c r="T992" t="s">
        <v>74</v>
      </c>
      <c r="U992" t="s">
        <v>74</v>
      </c>
      <c r="V992" t="s">
        <v>74</v>
      </c>
      <c r="W992" t="s">
        <v>18599</v>
      </c>
      <c r="X992" t="s">
        <v>18600</v>
      </c>
      <c r="Y992" t="s">
        <v>74</v>
      </c>
      <c r="Z992" t="s">
        <v>18601</v>
      </c>
      <c r="AA992" t="s">
        <v>18602</v>
      </c>
      <c r="AB992" t="s">
        <v>18603</v>
      </c>
      <c r="AC992" t="s">
        <v>74</v>
      </c>
      <c r="AD992" t="s">
        <v>74</v>
      </c>
      <c r="AE992" t="s">
        <v>74</v>
      </c>
      <c r="AF992" t="s">
        <v>74</v>
      </c>
      <c r="AG992">
        <v>0</v>
      </c>
      <c r="AH992">
        <v>0</v>
      </c>
      <c r="AI992">
        <v>0</v>
      </c>
      <c r="AJ992">
        <v>0</v>
      </c>
      <c r="AK992">
        <v>2</v>
      </c>
      <c r="AL992" t="s">
        <v>1239</v>
      </c>
      <c r="AM992" t="s">
        <v>448</v>
      </c>
      <c r="AN992" t="s">
        <v>5095</v>
      </c>
      <c r="AO992" t="s">
        <v>18580</v>
      </c>
      <c r="AP992" t="s">
        <v>18581</v>
      </c>
      <c r="AQ992" t="s">
        <v>74</v>
      </c>
      <c r="AR992" t="s">
        <v>18582</v>
      </c>
      <c r="AS992" t="s">
        <v>18583</v>
      </c>
      <c r="AT992" t="s">
        <v>74</v>
      </c>
      <c r="AU992">
        <v>2015</v>
      </c>
      <c r="AV992">
        <v>50</v>
      </c>
      <c r="AW992" t="s">
        <v>74</v>
      </c>
      <c r="AX992" t="s">
        <v>74</v>
      </c>
      <c r="AY992">
        <v>1</v>
      </c>
      <c r="AZ992" t="s">
        <v>74</v>
      </c>
      <c r="BA992" t="s">
        <v>18604</v>
      </c>
      <c r="BB992">
        <v>46</v>
      </c>
      <c r="BC992">
        <v>46</v>
      </c>
      <c r="BD992" t="s">
        <v>74</v>
      </c>
      <c r="BE992" t="s">
        <v>74</v>
      </c>
      <c r="BF992" t="s">
        <v>74</v>
      </c>
      <c r="BG992" t="s">
        <v>74</v>
      </c>
      <c r="BH992" t="s">
        <v>74</v>
      </c>
      <c r="BI992">
        <v>1</v>
      </c>
      <c r="BJ992" t="s">
        <v>7657</v>
      </c>
      <c r="BK992" t="s">
        <v>100</v>
      </c>
      <c r="BL992" t="s">
        <v>7657</v>
      </c>
      <c r="BM992" t="s">
        <v>18585</v>
      </c>
      <c r="BN992" t="s">
        <v>74</v>
      </c>
      <c r="BO992" t="s">
        <v>74</v>
      </c>
      <c r="BP992" t="s">
        <v>74</v>
      </c>
      <c r="BQ992" t="s">
        <v>74</v>
      </c>
      <c r="BR992" t="s">
        <v>104</v>
      </c>
      <c r="BS992" t="s">
        <v>18605</v>
      </c>
      <c r="BT992" t="str">
        <f>HYPERLINK("https%3A%2F%2Fwww.webofscience.com%2Fwos%2Fwoscc%2Ffull-record%2FWOS:000360244400057","View Full Record in Web of Science")</f>
        <v>View Full Record in Web of Science</v>
      </c>
    </row>
    <row r="993" spans="1:72" x14ac:dyDescent="0.15">
      <c r="A993" t="s">
        <v>72</v>
      </c>
      <c r="B993" t="s">
        <v>18606</v>
      </c>
      <c r="C993" t="s">
        <v>74</v>
      </c>
      <c r="D993" t="s">
        <v>74</v>
      </c>
      <c r="E993" t="s">
        <v>74</v>
      </c>
      <c r="F993" t="s">
        <v>18607</v>
      </c>
      <c r="G993" t="s">
        <v>74</v>
      </c>
      <c r="H993" t="s">
        <v>74</v>
      </c>
      <c r="I993" t="s">
        <v>18608</v>
      </c>
      <c r="J993" t="s">
        <v>18574</v>
      </c>
      <c r="K993" t="s">
        <v>74</v>
      </c>
      <c r="L993" t="s">
        <v>74</v>
      </c>
      <c r="M993" t="s">
        <v>78</v>
      </c>
      <c r="N993" t="s">
        <v>52</v>
      </c>
      <c r="O993" t="s">
        <v>74</v>
      </c>
      <c r="P993" t="s">
        <v>74</v>
      </c>
      <c r="Q993" t="s">
        <v>74</v>
      </c>
      <c r="R993" t="s">
        <v>74</v>
      </c>
      <c r="S993" t="s">
        <v>74</v>
      </c>
      <c r="T993" t="s">
        <v>74</v>
      </c>
      <c r="U993" t="s">
        <v>74</v>
      </c>
      <c r="V993" t="s">
        <v>74</v>
      </c>
      <c r="W993" t="s">
        <v>18609</v>
      </c>
      <c r="X993" t="s">
        <v>18610</v>
      </c>
      <c r="Y993" t="s">
        <v>74</v>
      </c>
      <c r="Z993" t="s">
        <v>18611</v>
      </c>
      <c r="AA993" t="s">
        <v>18612</v>
      </c>
      <c r="AB993" t="s">
        <v>18613</v>
      </c>
      <c r="AC993" t="s">
        <v>74</v>
      </c>
      <c r="AD993" t="s">
        <v>74</v>
      </c>
      <c r="AE993" t="s">
        <v>74</v>
      </c>
      <c r="AF993" t="s">
        <v>74</v>
      </c>
      <c r="AG993">
        <v>0</v>
      </c>
      <c r="AH993">
        <v>0</v>
      </c>
      <c r="AI993">
        <v>0</v>
      </c>
      <c r="AJ993">
        <v>0</v>
      </c>
      <c r="AK993">
        <v>9</v>
      </c>
      <c r="AL993" t="s">
        <v>1239</v>
      </c>
      <c r="AM993" t="s">
        <v>448</v>
      </c>
      <c r="AN993" t="s">
        <v>5095</v>
      </c>
      <c r="AO993" t="s">
        <v>18580</v>
      </c>
      <c r="AP993" t="s">
        <v>18581</v>
      </c>
      <c r="AQ993" t="s">
        <v>74</v>
      </c>
      <c r="AR993" t="s">
        <v>18582</v>
      </c>
      <c r="AS993" t="s">
        <v>18583</v>
      </c>
      <c r="AT993" t="s">
        <v>74</v>
      </c>
      <c r="AU993">
        <v>2015</v>
      </c>
      <c r="AV993">
        <v>50</v>
      </c>
      <c r="AW993" t="s">
        <v>74</v>
      </c>
      <c r="AX993" t="s">
        <v>74</v>
      </c>
      <c r="AY993">
        <v>1</v>
      </c>
      <c r="AZ993" t="s">
        <v>74</v>
      </c>
      <c r="BA993" t="s">
        <v>18614</v>
      </c>
      <c r="BB993">
        <v>54</v>
      </c>
      <c r="BC993">
        <v>54</v>
      </c>
      <c r="BD993" t="s">
        <v>74</v>
      </c>
      <c r="BE993" t="s">
        <v>74</v>
      </c>
      <c r="BF993" t="s">
        <v>74</v>
      </c>
      <c r="BG993" t="s">
        <v>74</v>
      </c>
      <c r="BH993" t="s">
        <v>74</v>
      </c>
      <c r="BI993">
        <v>1</v>
      </c>
      <c r="BJ993" t="s">
        <v>7657</v>
      </c>
      <c r="BK993" t="s">
        <v>100</v>
      </c>
      <c r="BL993" t="s">
        <v>7657</v>
      </c>
      <c r="BM993" t="s">
        <v>18585</v>
      </c>
      <c r="BN993" t="s">
        <v>74</v>
      </c>
      <c r="BO993" t="s">
        <v>74</v>
      </c>
      <c r="BP993" t="s">
        <v>74</v>
      </c>
      <c r="BQ993" t="s">
        <v>74</v>
      </c>
      <c r="BR993" t="s">
        <v>104</v>
      </c>
      <c r="BS993" t="s">
        <v>18615</v>
      </c>
      <c r="BT993" t="str">
        <f>HYPERLINK("https%3A%2F%2Fwww.webofscience.com%2Fwos%2Fwoscc%2Ffull-record%2FWOS:000360244400073","View Full Record in Web of Science")</f>
        <v>View Full Record in Web of Science</v>
      </c>
    </row>
    <row r="994" spans="1:72" x14ac:dyDescent="0.15">
      <c r="A994" t="s">
        <v>72</v>
      </c>
      <c r="B994" t="s">
        <v>18616</v>
      </c>
      <c r="C994" t="s">
        <v>74</v>
      </c>
      <c r="D994" t="s">
        <v>74</v>
      </c>
      <c r="E994" t="s">
        <v>74</v>
      </c>
      <c r="F994" t="s">
        <v>18617</v>
      </c>
      <c r="G994" t="s">
        <v>74</v>
      </c>
      <c r="H994" t="s">
        <v>74</v>
      </c>
      <c r="I994" t="s">
        <v>18618</v>
      </c>
      <c r="J994" t="s">
        <v>18574</v>
      </c>
      <c r="K994" t="s">
        <v>74</v>
      </c>
      <c r="L994" t="s">
        <v>74</v>
      </c>
      <c r="M994" t="s">
        <v>78</v>
      </c>
      <c r="N994" t="s">
        <v>52</v>
      </c>
      <c r="O994" t="s">
        <v>74</v>
      </c>
      <c r="P994" t="s">
        <v>74</v>
      </c>
      <c r="Q994" t="s">
        <v>74</v>
      </c>
      <c r="R994" t="s">
        <v>74</v>
      </c>
      <c r="S994" t="s">
        <v>74</v>
      </c>
      <c r="T994" t="s">
        <v>74</v>
      </c>
      <c r="U994" t="s">
        <v>74</v>
      </c>
      <c r="V994" t="s">
        <v>74</v>
      </c>
      <c r="W994" t="s">
        <v>18619</v>
      </c>
      <c r="X994" t="s">
        <v>18620</v>
      </c>
      <c r="Y994" t="s">
        <v>74</v>
      </c>
      <c r="Z994" t="s">
        <v>18621</v>
      </c>
      <c r="AA994" t="s">
        <v>18622</v>
      </c>
      <c r="AB994" t="s">
        <v>74</v>
      </c>
      <c r="AC994" t="s">
        <v>74</v>
      </c>
      <c r="AD994" t="s">
        <v>74</v>
      </c>
      <c r="AE994" t="s">
        <v>74</v>
      </c>
      <c r="AF994" t="s">
        <v>74</v>
      </c>
      <c r="AG994">
        <v>0</v>
      </c>
      <c r="AH994">
        <v>0</v>
      </c>
      <c r="AI994">
        <v>0</v>
      </c>
      <c r="AJ994">
        <v>0</v>
      </c>
      <c r="AK994">
        <v>4</v>
      </c>
      <c r="AL994" t="s">
        <v>1239</v>
      </c>
      <c r="AM994" t="s">
        <v>448</v>
      </c>
      <c r="AN994" t="s">
        <v>5095</v>
      </c>
      <c r="AO994" t="s">
        <v>18580</v>
      </c>
      <c r="AP994" t="s">
        <v>18581</v>
      </c>
      <c r="AQ994" t="s">
        <v>74</v>
      </c>
      <c r="AR994" t="s">
        <v>18582</v>
      </c>
      <c r="AS994" t="s">
        <v>18583</v>
      </c>
      <c r="AT994" t="s">
        <v>74</v>
      </c>
      <c r="AU994">
        <v>2015</v>
      </c>
      <c r="AV994">
        <v>50</v>
      </c>
      <c r="AW994" t="s">
        <v>74</v>
      </c>
      <c r="AX994" t="s">
        <v>74</v>
      </c>
      <c r="AY994">
        <v>1</v>
      </c>
      <c r="AZ994" t="s">
        <v>74</v>
      </c>
      <c r="BA994" t="s">
        <v>18623</v>
      </c>
      <c r="BB994">
        <v>77</v>
      </c>
      <c r="BC994">
        <v>78</v>
      </c>
      <c r="BD994" t="s">
        <v>74</v>
      </c>
      <c r="BE994" t="s">
        <v>74</v>
      </c>
      <c r="BF994" t="s">
        <v>74</v>
      </c>
      <c r="BG994" t="s">
        <v>74</v>
      </c>
      <c r="BH994" t="s">
        <v>74</v>
      </c>
      <c r="BI994">
        <v>2</v>
      </c>
      <c r="BJ994" t="s">
        <v>7657</v>
      </c>
      <c r="BK994" t="s">
        <v>100</v>
      </c>
      <c r="BL994" t="s">
        <v>7657</v>
      </c>
      <c r="BM994" t="s">
        <v>18585</v>
      </c>
      <c r="BN994" t="s">
        <v>74</v>
      </c>
      <c r="BO994" t="s">
        <v>74</v>
      </c>
      <c r="BP994" t="s">
        <v>74</v>
      </c>
      <c r="BQ994" t="s">
        <v>74</v>
      </c>
      <c r="BR994" t="s">
        <v>104</v>
      </c>
      <c r="BS994" t="s">
        <v>18624</v>
      </c>
      <c r="BT994" t="str">
        <f>HYPERLINK("https%3A%2F%2Fwww.webofscience.com%2Fwos%2Fwoscc%2Ffull-record%2FWOS:000360244400122","View Full Record in Web of Science")</f>
        <v>View Full Record in Web of Science</v>
      </c>
    </row>
    <row r="995" spans="1:72" x14ac:dyDescent="0.15">
      <c r="A995" t="s">
        <v>72</v>
      </c>
      <c r="B995" t="s">
        <v>18625</v>
      </c>
      <c r="C995" t="s">
        <v>74</v>
      </c>
      <c r="D995" t="s">
        <v>74</v>
      </c>
      <c r="E995" t="s">
        <v>74</v>
      </c>
      <c r="F995" t="s">
        <v>18626</v>
      </c>
      <c r="G995" t="s">
        <v>74</v>
      </c>
      <c r="H995" t="s">
        <v>74</v>
      </c>
      <c r="I995" t="s">
        <v>18627</v>
      </c>
      <c r="J995" t="s">
        <v>18574</v>
      </c>
      <c r="K995" t="s">
        <v>74</v>
      </c>
      <c r="L995" t="s">
        <v>74</v>
      </c>
      <c r="M995" t="s">
        <v>78</v>
      </c>
      <c r="N995" t="s">
        <v>52</v>
      </c>
      <c r="O995" t="s">
        <v>74</v>
      </c>
      <c r="P995" t="s">
        <v>74</v>
      </c>
      <c r="Q995" t="s">
        <v>74</v>
      </c>
      <c r="R995" t="s">
        <v>74</v>
      </c>
      <c r="S995" t="s">
        <v>74</v>
      </c>
      <c r="T995" t="s">
        <v>74</v>
      </c>
      <c r="U995" t="s">
        <v>74</v>
      </c>
      <c r="V995" t="s">
        <v>74</v>
      </c>
      <c r="W995" t="s">
        <v>18628</v>
      </c>
      <c r="X995" t="s">
        <v>18629</v>
      </c>
      <c r="Y995" t="s">
        <v>74</v>
      </c>
      <c r="Z995" t="s">
        <v>18630</v>
      </c>
      <c r="AA995" t="s">
        <v>74</v>
      </c>
      <c r="AB995" t="s">
        <v>74</v>
      </c>
      <c r="AC995" t="s">
        <v>74</v>
      </c>
      <c r="AD995" t="s">
        <v>74</v>
      </c>
      <c r="AE995" t="s">
        <v>74</v>
      </c>
      <c r="AF995" t="s">
        <v>74</v>
      </c>
      <c r="AG995">
        <v>0</v>
      </c>
      <c r="AH995">
        <v>0</v>
      </c>
      <c r="AI995">
        <v>0</v>
      </c>
      <c r="AJ995">
        <v>0</v>
      </c>
      <c r="AK995">
        <v>2</v>
      </c>
      <c r="AL995" t="s">
        <v>1239</v>
      </c>
      <c r="AM995" t="s">
        <v>448</v>
      </c>
      <c r="AN995" t="s">
        <v>5095</v>
      </c>
      <c r="AO995" t="s">
        <v>18580</v>
      </c>
      <c r="AP995" t="s">
        <v>18581</v>
      </c>
      <c r="AQ995" t="s">
        <v>74</v>
      </c>
      <c r="AR995" t="s">
        <v>18582</v>
      </c>
      <c r="AS995" t="s">
        <v>18583</v>
      </c>
      <c r="AT995" t="s">
        <v>74</v>
      </c>
      <c r="AU995">
        <v>2015</v>
      </c>
      <c r="AV995">
        <v>50</v>
      </c>
      <c r="AW995" t="s">
        <v>74</v>
      </c>
      <c r="AX995" t="s">
        <v>74</v>
      </c>
      <c r="AY995">
        <v>1</v>
      </c>
      <c r="AZ995" t="s">
        <v>74</v>
      </c>
      <c r="BA995" t="s">
        <v>18631</v>
      </c>
      <c r="BB995">
        <v>84</v>
      </c>
      <c r="BC995">
        <v>84</v>
      </c>
      <c r="BD995" t="s">
        <v>74</v>
      </c>
      <c r="BE995" t="s">
        <v>74</v>
      </c>
      <c r="BF995" t="s">
        <v>74</v>
      </c>
      <c r="BG995" t="s">
        <v>74</v>
      </c>
      <c r="BH995" t="s">
        <v>74</v>
      </c>
      <c r="BI995">
        <v>1</v>
      </c>
      <c r="BJ995" t="s">
        <v>7657</v>
      </c>
      <c r="BK995" t="s">
        <v>100</v>
      </c>
      <c r="BL995" t="s">
        <v>7657</v>
      </c>
      <c r="BM995" t="s">
        <v>18585</v>
      </c>
      <c r="BN995" t="s">
        <v>74</v>
      </c>
      <c r="BO995" t="s">
        <v>74</v>
      </c>
      <c r="BP995" t="s">
        <v>74</v>
      </c>
      <c r="BQ995" t="s">
        <v>74</v>
      </c>
      <c r="BR995" t="s">
        <v>104</v>
      </c>
      <c r="BS995" t="s">
        <v>18632</v>
      </c>
      <c r="BT995" t="str">
        <f>HYPERLINK("https%3A%2F%2Fwww.webofscience.com%2Fwos%2Fwoscc%2Ffull-record%2FWOS:000360244400135","View Full Record in Web of Science")</f>
        <v>View Full Record in Web of Science</v>
      </c>
    </row>
    <row r="996" spans="1:72" x14ac:dyDescent="0.15">
      <c r="A996" t="s">
        <v>72</v>
      </c>
      <c r="B996" t="s">
        <v>18633</v>
      </c>
      <c r="C996" t="s">
        <v>74</v>
      </c>
      <c r="D996" t="s">
        <v>74</v>
      </c>
      <c r="E996" t="s">
        <v>74</v>
      </c>
      <c r="F996" t="s">
        <v>18634</v>
      </c>
      <c r="G996" t="s">
        <v>74</v>
      </c>
      <c r="H996" t="s">
        <v>74</v>
      </c>
      <c r="I996" t="s">
        <v>18635</v>
      </c>
      <c r="J996" t="s">
        <v>18574</v>
      </c>
      <c r="K996" t="s">
        <v>74</v>
      </c>
      <c r="L996" t="s">
        <v>74</v>
      </c>
      <c r="M996" t="s">
        <v>78</v>
      </c>
      <c r="N996" t="s">
        <v>52</v>
      </c>
      <c r="O996" t="s">
        <v>74</v>
      </c>
      <c r="P996" t="s">
        <v>74</v>
      </c>
      <c r="Q996" t="s">
        <v>74</v>
      </c>
      <c r="R996" t="s">
        <v>74</v>
      </c>
      <c r="S996" t="s">
        <v>74</v>
      </c>
      <c r="T996" t="s">
        <v>74</v>
      </c>
      <c r="U996" t="s">
        <v>74</v>
      </c>
      <c r="V996" t="s">
        <v>74</v>
      </c>
      <c r="W996" t="s">
        <v>18636</v>
      </c>
      <c r="X996" t="s">
        <v>18637</v>
      </c>
      <c r="Y996" t="s">
        <v>74</v>
      </c>
      <c r="Z996" t="s">
        <v>18638</v>
      </c>
      <c r="AA996" t="s">
        <v>74</v>
      </c>
      <c r="AB996" t="s">
        <v>74</v>
      </c>
      <c r="AC996" t="s">
        <v>18639</v>
      </c>
      <c r="AD996" t="s">
        <v>713</v>
      </c>
      <c r="AE996" t="s">
        <v>74</v>
      </c>
      <c r="AF996" t="s">
        <v>74</v>
      </c>
      <c r="AG996">
        <v>0</v>
      </c>
      <c r="AH996">
        <v>0</v>
      </c>
      <c r="AI996">
        <v>0</v>
      </c>
      <c r="AJ996">
        <v>0</v>
      </c>
      <c r="AK996">
        <v>5</v>
      </c>
      <c r="AL996" t="s">
        <v>1239</v>
      </c>
      <c r="AM996" t="s">
        <v>448</v>
      </c>
      <c r="AN996" t="s">
        <v>5095</v>
      </c>
      <c r="AO996" t="s">
        <v>18580</v>
      </c>
      <c r="AP996" t="s">
        <v>18581</v>
      </c>
      <c r="AQ996" t="s">
        <v>74</v>
      </c>
      <c r="AR996" t="s">
        <v>18582</v>
      </c>
      <c r="AS996" t="s">
        <v>18583</v>
      </c>
      <c r="AT996" t="s">
        <v>74</v>
      </c>
      <c r="AU996">
        <v>2015</v>
      </c>
      <c r="AV996">
        <v>50</v>
      </c>
      <c r="AW996" t="s">
        <v>74</v>
      </c>
      <c r="AX996" t="s">
        <v>74</v>
      </c>
      <c r="AY996">
        <v>1</v>
      </c>
      <c r="AZ996" t="s">
        <v>74</v>
      </c>
      <c r="BA996" t="s">
        <v>18640</v>
      </c>
      <c r="BB996">
        <v>91</v>
      </c>
      <c r="BC996">
        <v>91</v>
      </c>
      <c r="BD996" t="s">
        <v>74</v>
      </c>
      <c r="BE996" t="s">
        <v>74</v>
      </c>
      <c r="BF996" t="s">
        <v>74</v>
      </c>
      <c r="BG996" t="s">
        <v>74</v>
      </c>
      <c r="BH996" t="s">
        <v>74</v>
      </c>
      <c r="BI996">
        <v>1</v>
      </c>
      <c r="BJ996" t="s">
        <v>7657</v>
      </c>
      <c r="BK996" t="s">
        <v>100</v>
      </c>
      <c r="BL996" t="s">
        <v>7657</v>
      </c>
      <c r="BM996" t="s">
        <v>18585</v>
      </c>
      <c r="BN996" t="s">
        <v>74</v>
      </c>
      <c r="BO996" t="s">
        <v>74</v>
      </c>
      <c r="BP996" t="s">
        <v>74</v>
      </c>
      <c r="BQ996" t="s">
        <v>74</v>
      </c>
      <c r="BR996" t="s">
        <v>104</v>
      </c>
      <c r="BS996" t="s">
        <v>18641</v>
      </c>
      <c r="BT996" t="str">
        <f>HYPERLINK("https%3A%2F%2Fwww.webofscience.com%2Fwos%2Fwoscc%2Ffull-record%2FWOS:000360244400150","View Full Record in Web of Science")</f>
        <v>View Full Record in Web of Science</v>
      </c>
    </row>
    <row r="997" spans="1:72" x14ac:dyDescent="0.15">
      <c r="A997" t="s">
        <v>72</v>
      </c>
      <c r="B997" t="s">
        <v>18642</v>
      </c>
      <c r="C997" t="s">
        <v>74</v>
      </c>
      <c r="D997" t="s">
        <v>74</v>
      </c>
      <c r="E997" t="s">
        <v>74</v>
      </c>
      <c r="F997" t="s">
        <v>18643</v>
      </c>
      <c r="G997" t="s">
        <v>74</v>
      </c>
      <c r="H997" t="s">
        <v>74</v>
      </c>
      <c r="I997" t="s">
        <v>18644</v>
      </c>
      <c r="J997" t="s">
        <v>18574</v>
      </c>
      <c r="K997" t="s">
        <v>74</v>
      </c>
      <c r="L997" t="s">
        <v>74</v>
      </c>
      <c r="M997" t="s">
        <v>78</v>
      </c>
      <c r="N997" t="s">
        <v>52</v>
      </c>
      <c r="O997" t="s">
        <v>74</v>
      </c>
      <c r="P997" t="s">
        <v>74</v>
      </c>
      <c r="Q997" t="s">
        <v>74</v>
      </c>
      <c r="R997" t="s">
        <v>74</v>
      </c>
      <c r="S997" t="s">
        <v>74</v>
      </c>
      <c r="T997" t="s">
        <v>74</v>
      </c>
      <c r="U997" t="s">
        <v>74</v>
      </c>
      <c r="V997" t="s">
        <v>74</v>
      </c>
      <c r="W997" t="s">
        <v>18645</v>
      </c>
      <c r="X997" t="s">
        <v>2613</v>
      </c>
      <c r="Y997" t="s">
        <v>74</v>
      </c>
      <c r="Z997" t="s">
        <v>18646</v>
      </c>
      <c r="AA997" t="s">
        <v>18647</v>
      </c>
      <c r="AB997" t="s">
        <v>74</v>
      </c>
      <c r="AC997" t="s">
        <v>74</v>
      </c>
      <c r="AD997" t="s">
        <v>74</v>
      </c>
      <c r="AE997" t="s">
        <v>74</v>
      </c>
      <c r="AF997" t="s">
        <v>74</v>
      </c>
      <c r="AG997">
        <v>0</v>
      </c>
      <c r="AH997">
        <v>0</v>
      </c>
      <c r="AI997">
        <v>0</v>
      </c>
      <c r="AJ997">
        <v>0</v>
      </c>
      <c r="AK997">
        <v>5</v>
      </c>
      <c r="AL997" t="s">
        <v>1239</v>
      </c>
      <c r="AM997" t="s">
        <v>448</v>
      </c>
      <c r="AN997" t="s">
        <v>5095</v>
      </c>
      <c r="AO997" t="s">
        <v>18580</v>
      </c>
      <c r="AP997" t="s">
        <v>18581</v>
      </c>
      <c r="AQ997" t="s">
        <v>74</v>
      </c>
      <c r="AR997" t="s">
        <v>18582</v>
      </c>
      <c r="AS997" t="s">
        <v>18583</v>
      </c>
      <c r="AT997" t="s">
        <v>74</v>
      </c>
      <c r="AU997">
        <v>2015</v>
      </c>
      <c r="AV997">
        <v>50</v>
      </c>
      <c r="AW997" t="s">
        <v>74</v>
      </c>
      <c r="AX997" t="s">
        <v>74</v>
      </c>
      <c r="AY997">
        <v>1</v>
      </c>
      <c r="AZ997" t="s">
        <v>74</v>
      </c>
      <c r="BA997" t="s">
        <v>18648</v>
      </c>
      <c r="BB997">
        <v>109</v>
      </c>
      <c r="BC997">
        <v>109</v>
      </c>
      <c r="BD997" t="s">
        <v>74</v>
      </c>
      <c r="BE997" t="s">
        <v>74</v>
      </c>
      <c r="BF997" t="s">
        <v>74</v>
      </c>
      <c r="BG997" t="s">
        <v>74</v>
      </c>
      <c r="BH997" t="s">
        <v>74</v>
      </c>
      <c r="BI997">
        <v>1</v>
      </c>
      <c r="BJ997" t="s">
        <v>7657</v>
      </c>
      <c r="BK997" t="s">
        <v>100</v>
      </c>
      <c r="BL997" t="s">
        <v>7657</v>
      </c>
      <c r="BM997" t="s">
        <v>18585</v>
      </c>
      <c r="BN997" t="s">
        <v>74</v>
      </c>
      <c r="BO997" t="s">
        <v>74</v>
      </c>
      <c r="BP997" t="s">
        <v>74</v>
      </c>
      <c r="BQ997" t="s">
        <v>74</v>
      </c>
      <c r="BR997" t="s">
        <v>104</v>
      </c>
      <c r="BS997" t="s">
        <v>18649</v>
      </c>
      <c r="BT997" t="str">
        <f>HYPERLINK("https%3A%2F%2Fwww.webofscience.com%2Fwos%2Fwoscc%2Ffull-record%2FWOS:000360244400183","View Full Record in Web of Science")</f>
        <v>View Full Record in Web of Science</v>
      </c>
    </row>
    <row r="998" spans="1:72" x14ac:dyDescent="0.15">
      <c r="A998" t="s">
        <v>72</v>
      </c>
      <c r="B998" t="s">
        <v>18650</v>
      </c>
      <c r="C998" t="s">
        <v>74</v>
      </c>
      <c r="D998" t="s">
        <v>74</v>
      </c>
      <c r="E998" t="s">
        <v>74</v>
      </c>
      <c r="F998" t="s">
        <v>18651</v>
      </c>
      <c r="G998" t="s">
        <v>74</v>
      </c>
      <c r="H998" t="s">
        <v>74</v>
      </c>
      <c r="I998" t="s">
        <v>18652</v>
      </c>
      <c r="J998" t="s">
        <v>18574</v>
      </c>
      <c r="K998" t="s">
        <v>74</v>
      </c>
      <c r="L998" t="s">
        <v>74</v>
      </c>
      <c r="M998" t="s">
        <v>78</v>
      </c>
      <c r="N998" t="s">
        <v>52</v>
      </c>
      <c r="O998" t="s">
        <v>74</v>
      </c>
      <c r="P998" t="s">
        <v>74</v>
      </c>
      <c r="Q998" t="s">
        <v>74</v>
      </c>
      <c r="R998" t="s">
        <v>74</v>
      </c>
      <c r="S998" t="s">
        <v>74</v>
      </c>
      <c r="T998" t="s">
        <v>74</v>
      </c>
      <c r="U998" t="s">
        <v>74</v>
      </c>
      <c r="V998" t="s">
        <v>74</v>
      </c>
      <c r="W998" t="s">
        <v>18653</v>
      </c>
      <c r="X998" t="s">
        <v>18654</v>
      </c>
      <c r="Y998" t="s">
        <v>74</v>
      </c>
      <c r="Z998" t="s">
        <v>18655</v>
      </c>
      <c r="AA998" t="s">
        <v>18656</v>
      </c>
      <c r="AB998" t="s">
        <v>74</v>
      </c>
      <c r="AC998" t="s">
        <v>74</v>
      </c>
      <c r="AD998" t="s">
        <v>74</v>
      </c>
      <c r="AE998" t="s">
        <v>74</v>
      </c>
      <c r="AF998" t="s">
        <v>74</v>
      </c>
      <c r="AG998">
        <v>0</v>
      </c>
      <c r="AH998">
        <v>0</v>
      </c>
      <c r="AI998">
        <v>0</v>
      </c>
      <c r="AJ998">
        <v>0</v>
      </c>
      <c r="AK998">
        <v>7</v>
      </c>
      <c r="AL998" t="s">
        <v>1239</v>
      </c>
      <c r="AM998" t="s">
        <v>448</v>
      </c>
      <c r="AN998" t="s">
        <v>5095</v>
      </c>
      <c r="AO998" t="s">
        <v>18580</v>
      </c>
      <c r="AP998" t="s">
        <v>18581</v>
      </c>
      <c r="AQ998" t="s">
        <v>74</v>
      </c>
      <c r="AR998" t="s">
        <v>18582</v>
      </c>
      <c r="AS998" t="s">
        <v>18583</v>
      </c>
      <c r="AT998" t="s">
        <v>74</v>
      </c>
      <c r="AU998">
        <v>2015</v>
      </c>
      <c r="AV998">
        <v>50</v>
      </c>
      <c r="AW998" t="s">
        <v>74</v>
      </c>
      <c r="AX998" t="s">
        <v>74</v>
      </c>
      <c r="AY998">
        <v>1</v>
      </c>
      <c r="AZ998" t="s">
        <v>74</v>
      </c>
      <c r="BA998" t="s">
        <v>18657</v>
      </c>
      <c r="BB998">
        <v>142</v>
      </c>
      <c r="BC998">
        <v>143</v>
      </c>
      <c r="BD998" t="s">
        <v>74</v>
      </c>
      <c r="BE998" t="s">
        <v>74</v>
      </c>
      <c r="BF998" t="s">
        <v>74</v>
      </c>
      <c r="BG998" t="s">
        <v>74</v>
      </c>
      <c r="BH998" t="s">
        <v>74</v>
      </c>
      <c r="BI998">
        <v>2</v>
      </c>
      <c r="BJ998" t="s">
        <v>7657</v>
      </c>
      <c r="BK998" t="s">
        <v>100</v>
      </c>
      <c r="BL998" t="s">
        <v>7657</v>
      </c>
      <c r="BM998" t="s">
        <v>18585</v>
      </c>
      <c r="BN998" t="s">
        <v>74</v>
      </c>
      <c r="BO998" t="s">
        <v>74</v>
      </c>
      <c r="BP998" t="s">
        <v>74</v>
      </c>
      <c r="BQ998" t="s">
        <v>74</v>
      </c>
      <c r="BR998" t="s">
        <v>104</v>
      </c>
      <c r="BS998" t="s">
        <v>18658</v>
      </c>
      <c r="BT998" t="str">
        <f>HYPERLINK("https%3A%2F%2Fwww.webofscience.com%2Fwos%2Fwoscc%2Ffull-record%2FWOS:000360244400253","View Full Record in Web of Science")</f>
        <v>View Full Record in Web of Science</v>
      </c>
    </row>
    <row r="999" spans="1:72" x14ac:dyDescent="0.15">
      <c r="A999" t="s">
        <v>72</v>
      </c>
      <c r="B999" t="s">
        <v>18659</v>
      </c>
      <c r="C999" t="s">
        <v>74</v>
      </c>
      <c r="D999" t="s">
        <v>74</v>
      </c>
      <c r="E999" t="s">
        <v>74</v>
      </c>
      <c r="F999" t="s">
        <v>18660</v>
      </c>
      <c r="G999" t="s">
        <v>74</v>
      </c>
      <c r="H999" t="s">
        <v>74</v>
      </c>
      <c r="I999" t="s">
        <v>18661</v>
      </c>
      <c r="J999" t="s">
        <v>18574</v>
      </c>
      <c r="K999" t="s">
        <v>74</v>
      </c>
      <c r="L999" t="s">
        <v>74</v>
      </c>
      <c r="M999" t="s">
        <v>78</v>
      </c>
      <c r="N999" t="s">
        <v>52</v>
      </c>
      <c r="O999" t="s">
        <v>74</v>
      </c>
      <c r="P999" t="s">
        <v>74</v>
      </c>
      <c r="Q999" t="s">
        <v>74</v>
      </c>
      <c r="R999" t="s">
        <v>74</v>
      </c>
      <c r="S999" t="s">
        <v>74</v>
      </c>
      <c r="T999" t="s">
        <v>74</v>
      </c>
      <c r="U999" t="s">
        <v>74</v>
      </c>
      <c r="V999" t="s">
        <v>74</v>
      </c>
      <c r="W999" t="s">
        <v>18662</v>
      </c>
      <c r="X999" t="s">
        <v>18663</v>
      </c>
      <c r="Y999" t="s">
        <v>74</v>
      </c>
      <c r="Z999" t="s">
        <v>18664</v>
      </c>
      <c r="AA999" t="s">
        <v>18665</v>
      </c>
      <c r="AB999" t="s">
        <v>18666</v>
      </c>
      <c r="AC999" t="s">
        <v>74</v>
      </c>
      <c r="AD999" t="s">
        <v>74</v>
      </c>
      <c r="AE999" t="s">
        <v>74</v>
      </c>
      <c r="AF999" t="s">
        <v>74</v>
      </c>
      <c r="AG999">
        <v>0</v>
      </c>
      <c r="AH999">
        <v>0</v>
      </c>
      <c r="AI999">
        <v>0</v>
      </c>
      <c r="AJ999">
        <v>0</v>
      </c>
      <c r="AK999">
        <v>16</v>
      </c>
      <c r="AL999" t="s">
        <v>1239</v>
      </c>
      <c r="AM999" t="s">
        <v>448</v>
      </c>
      <c r="AN999" t="s">
        <v>5095</v>
      </c>
      <c r="AO999" t="s">
        <v>18580</v>
      </c>
      <c r="AP999" t="s">
        <v>18581</v>
      </c>
      <c r="AQ999" t="s">
        <v>74</v>
      </c>
      <c r="AR999" t="s">
        <v>18582</v>
      </c>
      <c r="AS999" t="s">
        <v>18583</v>
      </c>
      <c r="AT999" t="s">
        <v>74</v>
      </c>
      <c r="AU999">
        <v>2015</v>
      </c>
      <c r="AV999">
        <v>50</v>
      </c>
      <c r="AW999" t="s">
        <v>74</v>
      </c>
      <c r="AX999" t="s">
        <v>74</v>
      </c>
      <c r="AY999">
        <v>1</v>
      </c>
      <c r="AZ999" t="s">
        <v>74</v>
      </c>
      <c r="BA999" t="s">
        <v>18667</v>
      </c>
      <c r="BB999">
        <v>165</v>
      </c>
      <c r="BC999">
        <v>166</v>
      </c>
      <c r="BD999" t="s">
        <v>74</v>
      </c>
      <c r="BE999" t="s">
        <v>74</v>
      </c>
      <c r="BF999" t="s">
        <v>74</v>
      </c>
      <c r="BG999" t="s">
        <v>74</v>
      </c>
      <c r="BH999" t="s">
        <v>74</v>
      </c>
      <c r="BI999">
        <v>2</v>
      </c>
      <c r="BJ999" t="s">
        <v>7657</v>
      </c>
      <c r="BK999" t="s">
        <v>100</v>
      </c>
      <c r="BL999" t="s">
        <v>7657</v>
      </c>
      <c r="BM999" t="s">
        <v>18585</v>
      </c>
      <c r="BN999" t="s">
        <v>74</v>
      </c>
      <c r="BO999" t="s">
        <v>74</v>
      </c>
      <c r="BP999" t="s">
        <v>74</v>
      </c>
      <c r="BQ999" t="s">
        <v>74</v>
      </c>
      <c r="BR999" t="s">
        <v>104</v>
      </c>
      <c r="BS999" t="s">
        <v>18668</v>
      </c>
      <c r="BT999" t="str">
        <f>HYPERLINK("https%3A%2F%2Fwww.webofscience.com%2Fwos%2Fwoscc%2Ffull-record%2FWOS:000360244400298","View Full Record in Web of Science")</f>
        <v>View Full Record in Web of Science</v>
      </c>
    </row>
    <row r="1000" spans="1:72" x14ac:dyDescent="0.15">
      <c r="A1000" t="s">
        <v>72</v>
      </c>
      <c r="B1000" t="s">
        <v>18669</v>
      </c>
      <c r="C1000" t="s">
        <v>74</v>
      </c>
      <c r="D1000" t="s">
        <v>74</v>
      </c>
      <c r="E1000" t="s">
        <v>74</v>
      </c>
      <c r="F1000" t="s">
        <v>18670</v>
      </c>
      <c r="G1000" t="s">
        <v>74</v>
      </c>
      <c r="H1000" t="s">
        <v>74</v>
      </c>
      <c r="I1000" t="s">
        <v>18671</v>
      </c>
      <c r="J1000" t="s">
        <v>18574</v>
      </c>
      <c r="K1000" t="s">
        <v>74</v>
      </c>
      <c r="L1000" t="s">
        <v>74</v>
      </c>
      <c r="M1000" t="s">
        <v>78</v>
      </c>
      <c r="N1000" t="s">
        <v>52</v>
      </c>
      <c r="O1000" t="s">
        <v>74</v>
      </c>
      <c r="P1000" t="s">
        <v>74</v>
      </c>
      <c r="Q1000" t="s">
        <v>74</v>
      </c>
      <c r="R1000" t="s">
        <v>74</v>
      </c>
      <c r="S1000" t="s">
        <v>74</v>
      </c>
      <c r="T1000" t="s">
        <v>74</v>
      </c>
      <c r="U1000" t="s">
        <v>74</v>
      </c>
      <c r="V1000" t="s">
        <v>74</v>
      </c>
      <c r="W1000" t="s">
        <v>18672</v>
      </c>
      <c r="X1000" t="s">
        <v>18673</v>
      </c>
      <c r="Y1000" t="s">
        <v>74</v>
      </c>
      <c r="Z1000" t="s">
        <v>18674</v>
      </c>
      <c r="AA1000" t="s">
        <v>18675</v>
      </c>
      <c r="AB1000" t="s">
        <v>74</v>
      </c>
      <c r="AC1000" t="s">
        <v>74</v>
      </c>
      <c r="AD1000" t="s">
        <v>74</v>
      </c>
      <c r="AE1000" t="s">
        <v>74</v>
      </c>
      <c r="AF1000" t="s">
        <v>74</v>
      </c>
      <c r="AG1000">
        <v>0</v>
      </c>
      <c r="AH1000">
        <v>1</v>
      </c>
      <c r="AI1000">
        <v>1</v>
      </c>
      <c r="AJ1000">
        <v>0</v>
      </c>
      <c r="AK1000">
        <v>9</v>
      </c>
      <c r="AL1000" t="s">
        <v>1239</v>
      </c>
      <c r="AM1000" t="s">
        <v>448</v>
      </c>
      <c r="AN1000" t="s">
        <v>5095</v>
      </c>
      <c r="AO1000" t="s">
        <v>18580</v>
      </c>
      <c r="AP1000" t="s">
        <v>18581</v>
      </c>
      <c r="AQ1000" t="s">
        <v>74</v>
      </c>
      <c r="AR1000" t="s">
        <v>18582</v>
      </c>
      <c r="AS1000" t="s">
        <v>18583</v>
      </c>
      <c r="AT1000" t="s">
        <v>74</v>
      </c>
      <c r="AU1000">
        <v>2015</v>
      </c>
      <c r="AV1000">
        <v>50</v>
      </c>
      <c r="AW1000" t="s">
        <v>74</v>
      </c>
      <c r="AX1000" t="s">
        <v>74</v>
      </c>
      <c r="AY1000">
        <v>1</v>
      </c>
      <c r="AZ1000" t="s">
        <v>74</v>
      </c>
      <c r="BA1000" t="s">
        <v>18676</v>
      </c>
      <c r="BB1000">
        <v>172</v>
      </c>
      <c r="BC1000">
        <v>173</v>
      </c>
      <c r="BD1000" t="s">
        <v>74</v>
      </c>
      <c r="BE1000" t="s">
        <v>74</v>
      </c>
      <c r="BF1000" t="s">
        <v>74</v>
      </c>
      <c r="BG1000" t="s">
        <v>74</v>
      </c>
      <c r="BH1000" t="s">
        <v>74</v>
      </c>
      <c r="BI1000">
        <v>2</v>
      </c>
      <c r="BJ1000" t="s">
        <v>7657</v>
      </c>
      <c r="BK1000" t="s">
        <v>100</v>
      </c>
      <c r="BL1000" t="s">
        <v>7657</v>
      </c>
      <c r="BM1000" t="s">
        <v>18585</v>
      </c>
      <c r="BN1000" t="s">
        <v>74</v>
      </c>
      <c r="BO1000" t="s">
        <v>74</v>
      </c>
      <c r="BP1000" t="s">
        <v>74</v>
      </c>
      <c r="BQ1000" t="s">
        <v>74</v>
      </c>
      <c r="BR1000" t="s">
        <v>104</v>
      </c>
      <c r="BS1000" t="s">
        <v>18677</v>
      </c>
      <c r="BT1000" t="str">
        <f>HYPERLINK("https%3A%2F%2Fwww.webofscience.com%2Fwos%2Fwoscc%2Ffull-record%2FWOS:000360244400314","View Full Record in Web of Science")</f>
        <v>View Full Record in Web of Science</v>
      </c>
    </row>
    <row r="1001" spans="1:72" x14ac:dyDescent="0.15">
      <c r="A1001" t="s">
        <v>72</v>
      </c>
      <c r="B1001" t="s">
        <v>18678</v>
      </c>
      <c r="C1001" t="s">
        <v>74</v>
      </c>
      <c r="D1001" t="s">
        <v>74</v>
      </c>
      <c r="E1001" t="s">
        <v>74</v>
      </c>
      <c r="F1001" t="s">
        <v>18679</v>
      </c>
      <c r="G1001" t="s">
        <v>74</v>
      </c>
      <c r="H1001" t="s">
        <v>74</v>
      </c>
      <c r="I1001" t="s">
        <v>18680</v>
      </c>
      <c r="J1001" t="s">
        <v>18574</v>
      </c>
      <c r="K1001" t="s">
        <v>74</v>
      </c>
      <c r="L1001" t="s">
        <v>74</v>
      </c>
      <c r="M1001" t="s">
        <v>78</v>
      </c>
      <c r="N1001" t="s">
        <v>52</v>
      </c>
      <c r="O1001" t="s">
        <v>74</v>
      </c>
      <c r="P1001" t="s">
        <v>74</v>
      </c>
      <c r="Q1001" t="s">
        <v>74</v>
      </c>
      <c r="R1001" t="s">
        <v>74</v>
      </c>
      <c r="S1001" t="s">
        <v>74</v>
      </c>
      <c r="T1001" t="s">
        <v>74</v>
      </c>
      <c r="U1001" t="s">
        <v>74</v>
      </c>
      <c r="V1001" t="s">
        <v>74</v>
      </c>
      <c r="W1001" t="s">
        <v>18681</v>
      </c>
      <c r="X1001" t="s">
        <v>982</v>
      </c>
      <c r="Y1001" t="s">
        <v>74</v>
      </c>
      <c r="Z1001" t="s">
        <v>18682</v>
      </c>
      <c r="AA1001" t="s">
        <v>18683</v>
      </c>
      <c r="AB1001" t="s">
        <v>18684</v>
      </c>
      <c r="AC1001" t="s">
        <v>74</v>
      </c>
      <c r="AD1001" t="s">
        <v>74</v>
      </c>
      <c r="AE1001" t="s">
        <v>74</v>
      </c>
      <c r="AF1001" t="s">
        <v>74</v>
      </c>
      <c r="AG1001">
        <v>0</v>
      </c>
      <c r="AH1001">
        <v>0</v>
      </c>
      <c r="AI1001">
        <v>0</v>
      </c>
      <c r="AJ1001">
        <v>0</v>
      </c>
      <c r="AK1001">
        <v>2</v>
      </c>
      <c r="AL1001" t="s">
        <v>1239</v>
      </c>
      <c r="AM1001" t="s">
        <v>448</v>
      </c>
      <c r="AN1001" t="s">
        <v>5095</v>
      </c>
      <c r="AO1001" t="s">
        <v>18580</v>
      </c>
      <c r="AP1001" t="s">
        <v>18581</v>
      </c>
      <c r="AQ1001" t="s">
        <v>74</v>
      </c>
      <c r="AR1001" t="s">
        <v>18582</v>
      </c>
      <c r="AS1001" t="s">
        <v>18583</v>
      </c>
      <c r="AT1001" t="s">
        <v>74</v>
      </c>
      <c r="AU1001">
        <v>2015</v>
      </c>
      <c r="AV1001">
        <v>50</v>
      </c>
      <c r="AW1001" t="s">
        <v>74</v>
      </c>
      <c r="AX1001" t="s">
        <v>74</v>
      </c>
      <c r="AY1001">
        <v>1</v>
      </c>
      <c r="AZ1001" t="s">
        <v>74</v>
      </c>
      <c r="BA1001" t="s">
        <v>18685</v>
      </c>
      <c r="BB1001">
        <v>173</v>
      </c>
      <c r="BC1001">
        <v>173</v>
      </c>
      <c r="BD1001" t="s">
        <v>74</v>
      </c>
      <c r="BE1001" t="s">
        <v>74</v>
      </c>
      <c r="BF1001" t="s">
        <v>74</v>
      </c>
      <c r="BG1001" t="s">
        <v>74</v>
      </c>
      <c r="BH1001" t="s">
        <v>74</v>
      </c>
      <c r="BI1001">
        <v>1</v>
      </c>
      <c r="BJ1001" t="s">
        <v>7657</v>
      </c>
      <c r="BK1001" t="s">
        <v>100</v>
      </c>
      <c r="BL1001" t="s">
        <v>7657</v>
      </c>
      <c r="BM1001" t="s">
        <v>18585</v>
      </c>
      <c r="BN1001" t="s">
        <v>74</v>
      </c>
      <c r="BO1001" t="s">
        <v>74</v>
      </c>
      <c r="BP1001" t="s">
        <v>74</v>
      </c>
      <c r="BQ1001" t="s">
        <v>74</v>
      </c>
      <c r="BR1001" t="s">
        <v>104</v>
      </c>
      <c r="BS1001" t="s">
        <v>18686</v>
      </c>
      <c r="BT1001" t="str">
        <f>HYPERLINK("https%3A%2F%2Fwww.webofscience.com%2Fwos%2Fwoscc%2Ffull-record%2FWOS:000360244400315","View Full Record in Web of Science")</f>
        <v>View Full Record in Web of Science</v>
      </c>
    </row>
  </sheetData>
  <pageMargins left="0.75" right="0.75" top="1" bottom="1" header="0.5" footer="0.5"/>
  <pageSetup orientation="portrait" horizontalDpi="300" verticalDpi="300"/>
  <headerFooter alignWithMargins="0"/>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vt:i4>
      </vt:variant>
    </vt:vector>
  </HeadingPairs>
  <TitlesOfParts>
    <vt:vector size="1" baseType="lpstr">
      <vt:lpstr>savedrecs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SULEYMAN BILGIN - Dijital Kanal Cozumleri (Satis Sonra</cp:lastModifiedBy>
  <dcterms:created xsi:type="dcterms:W3CDTF">2024-07-28T15:24:02Z</dcterms:created>
  <dcterms:modified xsi:type="dcterms:W3CDTF">2024-07-28T15:24:03Z</dcterms:modified>
</cp:coreProperties>
</file>